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5" yWindow="45" windowWidth="33855" windowHeight="11730" tabRatio="854" activeTab="7"/>
  </bookViews>
  <sheets>
    <sheet name="Introduction" sheetId="19" r:id="rId1"/>
    <sheet name="Index" sheetId="29" r:id="rId2"/>
    <sheet name="Scenario Matrix" sheetId="33" r:id="rId3"/>
    <sheet name="Data Sources" sheetId="28" r:id="rId4"/>
    <sheet name="Scenarios" sheetId="16" r:id="rId5"/>
    <sheet name="Assumptions" sheetId="1" r:id="rId6"/>
    <sheet name="Demand Individual Assumptions" sheetId="4" r:id="rId7"/>
    <sheet name="Supply Individual Assumptions" sheetId="6" r:id="rId8"/>
    <sheet name="GeneratingCapabilityList" sheetId="23" r:id="rId9"/>
    <sheet name="Final 2014 NQC List" sheetId="24" r:id="rId10"/>
    <sheet name="CEC Siting Cases" sheetId="25" r:id="rId11"/>
    <sheet name="CEC Other Projects" sheetId="26" r:id="rId12"/>
    <sheet name="IncSmallPV Extrapolate" sheetId="35" r:id="rId13"/>
  </sheets>
  <definedNames>
    <definedName name="_xlnm._FilterDatabase" localSheetId="9" hidden="1">'Final 2014 NQC List'!$A$1:$AA$744</definedName>
    <definedName name="_xlnm._FilterDatabase" localSheetId="8" hidden="1">GeneratingCapabilityList!$A$6:$S$1667</definedName>
    <definedName name="GWhIncDCHP">Assumptions!$B$83:$B$85</definedName>
    <definedName name="GWhIncEE">Assumptions!$B$59:$B$61</definedName>
    <definedName name="GWhIncSmPV">Assumptions!$B$73:$B$75</definedName>
    <definedName name="GWhLoad">Assumptions!$B$27:$B$32</definedName>
    <definedName name="GWhLoadAAEE">Assumptions!$B$35:$B$46</definedName>
    <definedName name="GWhPumpedLoad">Assumptions!$B$53:$B$54</definedName>
    <definedName name="GWhTotalSales">Assumptions!$B$50:$B$51</definedName>
    <definedName name="MWAuthProc">Assumptions!$B$138:$B$140</definedName>
    <definedName name="MWEnergyStorage">Assumptions!$B$94:$B$97</definedName>
    <definedName name="MWEnergyStorageOther">Assumptions!$B$100:$B$102</definedName>
    <definedName name="MWEventBasedDR">Assumptions!$B$105:$B$107</definedName>
    <definedName name="MWGeothermBiomassRetires">Assumptions!$B$153:$B$155</definedName>
    <definedName name="MWHydroRetires">Assumptions!$B$157:$B$159</definedName>
    <definedName name="MWImports">Assumptions!$B$110:$B$112</definedName>
    <definedName name="MWIncDCHP">Assumptions!$B$78:$B$80</definedName>
    <definedName name="MWIncSCHP">Assumptions!$B$89:$B$91</definedName>
    <definedName name="MWIncSmPV">Assumptions!$B$68:$B$70</definedName>
    <definedName name="MWLoad">Assumptions!$B$5:$B$10</definedName>
    <definedName name="MWLoadAAEE">Assumptions!$B$13:$B$24</definedName>
    <definedName name="MWNuclearRetires">Assumptions!$B$146:$B$147</definedName>
    <definedName name="MWOtherRetires">Assumptions!$B$161:$B$163</definedName>
    <definedName name="MWResourceAddsRPS">Assumptions!$B$130:$B$136</definedName>
    <definedName name="MWSolarWindRetires">Assumptions!$B$149:$B$151</definedName>
    <definedName name="_xlnm.Print_Area" localSheetId="0">Introduction!$B$2:$E$55</definedName>
    <definedName name="_xlnm.Print_Area" localSheetId="2">'Scenario Matrix'!$B$2:$X$18</definedName>
    <definedName name="_xlnm.Print_Area" localSheetId="4">Scenarios!$A$1:$Z$74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V2" i="24" l="1"/>
  <c r="V3"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V35" i="24"/>
  <c r="V36" i="24"/>
  <c r="V37" i="24"/>
  <c r="V38" i="24"/>
  <c r="V39" i="24"/>
  <c r="V40" i="24"/>
  <c r="V41" i="24"/>
  <c r="V42" i="24"/>
  <c r="V43" i="24"/>
  <c r="V44" i="24"/>
  <c r="V45" i="24"/>
  <c r="V46" i="24"/>
  <c r="V47" i="24"/>
  <c r="V48" i="24"/>
  <c r="V49" i="24"/>
  <c r="V50" i="24"/>
  <c r="V51" i="24"/>
  <c r="V52" i="24"/>
  <c r="V53" i="24"/>
  <c r="V54" i="24"/>
  <c r="V55" i="24"/>
  <c r="V56" i="24"/>
  <c r="V57" i="24"/>
  <c r="V58" i="24"/>
  <c r="V59" i="24"/>
  <c r="V60" i="24"/>
  <c r="V61" i="24"/>
  <c r="V62" i="24"/>
  <c r="V63" i="24"/>
  <c r="V64" i="24"/>
  <c r="V65" i="24"/>
  <c r="V66" i="24"/>
  <c r="V67" i="24"/>
  <c r="V68" i="24"/>
  <c r="V69" i="24"/>
  <c r="V70" i="24"/>
  <c r="V71" i="24"/>
  <c r="V72" i="24"/>
  <c r="V73" i="24"/>
  <c r="V74" i="24"/>
  <c r="V75" i="24"/>
  <c r="V76" i="24"/>
  <c r="V77" i="24"/>
  <c r="V78" i="24"/>
  <c r="V79" i="24"/>
  <c r="V80" i="24"/>
  <c r="V81" i="24"/>
  <c r="V82" i="24"/>
  <c r="V83" i="24"/>
  <c r="V84" i="24"/>
  <c r="V85" i="24"/>
  <c r="V86" i="24"/>
  <c r="V87" i="24"/>
  <c r="V88" i="24"/>
  <c r="V89" i="24"/>
  <c r="V90" i="24"/>
  <c r="V91" i="24"/>
  <c r="V92" i="24"/>
  <c r="V93" i="24"/>
  <c r="V94" i="24"/>
  <c r="V95" i="24"/>
  <c r="V96" i="24"/>
  <c r="V97" i="24"/>
  <c r="V98" i="24"/>
  <c r="V99" i="24"/>
  <c r="V100" i="24"/>
  <c r="V101" i="24"/>
  <c r="V102" i="24"/>
  <c r="V103" i="24"/>
  <c r="V104" i="24"/>
  <c r="V105" i="24"/>
  <c r="V106" i="24"/>
  <c r="V107" i="24"/>
  <c r="V108" i="24"/>
  <c r="V109" i="24"/>
  <c r="V110" i="24"/>
  <c r="V111" i="24"/>
  <c r="V112" i="24"/>
  <c r="V113" i="24"/>
  <c r="V114" i="24"/>
  <c r="V115" i="24"/>
  <c r="V116" i="24"/>
  <c r="V117" i="24"/>
  <c r="V118" i="24"/>
  <c r="V119" i="24"/>
  <c r="V120" i="24"/>
  <c r="V121" i="24"/>
  <c r="V122" i="24"/>
  <c r="V123" i="24"/>
  <c r="V124" i="24"/>
  <c r="V125" i="24"/>
  <c r="V126" i="24"/>
  <c r="V127" i="24"/>
  <c r="V128" i="24"/>
  <c r="V129" i="24"/>
  <c r="V130" i="24"/>
  <c r="V131" i="24"/>
  <c r="V132" i="24"/>
  <c r="V133" i="24"/>
  <c r="V134" i="24"/>
  <c r="V135" i="24"/>
  <c r="V136" i="24"/>
  <c r="V137" i="24"/>
  <c r="V138" i="24"/>
  <c r="V139" i="24"/>
  <c r="V140" i="24"/>
  <c r="V141" i="24"/>
  <c r="V142" i="24"/>
  <c r="V143" i="24"/>
  <c r="V144" i="24"/>
  <c r="V145" i="24"/>
  <c r="V146" i="24"/>
  <c r="V147" i="24"/>
  <c r="V148" i="24"/>
  <c r="V149" i="24"/>
  <c r="V150" i="24"/>
  <c r="V151" i="24"/>
  <c r="V152" i="24"/>
  <c r="V153" i="24"/>
  <c r="V154" i="24"/>
  <c r="V155" i="24"/>
  <c r="V156" i="24"/>
  <c r="V157" i="24"/>
  <c r="V158" i="24"/>
  <c r="V159" i="24"/>
  <c r="V160" i="24"/>
  <c r="V161" i="24"/>
  <c r="V162" i="24"/>
  <c r="V163" i="24"/>
  <c r="V164" i="24"/>
  <c r="V165" i="24"/>
  <c r="V166" i="24"/>
  <c r="V167" i="24"/>
  <c r="V168" i="24"/>
  <c r="V169" i="24"/>
  <c r="V170" i="24"/>
  <c r="V171" i="24"/>
  <c r="V172" i="24"/>
  <c r="V173" i="24"/>
  <c r="V174" i="24"/>
  <c r="V175" i="24"/>
  <c r="V176" i="24"/>
  <c r="V177" i="24"/>
  <c r="V178" i="24"/>
  <c r="V179" i="24"/>
  <c r="V180" i="24"/>
  <c r="V181" i="24"/>
  <c r="V182" i="24"/>
  <c r="V183" i="24"/>
  <c r="V184" i="24"/>
  <c r="V185" i="24"/>
  <c r="V186" i="24"/>
  <c r="V187" i="24"/>
  <c r="V188" i="24"/>
  <c r="V189" i="24"/>
  <c r="V190" i="24"/>
  <c r="V191" i="24"/>
  <c r="V192" i="24"/>
  <c r="V193" i="24"/>
  <c r="V194" i="24"/>
  <c r="V195" i="24"/>
  <c r="V196" i="24"/>
  <c r="V197" i="24"/>
  <c r="V198" i="24"/>
  <c r="V199" i="24"/>
  <c r="V200" i="24"/>
  <c r="V201" i="24"/>
  <c r="V202" i="24"/>
  <c r="V203" i="24"/>
  <c r="V204" i="24"/>
  <c r="V205" i="24"/>
  <c r="V206" i="24"/>
  <c r="V207" i="24"/>
  <c r="V208" i="24"/>
  <c r="V209" i="24"/>
  <c r="V210" i="24"/>
  <c r="V211" i="24"/>
  <c r="V212" i="24"/>
  <c r="V213" i="24"/>
  <c r="V214" i="24"/>
  <c r="V215" i="24"/>
  <c r="V216" i="24"/>
  <c r="V217" i="24"/>
  <c r="V218" i="24"/>
  <c r="V219" i="24"/>
  <c r="V220" i="24"/>
  <c r="V221" i="24"/>
  <c r="V222" i="24"/>
  <c r="V223" i="24"/>
  <c r="V224" i="24"/>
  <c r="V225" i="24"/>
  <c r="V226" i="24"/>
  <c r="V227" i="24"/>
  <c r="V228" i="24"/>
  <c r="V229" i="24"/>
  <c r="V230" i="24"/>
  <c r="V231" i="24"/>
  <c r="V232" i="24"/>
  <c r="V233" i="24"/>
  <c r="V234" i="24"/>
  <c r="V235" i="24"/>
  <c r="V236" i="24"/>
  <c r="V237" i="24"/>
  <c r="V238" i="24"/>
  <c r="V239" i="24"/>
  <c r="V240" i="24"/>
  <c r="V241" i="24"/>
  <c r="V242" i="24"/>
  <c r="V243" i="24"/>
  <c r="V244" i="24"/>
  <c r="V245" i="24"/>
  <c r="V246" i="24"/>
  <c r="V247" i="24"/>
  <c r="V248" i="24"/>
  <c r="V249" i="24"/>
  <c r="V250" i="24"/>
  <c r="V251" i="24"/>
  <c r="V252" i="24"/>
  <c r="V253" i="24"/>
  <c r="V254" i="24"/>
  <c r="V255" i="24"/>
  <c r="V256" i="24"/>
  <c r="V257" i="24"/>
  <c r="V258" i="24"/>
  <c r="V259" i="24"/>
  <c r="V260" i="24"/>
  <c r="V261" i="24"/>
  <c r="V262" i="24"/>
  <c r="V263" i="24"/>
  <c r="V264" i="24"/>
  <c r="V265" i="24"/>
  <c r="V266" i="24"/>
  <c r="V267" i="24"/>
  <c r="V268" i="24"/>
  <c r="V269" i="24"/>
  <c r="V270" i="24"/>
  <c r="V271" i="24"/>
  <c r="V272" i="24"/>
  <c r="V273" i="24"/>
  <c r="V274" i="24"/>
  <c r="V275" i="24"/>
  <c r="V276" i="24"/>
  <c r="V277" i="24"/>
  <c r="V278" i="24"/>
  <c r="V279" i="24"/>
  <c r="V280" i="24"/>
  <c r="V281" i="24"/>
  <c r="V282" i="24"/>
  <c r="V283" i="24"/>
  <c r="V284" i="24"/>
  <c r="V285" i="24"/>
  <c r="V286" i="24"/>
  <c r="V287" i="24"/>
  <c r="V288" i="24"/>
  <c r="V289" i="24"/>
  <c r="V290" i="24"/>
  <c r="V291" i="24"/>
  <c r="V292" i="24"/>
  <c r="V293" i="24"/>
  <c r="V294" i="24"/>
  <c r="V295" i="24"/>
  <c r="V296" i="24"/>
  <c r="V297" i="24"/>
  <c r="V298" i="24"/>
  <c r="V299" i="24"/>
  <c r="V300" i="24"/>
  <c r="V301" i="24"/>
  <c r="V302" i="24"/>
  <c r="V303" i="24"/>
  <c r="V304" i="24"/>
  <c r="V305" i="24"/>
  <c r="V306" i="24"/>
  <c r="V307" i="24"/>
  <c r="V308" i="24"/>
  <c r="V309" i="24"/>
  <c r="V310" i="24"/>
  <c r="V311" i="24"/>
  <c r="V312" i="24"/>
  <c r="V313" i="24"/>
  <c r="V314" i="24"/>
  <c r="V315" i="24"/>
  <c r="V316" i="24"/>
  <c r="V317" i="24"/>
  <c r="V318" i="24"/>
  <c r="V319" i="24"/>
  <c r="V320" i="24"/>
  <c r="V321" i="24"/>
  <c r="V322" i="24"/>
  <c r="V323" i="24"/>
  <c r="V324" i="24"/>
  <c r="V325" i="24"/>
  <c r="V326" i="24"/>
  <c r="V327" i="24"/>
  <c r="V328" i="24"/>
  <c r="V329" i="24"/>
  <c r="V330" i="24"/>
  <c r="V331" i="24"/>
  <c r="V332" i="24"/>
  <c r="V333" i="24"/>
  <c r="V334" i="24"/>
  <c r="V335" i="24"/>
  <c r="V336" i="24"/>
  <c r="V337" i="24"/>
  <c r="V338" i="24"/>
  <c r="V339" i="24"/>
  <c r="V340" i="24"/>
  <c r="V341" i="24"/>
  <c r="V342" i="24"/>
  <c r="V343" i="24"/>
  <c r="V344" i="24"/>
  <c r="V345" i="24"/>
  <c r="V346" i="24"/>
  <c r="V347" i="24"/>
  <c r="V348" i="24"/>
  <c r="V349" i="24"/>
  <c r="V350" i="24"/>
  <c r="V351" i="24"/>
  <c r="V352" i="24"/>
  <c r="V353" i="24"/>
  <c r="V354" i="24"/>
  <c r="V355" i="24"/>
  <c r="V356" i="24"/>
  <c r="V357" i="24"/>
  <c r="V358" i="24"/>
  <c r="V359" i="24"/>
  <c r="V360" i="24"/>
  <c r="V361" i="24"/>
  <c r="V362" i="24"/>
  <c r="V363" i="24"/>
  <c r="V364" i="24"/>
  <c r="V365" i="24"/>
  <c r="V366" i="24"/>
  <c r="V367" i="24"/>
  <c r="V368" i="24"/>
  <c r="V369" i="24"/>
  <c r="V370" i="24"/>
  <c r="V371" i="24"/>
  <c r="V372" i="24"/>
  <c r="V373" i="24"/>
  <c r="V374" i="24"/>
  <c r="V375" i="24"/>
  <c r="V376" i="24"/>
  <c r="V377" i="24"/>
  <c r="V378" i="24"/>
  <c r="V379" i="24"/>
  <c r="V380" i="24"/>
  <c r="V381" i="24"/>
  <c r="V382" i="24"/>
  <c r="V383" i="24"/>
  <c r="V384" i="24"/>
  <c r="V385" i="24"/>
  <c r="V386" i="24"/>
  <c r="V387" i="24"/>
  <c r="V388" i="24"/>
  <c r="V389" i="24"/>
  <c r="V390" i="24"/>
  <c r="V391" i="24"/>
  <c r="V392" i="24"/>
  <c r="V393" i="24"/>
  <c r="V394" i="24"/>
  <c r="V395" i="24"/>
  <c r="V396" i="24"/>
  <c r="V397" i="24"/>
  <c r="V398" i="24"/>
  <c r="V399" i="24"/>
  <c r="V400" i="24"/>
  <c r="V401" i="24"/>
  <c r="V402" i="24"/>
  <c r="V403" i="24"/>
  <c r="V404" i="24"/>
  <c r="V405" i="24"/>
  <c r="V406" i="24"/>
  <c r="V407" i="24"/>
  <c r="V408" i="24"/>
  <c r="V409" i="24"/>
  <c r="V410" i="24"/>
  <c r="V411" i="24"/>
  <c r="V412" i="24"/>
  <c r="V413" i="24"/>
  <c r="V414" i="24"/>
  <c r="V415" i="24"/>
  <c r="V416" i="24"/>
  <c r="V417" i="24"/>
  <c r="V418" i="24"/>
  <c r="V419" i="24"/>
  <c r="V420" i="24"/>
  <c r="V421" i="24"/>
  <c r="V422" i="24"/>
  <c r="V423" i="24"/>
  <c r="V424" i="24"/>
  <c r="V425" i="24"/>
  <c r="V426" i="24"/>
  <c r="V427" i="24"/>
  <c r="V428" i="24"/>
  <c r="V429" i="24"/>
  <c r="V430" i="24"/>
  <c r="V431" i="24"/>
  <c r="V432" i="24"/>
  <c r="V433" i="24"/>
  <c r="V434" i="24"/>
  <c r="V435" i="24"/>
  <c r="V436" i="24"/>
  <c r="V437" i="24"/>
  <c r="V438" i="24"/>
  <c r="V439" i="24"/>
  <c r="V440" i="24"/>
  <c r="V441" i="24"/>
  <c r="V442" i="24"/>
  <c r="V443" i="24"/>
  <c r="V444" i="24"/>
  <c r="V445" i="24"/>
  <c r="V446" i="24"/>
  <c r="V447" i="24"/>
  <c r="V448" i="24"/>
  <c r="V449" i="24"/>
  <c r="V450" i="24"/>
  <c r="V451" i="24"/>
  <c r="V452" i="24"/>
  <c r="V453" i="24"/>
  <c r="V454" i="24"/>
  <c r="V455" i="24"/>
  <c r="V456" i="24"/>
  <c r="V457" i="24"/>
  <c r="V458" i="24"/>
  <c r="V459" i="24"/>
  <c r="V460" i="24"/>
  <c r="V461" i="24"/>
  <c r="V462" i="24"/>
  <c r="V463" i="24"/>
  <c r="V464" i="24"/>
  <c r="V465" i="24"/>
  <c r="V466" i="24"/>
  <c r="V467" i="24"/>
  <c r="V468" i="24"/>
  <c r="V469" i="24"/>
  <c r="V470" i="24"/>
  <c r="V471" i="24"/>
  <c r="V472" i="24"/>
  <c r="V473" i="24"/>
  <c r="V474" i="24"/>
  <c r="V475" i="24"/>
  <c r="V476" i="24"/>
  <c r="V477" i="24"/>
  <c r="V478" i="24"/>
  <c r="V479" i="24"/>
  <c r="V480" i="24"/>
  <c r="V481" i="24"/>
  <c r="V482" i="24"/>
  <c r="V483" i="24"/>
  <c r="V484" i="24"/>
  <c r="V485" i="24"/>
  <c r="V486" i="24"/>
  <c r="V487" i="24"/>
  <c r="V488" i="24"/>
  <c r="V489" i="24"/>
  <c r="V490" i="24"/>
  <c r="V491" i="24"/>
  <c r="V492" i="24"/>
  <c r="V493" i="24"/>
  <c r="V494" i="24"/>
  <c r="V495" i="24"/>
  <c r="V496" i="24"/>
  <c r="V497" i="24"/>
  <c r="V498" i="24"/>
  <c r="V499" i="24"/>
  <c r="V500" i="24"/>
  <c r="V501" i="24"/>
  <c r="V502" i="24"/>
  <c r="V503" i="24"/>
  <c r="V504" i="24"/>
  <c r="V505" i="24"/>
  <c r="V506" i="24"/>
  <c r="V507" i="24"/>
  <c r="V508" i="24"/>
  <c r="V509" i="24"/>
  <c r="V510" i="24"/>
  <c r="V511" i="24"/>
  <c r="V512" i="24"/>
  <c r="V513" i="24"/>
  <c r="V514" i="24"/>
  <c r="V515" i="24"/>
  <c r="V516" i="24"/>
  <c r="V517" i="24"/>
  <c r="V518" i="24"/>
  <c r="V519" i="24"/>
  <c r="V520" i="24"/>
  <c r="V521" i="24"/>
  <c r="V522" i="24"/>
  <c r="V523" i="24"/>
  <c r="V524" i="24"/>
  <c r="V525" i="24"/>
  <c r="V526" i="24"/>
  <c r="V527" i="24"/>
  <c r="V528" i="24"/>
  <c r="V529" i="24"/>
  <c r="V530" i="24"/>
  <c r="V531" i="24"/>
  <c r="V532" i="24"/>
  <c r="V533" i="24"/>
  <c r="V534" i="24"/>
  <c r="V535" i="24"/>
  <c r="V536" i="24"/>
  <c r="V537" i="24"/>
  <c r="V538" i="24"/>
  <c r="V539" i="24"/>
  <c r="V540" i="24"/>
  <c r="V541" i="24"/>
  <c r="V542" i="24"/>
  <c r="V543" i="24"/>
  <c r="V544" i="24"/>
  <c r="V545" i="24"/>
  <c r="V546" i="24"/>
  <c r="V547" i="24"/>
  <c r="V548" i="24"/>
  <c r="V549" i="24"/>
  <c r="V550" i="24"/>
  <c r="V551" i="24"/>
  <c r="V552" i="24"/>
  <c r="V553" i="24"/>
  <c r="V554" i="24"/>
  <c r="V555" i="24"/>
  <c r="V556" i="24"/>
  <c r="V557" i="24"/>
  <c r="V558" i="24"/>
  <c r="V559" i="24"/>
  <c r="V560" i="24"/>
  <c r="V561" i="24"/>
  <c r="V562" i="24"/>
  <c r="V563" i="24"/>
  <c r="V564" i="24"/>
  <c r="V565" i="24"/>
  <c r="V566" i="24"/>
  <c r="V567" i="24"/>
  <c r="V568" i="24"/>
  <c r="V569" i="24"/>
  <c r="V570" i="24"/>
  <c r="V571" i="24"/>
  <c r="V572" i="24"/>
  <c r="V573" i="24"/>
  <c r="V574" i="24"/>
  <c r="V575" i="24"/>
  <c r="V576" i="24"/>
  <c r="V577" i="24"/>
  <c r="V578" i="24"/>
  <c r="V579" i="24"/>
  <c r="V580" i="24"/>
  <c r="V581" i="24"/>
  <c r="V582" i="24"/>
  <c r="V583" i="24"/>
  <c r="V584" i="24"/>
  <c r="V585" i="24"/>
  <c r="V586" i="24"/>
  <c r="V587" i="24"/>
  <c r="V588" i="24"/>
  <c r="V589" i="24"/>
  <c r="V590" i="24"/>
  <c r="V591" i="24"/>
  <c r="V592" i="24"/>
  <c r="V593" i="24"/>
  <c r="V594" i="24"/>
  <c r="V595" i="24"/>
  <c r="V596" i="24"/>
  <c r="V597" i="24"/>
  <c r="V598" i="24"/>
  <c r="V599" i="24"/>
  <c r="V600" i="24"/>
  <c r="V601" i="24"/>
  <c r="V602" i="24"/>
  <c r="V603" i="24"/>
  <c r="V604" i="24"/>
  <c r="V605" i="24"/>
  <c r="V606" i="24"/>
  <c r="V607" i="24"/>
  <c r="V608" i="24"/>
  <c r="V609" i="24"/>
  <c r="V610" i="24"/>
  <c r="V611" i="24"/>
  <c r="V612" i="24"/>
  <c r="V613" i="24"/>
  <c r="V614" i="24"/>
  <c r="V615" i="24"/>
  <c r="V616" i="24"/>
  <c r="V617" i="24"/>
  <c r="V618" i="24"/>
  <c r="V619" i="24"/>
  <c r="V620" i="24"/>
  <c r="V621" i="24"/>
  <c r="V622" i="24"/>
  <c r="V623" i="24"/>
  <c r="V624" i="24"/>
  <c r="V625" i="24"/>
  <c r="V626" i="24"/>
  <c r="V627" i="24"/>
  <c r="V628" i="24"/>
  <c r="V629" i="24"/>
  <c r="V630" i="24"/>
  <c r="V631" i="24"/>
  <c r="V632" i="24"/>
  <c r="V633" i="24"/>
  <c r="V634" i="24"/>
  <c r="V635" i="24"/>
  <c r="V636" i="24"/>
  <c r="V637" i="24"/>
  <c r="V638" i="24"/>
  <c r="V639" i="24"/>
  <c r="V640" i="24"/>
  <c r="V641" i="24"/>
  <c r="V642" i="24"/>
  <c r="V643" i="24"/>
  <c r="V644" i="24"/>
  <c r="V645" i="24"/>
  <c r="V646" i="24"/>
  <c r="V647" i="24"/>
  <c r="V648" i="24"/>
  <c r="V649" i="24"/>
  <c r="V650" i="24"/>
  <c r="V651" i="24"/>
  <c r="V652" i="24"/>
  <c r="V653" i="24"/>
  <c r="V654" i="24"/>
  <c r="V655" i="24"/>
  <c r="V656" i="24"/>
  <c r="V657" i="24"/>
  <c r="V658" i="24"/>
  <c r="V659" i="24"/>
  <c r="V660" i="24"/>
  <c r="V661" i="24"/>
  <c r="V662" i="24"/>
  <c r="V663" i="24"/>
  <c r="V664" i="24"/>
  <c r="V665" i="24"/>
  <c r="V666" i="24"/>
  <c r="V667" i="24"/>
  <c r="V668" i="24"/>
  <c r="V669" i="24"/>
  <c r="V670" i="24"/>
  <c r="V671" i="24"/>
  <c r="V672" i="24"/>
  <c r="V673" i="24"/>
  <c r="V674" i="24"/>
  <c r="V675" i="24"/>
  <c r="V676" i="24"/>
  <c r="V677" i="24"/>
  <c r="V678" i="24"/>
  <c r="V679" i="24"/>
  <c r="V680" i="24"/>
  <c r="V681" i="24"/>
  <c r="V682" i="24"/>
  <c r="V683" i="24"/>
  <c r="V684" i="24"/>
  <c r="V685" i="24"/>
  <c r="V686" i="24"/>
  <c r="V687" i="24"/>
  <c r="V688" i="24"/>
  <c r="V689" i="24"/>
  <c r="V690" i="24"/>
  <c r="V691" i="24"/>
  <c r="V692" i="24"/>
  <c r="V693" i="24"/>
  <c r="V694" i="24"/>
  <c r="V695" i="24"/>
  <c r="V696" i="24"/>
  <c r="V697" i="24"/>
  <c r="V698" i="24"/>
  <c r="V699" i="24"/>
  <c r="V700" i="24"/>
  <c r="V701" i="24"/>
  <c r="V702" i="24"/>
  <c r="V703" i="24"/>
  <c r="V704" i="24"/>
  <c r="V705" i="24"/>
  <c r="V706" i="24"/>
  <c r="V707" i="24"/>
  <c r="V708" i="24"/>
  <c r="V709" i="24"/>
  <c r="V710" i="24"/>
  <c r="V711" i="24"/>
  <c r="V712" i="24"/>
  <c r="V713" i="24"/>
  <c r="V714" i="24"/>
  <c r="V715" i="24"/>
  <c r="V716" i="24"/>
  <c r="V717" i="24"/>
  <c r="V718" i="24"/>
  <c r="V719" i="24"/>
  <c r="V720" i="24"/>
  <c r="V721" i="24"/>
  <c r="V722" i="24"/>
  <c r="V723" i="24"/>
  <c r="V724" i="24"/>
  <c r="V725" i="24"/>
  <c r="V726" i="24"/>
  <c r="V727" i="24"/>
  <c r="V728" i="24"/>
  <c r="V729" i="24"/>
  <c r="V730" i="24"/>
  <c r="V731" i="24"/>
  <c r="V732" i="24"/>
  <c r="V733" i="24"/>
  <c r="V734" i="24"/>
  <c r="V735" i="24"/>
  <c r="V736" i="24"/>
  <c r="V737" i="24"/>
  <c r="V738" i="24"/>
  <c r="V739" i="24"/>
  <c r="V740" i="24"/>
  <c r="V741" i="24"/>
  <c r="V742" i="24"/>
  <c r="V743" i="24"/>
  <c r="E59" i="6"/>
  <c r="E58" i="6"/>
  <c r="E57" i="6"/>
  <c r="E56" i="6"/>
  <c r="Z725" i="24"/>
  <c r="Z668" i="24"/>
  <c r="Z485" i="24"/>
  <c r="Z355" i="24"/>
  <c r="Z208" i="24"/>
  <c r="Z207" i="24"/>
  <c r="Z174" i="24"/>
  <c r="Z163" i="24"/>
  <c r="Z132" i="24"/>
  <c r="Z40" i="24"/>
  <c r="Z35" i="24"/>
  <c r="P170" i="4"/>
  <c r="Q170" i="4"/>
  <c r="R170" i="4"/>
  <c r="S170" i="4"/>
  <c r="T170" i="4"/>
  <c r="U170" i="4"/>
  <c r="V170" i="4"/>
  <c r="W170" i="4"/>
  <c r="X170" i="4"/>
  <c r="Y170" i="4"/>
  <c r="P171" i="4"/>
  <c r="Q171" i="4"/>
  <c r="R171" i="4"/>
  <c r="S171" i="4"/>
  <c r="T171" i="4"/>
  <c r="U171" i="4"/>
  <c r="V171" i="4"/>
  <c r="W171" i="4"/>
  <c r="X171" i="4"/>
  <c r="Y171" i="4"/>
  <c r="F170" i="4"/>
  <c r="G170" i="4"/>
  <c r="H170" i="4"/>
  <c r="I170" i="4"/>
  <c r="J170" i="4"/>
  <c r="K170" i="4"/>
  <c r="L170" i="4"/>
  <c r="M170" i="4"/>
  <c r="N170" i="4"/>
  <c r="O170" i="4"/>
  <c r="F171" i="4"/>
  <c r="G171" i="4"/>
  <c r="H171" i="4"/>
  <c r="I171" i="4"/>
  <c r="J171" i="4"/>
  <c r="K171" i="4"/>
  <c r="L171" i="4"/>
  <c r="M171" i="4"/>
  <c r="N171" i="4"/>
  <c r="O171" i="4"/>
  <c r="F14" i="6"/>
  <c r="G14" i="6"/>
  <c r="H14" i="6"/>
  <c r="I14" i="6"/>
  <c r="J14" i="6"/>
  <c r="K14" i="6"/>
  <c r="L14" i="6"/>
  <c r="M14" i="6"/>
  <c r="N14" i="6"/>
  <c r="O14" i="6"/>
  <c r="E14" i="6"/>
  <c r="O9" i="6"/>
  <c r="O10" i="6"/>
  <c r="O11" i="6"/>
  <c r="O12"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E12" i="6"/>
  <c r="E11" i="6"/>
  <c r="E10" i="6"/>
  <c r="E9" i="6"/>
  <c r="F93" i="6"/>
  <c r="G93" i="6"/>
  <c r="H93" i="6"/>
  <c r="I93" i="6"/>
  <c r="J93" i="6"/>
  <c r="K93" i="6"/>
  <c r="L93" i="6"/>
  <c r="M93" i="6"/>
  <c r="N93" i="6"/>
  <c r="O93" i="6"/>
  <c r="P93" i="6"/>
  <c r="Q93" i="6"/>
  <c r="R93" i="6"/>
  <c r="S93" i="6"/>
  <c r="T93" i="6"/>
  <c r="U93" i="6"/>
  <c r="V93" i="6"/>
  <c r="W93" i="6"/>
  <c r="X93" i="6"/>
  <c r="Y93" i="6"/>
  <c r="E93" i="6"/>
  <c r="F186" i="4"/>
  <c r="F188" i="4"/>
  <c r="F190" i="4"/>
  <c r="F193" i="4"/>
  <c r="B201" i="4"/>
  <c r="F201" i="4"/>
  <c r="G186" i="4"/>
  <c r="G188" i="4"/>
  <c r="G190" i="4"/>
  <c r="G193" i="4"/>
  <c r="G201" i="4"/>
  <c r="H186" i="4"/>
  <c r="H188" i="4"/>
  <c r="H190" i="4"/>
  <c r="H193" i="4"/>
  <c r="H201" i="4"/>
  <c r="I186" i="4"/>
  <c r="I188" i="4"/>
  <c r="I190" i="4"/>
  <c r="I193" i="4"/>
  <c r="I201" i="4"/>
  <c r="J186" i="4"/>
  <c r="J188" i="4"/>
  <c r="J190" i="4"/>
  <c r="J193" i="4"/>
  <c r="J201" i="4"/>
  <c r="K186" i="4"/>
  <c r="K188" i="4"/>
  <c r="K190" i="4"/>
  <c r="K193" i="4"/>
  <c r="K201" i="4"/>
  <c r="L186" i="4"/>
  <c r="L188" i="4"/>
  <c r="L190" i="4"/>
  <c r="L193" i="4"/>
  <c r="L201" i="4"/>
  <c r="M186" i="4"/>
  <c r="M188" i="4"/>
  <c r="M190" i="4"/>
  <c r="M193" i="4"/>
  <c r="M201" i="4"/>
  <c r="N186" i="4"/>
  <c r="N188" i="4"/>
  <c r="N190" i="4"/>
  <c r="N193" i="4"/>
  <c r="N201" i="4"/>
  <c r="O186" i="4"/>
  <c r="O188" i="4"/>
  <c r="O190" i="4"/>
  <c r="O193" i="4"/>
  <c r="O201" i="4"/>
  <c r="P186" i="4"/>
  <c r="P188" i="4"/>
  <c r="P190" i="4"/>
  <c r="P193" i="4"/>
  <c r="P201" i="4"/>
  <c r="Q186" i="4"/>
  <c r="Q188" i="4"/>
  <c r="Q190" i="4"/>
  <c r="Q193" i="4"/>
  <c r="Q201" i="4"/>
  <c r="R186" i="4"/>
  <c r="R188" i="4"/>
  <c r="R190" i="4"/>
  <c r="R193" i="4"/>
  <c r="R201" i="4"/>
  <c r="S186" i="4"/>
  <c r="S188" i="4"/>
  <c r="S190" i="4"/>
  <c r="S193" i="4"/>
  <c r="S201" i="4"/>
  <c r="T186" i="4"/>
  <c r="T188" i="4"/>
  <c r="T190" i="4"/>
  <c r="T193" i="4"/>
  <c r="T201" i="4"/>
  <c r="U186" i="4"/>
  <c r="U188" i="4"/>
  <c r="U190" i="4"/>
  <c r="U193" i="4"/>
  <c r="U201" i="4"/>
  <c r="V186" i="4"/>
  <c r="V188" i="4"/>
  <c r="V190" i="4"/>
  <c r="V193" i="4"/>
  <c r="V201" i="4"/>
  <c r="W186" i="4"/>
  <c r="W188" i="4"/>
  <c r="W190" i="4"/>
  <c r="W193" i="4"/>
  <c r="W201" i="4"/>
  <c r="X186" i="4"/>
  <c r="X188" i="4"/>
  <c r="X190" i="4"/>
  <c r="X193" i="4"/>
  <c r="X201" i="4"/>
  <c r="Y186" i="4"/>
  <c r="Y188" i="4"/>
  <c r="Y190" i="4"/>
  <c r="Y193" i="4"/>
  <c r="Y201" i="4"/>
  <c r="F187" i="4"/>
  <c r="F189" i="4"/>
  <c r="F191" i="4"/>
  <c r="F194" i="4"/>
  <c r="B202" i="4"/>
  <c r="F202" i="4"/>
  <c r="G187" i="4"/>
  <c r="G189" i="4"/>
  <c r="G191" i="4"/>
  <c r="G194" i="4"/>
  <c r="G202" i="4"/>
  <c r="H187" i="4"/>
  <c r="H189" i="4"/>
  <c r="H191" i="4"/>
  <c r="H194" i="4"/>
  <c r="H202" i="4"/>
  <c r="I187" i="4"/>
  <c r="I189" i="4"/>
  <c r="I191" i="4"/>
  <c r="I194" i="4"/>
  <c r="I202" i="4"/>
  <c r="J187" i="4"/>
  <c r="J189" i="4"/>
  <c r="J191" i="4"/>
  <c r="J194" i="4"/>
  <c r="J202" i="4"/>
  <c r="K187" i="4"/>
  <c r="K189" i="4"/>
  <c r="K191" i="4"/>
  <c r="K194" i="4"/>
  <c r="K202" i="4"/>
  <c r="L187" i="4"/>
  <c r="L189" i="4"/>
  <c r="L191" i="4"/>
  <c r="L194" i="4"/>
  <c r="L202" i="4"/>
  <c r="M187" i="4"/>
  <c r="M189" i="4"/>
  <c r="M191" i="4"/>
  <c r="M194" i="4"/>
  <c r="M202" i="4"/>
  <c r="N187" i="4"/>
  <c r="N189" i="4"/>
  <c r="N191" i="4"/>
  <c r="N194" i="4"/>
  <c r="N202" i="4"/>
  <c r="O187" i="4"/>
  <c r="O189" i="4"/>
  <c r="O191" i="4"/>
  <c r="O194" i="4"/>
  <c r="O202" i="4"/>
  <c r="P187" i="4"/>
  <c r="P189" i="4"/>
  <c r="P191" i="4"/>
  <c r="P194" i="4"/>
  <c r="P202" i="4"/>
  <c r="Q187" i="4"/>
  <c r="Q189" i="4"/>
  <c r="Q191" i="4"/>
  <c r="Q194" i="4"/>
  <c r="Q202" i="4"/>
  <c r="R187" i="4"/>
  <c r="R189" i="4"/>
  <c r="R191" i="4"/>
  <c r="R194" i="4"/>
  <c r="R202" i="4"/>
  <c r="S187" i="4"/>
  <c r="S189" i="4"/>
  <c r="S191" i="4"/>
  <c r="S194" i="4"/>
  <c r="S202" i="4"/>
  <c r="T187" i="4"/>
  <c r="T189" i="4"/>
  <c r="T191" i="4"/>
  <c r="T194" i="4"/>
  <c r="T202" i="4"/>
  <c r="U187" i="4"/>
  <c r="U189" i="4"/>
  <c r="U191" i="4"/>
  <c r="U194" i="4"/>
  <c r="U202" i="4"/>
  <c r="V187" i="4"/>
  <c r="V189" i="4"/>
  <c r="V191" i="4"/>
  <c r="V194" i="4"/>
  <c r="V202" i="4"/>
  <c r="W187" i="4"/>
  <c r="W189" i="4"/>
  <c r="W191" i="4"/>
  <c r="W194" i="4"/>
  <c r="W202" i="4"/>
  <c r="X187" i="4"/>
  <c r="X189" i="4"/>
  <c r="X191" i="4"/>
  <c r="X194" i="4"/>
  <c r="X202" i="4"/>
  <c r="Y187" i="4"/>
  <c r="Y189" i="4"/>
  <c r="Y191" i="4"/>
  <c r="Y194" i="4"/>
  <c r="Y202" i="4"/>
  <c r="E187" i="4"/>
  <c r="E189" i="4"/>
  <c r="E191" i="4"/>
  <c r="E194" i="4"/>
  <c r="E202" i="4"/>
  <c r="E186" i="4"/>
  <c r="E188" i="4"/>
  <c r="E190" i="4"/>
  <c r="E193" i="4"/>
  <c r="E201" i="4"/>
  <c r="B196" i="4"/>
  <c r="F196" i="4"/>
  <c r="G196" i="4"/>
  <c r="H196" i="4"/>
  <c r="I196" i="4"/>
  <c r="J196" i="4"/>
  <c r="K196" i="4"/>
  <c r="L196" i="4"/>
  <c r="M196" i="4"/>
  <c r="N196" i="4"/>
  <c r="O196" i="4"/>
  <c r="P196" i="4"/>
  <c r="Q196" i="4"/>
  <c r="R196" i="4"/>
  <c r="S196" i="4"/>
  <c r="T196" i="4"/>
  <c r="U196" i="4"/>
  <c r="V196" i="4"/>
  <c r="W196" i="4"/>
  <c r="X196" i="4"/>
  <c r="Y196" i="4"/>
  <c r="B197" i="4"/>
  <c r="F197" i="4"/>
  <c r="G197" i="4"/>
  <c r="H197" i="4"/>
  <c r="I197" i="4"/>
  <c r="J197" i="4"/>
  <c r="K197" i="4"/>
  <c r="L197" i="4"/>
  <c r="M197" i="4"/>
  <c r="N197" i="4"/>
  <c r="O197" i="4"/>
  <c r="P197" i="4"/>
  <c r="Q197" i="4"/>
  <c r="R197" i="4"/>
  <c r="S197" i="4"/>
  <c r="T197" i="4"/>
  <c r="U197" i="4"/>
  <c r="V197" i="4"/>
  <c r="W197" i="4"/>
  <c r="X197" i="4"/>
  <c r="Y197" i="4"/>
  <c r="E197" i="4"/>
  <c r="E196" i="4"/>
  <c r="X218" i="4"/>
  <c r="V218" i="4"/>
  <c r="Y218" i="4"/>
  <c r="X219" i="4"/>
  <c r="V219" i="4"/>
  <c r="Y219" i="4"/>
  <c r="X220" i="4"/>
  <c r="V220" i="4"/>
  <c r="Y220" i="4"/>
  <c r="X221" i="4"/>
  <c r="V221" i="4"/>
  <c r="Y221" i="4"/>
  <c r="X222" i="4"/>
  <c r="V222" i="4"/>
  <c r="Y222" i="4"/>
  <c r="X223" i="4"/>
  <c r="V223" i="4"/>
  <c r="Y223" i="4"/>
  <c r="X224" i="4"/>
  <c r="V224" i="4"/>
  <c r="Y224" i="4"/>
  <c r="X225" i="4"/>
  <c r="V225" i="4"/>
  <c r="Y225" i="4"/>
  <c r="X226" i="4"/>
  <c r="V226" i="4"/>
  <c r="Y226" i="4"/>
  <c r="X227" i="4"/>
  <c r="V227" i="4"/>
  <c r="Y227" i="4"/>
  <c r="X228" i="4"/>
  <c r="V228" i="4"/>
  <c r="Y228" i="4"/>
  <c r="B235" i="4"/>
  <c r="B173" i="4"/>
  <c r="F145" i="4"/>
  <c r="F147" i="4"/>
  <c r="F161" i="4"/>
  <c r="F149" i="4"/>
  <c r="F151" i="4"/>
  <c r="F164" i="4"/>
  <c r="F153" i="4"/>
  <c r="F155" i="4"/>
  <c r="F167" i="4"/>
  <c r="F173" i="4"/>
  <c r="G145" i="4"/>
  <c r="G147" i="4"/>
  <c r="G161" i="4"/>
  <c r="G149" i="4"/>
  <c r="G151" i="4"/>
  <c r="G164" i="4"/>
  <c r="G153" i="4"/>
  <c r="G155" i="4"/>
  <c r="G167" i="4"/>
  <c r="G173" i="4"/>
  <c r="H145" i="4"/>
  <c r="H147" i="4"/>
  <c r="H161" i="4"/>
  <c r="H149" i="4"/>
  <c r="H151" i="4"/>
  <c r="H164" i="4"/>
  <c r="H153" i="4"/>
  <c r="H155" i="4"/>
  <c r="H167" i="4"/>
  <c r="H173" i="4"/>
  <c r="I145" i="4"/>
  <c r="I147" i="4"/>
  <c r="I161" i="4"/>
  <c r="I149" i="4"/>
  <c r="I151" i="4"/>
  <c r="I164" i="4"/>
  <c r="I153" i="4"/>
  <c r="I155" i="4"/>
  <c r="I167" i="4"/>
  <c r="I173" i="4"/>
  <c r="J145" i="4"/>
  <c r="J147" i="4"/>
  <c r="J161" i="4"/>
  <c r="J149" i="4"/>
  <c r="J151" i="4"/>
  <c r="J164" i="4"/>
  <c r="J153" i="4"/>
  <c r="J155" i="4"/>
  <c r="J167" i="4"/>
  <c r="J173" i="4"/>
  <c r="K145" i="4"/>
  <c r="K147" i="4"/>
  <c r="K161" i="4"/>
  <c r="K149" i="4"/>
  <c r="K151" i="4"/>
  <c r="K164" i="4"/>
  <c r="K153" i="4"/>
  <c r="K155" i="4"/>
  <c r="K167" i="4"/>
  <c r="K173" i="4"/>
  <c r="L145" i="4"/>
  <c r="L147" i="4"/>
  <c r="L161" i="4"/>
  <c r="L149" i="4"/>
  <c r="L151" i="4"/>
  <c r="L164" i="4"/>
  <c r="L153" i="4"/>
  <c r="L155" i="4"/>
  <c r="L167" i="4"/>
  <c r="L173" i="4"/>
  <c r="M145" i="4"/>
  <c r="M147" i="4"/>
  <c r="M161" i="4"/>
  <c r="M149" i="4"/>
  <c r="M151" i="4"/>
  <c r="M164" i="4"/>
  <c r="M153" i="4"/>
  <c r="M155" i="4"/>
  <c r="M167" i="4"/>
  <c r="M173" i="4"/>
  <c r="N145" i="4"/>
  <c r="N147" i="4"/>
  <c r="N161" i="4"/>
  <c r="N149" i="4"/>
  <c r="N151" i="4"/>
  <c r="N164" i="4"/>
  <c r="N153" i="4"/>
  <c r="N155" i="4"/>
  <c r="N167" i="4"/>
  <c r="N173" i="4"/>
  <c r="O145" i="4"/>
  <c r="O147" i="4"/>
  <c r="O161" i="4"/>
  <c r="O149" i="4"/>
  <c r="O151" i="4"/>
  <c r="O164" i="4"/>
  <c r="O153" i="4"/>
  <c r="O155" i="4"/>
  <c r="O167" i="4"/>
  <c r="O173" i="4"/>
  <c r="P145" i="4"/>
  <c r="P147" i="4"/>
  <c r="P161" i="4"/>
  <c r="P149" i="4"/>
  <c r="P151" i="4"/>
  <c r="P164" i="4"/>
  <c r="P153" i="4"/>
  <c r="P155" i="4"/>
  <c r="P167" i="4"/>
  <c r="P173" i="4"/>
  <c r="Q145" i="4"/>
  <c r="Q147" i="4"/>
  <c r="Q161" i="4"/>
  <c r="Q149" i="4"/>
  <c r="Q151" i="4"/>
  <c r="Q164" i="4"/>
  <c r="Q153" i="4"/>
  <c r="Q155" i="4"/>
  <c r="Q167" i="4"/>
  <c r="Q173" i="4"/>
  <c r="R145" i="4"/>
  <c r="R147" i="4"/>
  <c r="R161" i="4"/>
  <c r="R149" i="4"/>
  <c r="R151" i="4"/>
  <c r="R164" i="4"/>
  <c r="R153" i="4"/>
  <c r="R155" i="4"/>
  <c r="R167" i="4"/>
  <c r="R173" i="4"/>
  <c r="S145" i="4"/>
  <c r="S147" i="4"/>
  <c r="S161" i="4"/>
  <c r="S149" i="4"/>
  <c r="S151" i="4"/>
  <c r="S164" i="4"/>
  <c r="S153" i="4"/>
  <c r="S155" i="4"/>
  <c r="S167" i="4"/>
  <c r="S173" i="4"/>
  <c r="T145" i="4"/>
  <c r="T147" i="4"/>
  <c r="T161" i="4"/>
  <c r="T149" i="4"/>
  <c r="T151" i="4"/>
  <c r="T164" i="4"/>
  <c r="T153" i="4"/>
  <c r="T155" i="4"/>
  <c r="T167" i="4"/>
  <c r="T173" i="4"/>
  <c r="U145" i="4"/>
  <c r="U147" i="4"/>
  <c r="U161" i="4"/>
  <c r="U149" i="4"/>
  <c r="U151" i="4"/>
  <c r="U164" i="4"/>
  <c r="U153" i="4"/>
  <c r="U155" i="4"/>
  <c r="U167" i="4"/>
  <c r="U173" i="4"/>
  <c r="V145" i="4"/>
  <c r="V147" i="4"/>
  <c r="V161" i="4"/>
  <c r="V149" i="4"/>
  <c r="V151" i="4"/>
  <c r="V164" i="4"/>
  <c r="V153" i="4"/>
  <c r="V155" i="4"/>
  <c r="V167" i="4"/>
  <c r="V173" i="4"/>
  <c r="W145" i="4"/>
  <c r="W147" i="4"/>
  <c r="W161" i="4"/>
  <c r="W149" i="4"/>
  <c r="W151" i="4"/>
  <c r="W164" i="4"/>
  <c r="W153" i="4"/>
  <c r="W155" i="4"/>
  <c r="W167" i="4"/>
  <c r="W173" i="4"/>
  <c r="X145" i="4"/>
  <c r="X147" i="4"/>
  <c r="X161" i="4"/>
  <c r="X149" i="4"/>
  <c r="X151" i="4"/>
  <c r="X164" i="4"/>
  <c r="X153" i="4"/>
  <c r="X155" i="4"/>
  <c r="X167" i="4"/>
  <c r="X173" i="4"/>
  <c r="Y145" i="4"/>
  <c r="Y147" i="4"/>
  <c r="Y161" i="4"/>
  <c r="Y149" i="4"/>
  <c r="Y151" i="4"/>
  <c r="Y164" i="4"/>
  <c r="Y153" i="4"/>
  <c r="Y155" i="4"/>
  <c r="Y167" i="4"/>
  <c r="Y173" i="4"/>
  <c r="B174" i="4"/>
  <c r="F146" i="4"/>
  <c r="F162" i="4"/>
  <c r="F150" i="4"/>
  <c r="F165" i="4"/>
  <c r="F154" i="4"/>
  <c r="F168" i="4"/>
  <c r="F174" i="4"/>
  <c r="G146" i="4"/>
  <c r="G162" i="4"/>
  <c r="G150" i="4"/>
  <c r="G165" i="4"/>
  <c r="G154" i="4"/>
  <c r="G168" i="4"/>
  <c r="G174" i="4"/>
  <c r="H146" i="4"/>
  <c r="H162" i="4"/>
  <c r="H150" i="4"/>
  <c r="H165" i="4"/>
  <c r="H154" i="4"/>
  <c r="H168" i="4"/>
  <c r="H174" i="4"/>
  <c r="I146" i="4"/>
  <c r="I162" i="4"/>
  <c r="I150" i="4"/>
  <c r="I165" i="4"/>
  <c r="I154" i="4"/>
  <c r="I168" i="4"/>
  <c r="I174" i="4"/>
  <c r="J146" i="4"/>
  <c r="J162" i="4"/>
  <c r="J150" i="4"/>
  <c r="J165" i="4"/>
  <c r="J154" i="4"/>
  <c r="J168" i="4"/>
  <c r="J174" i="4"/>
  <c r="K146" i="4"/>
  <c r="K162" i="4"/>
  <c r="K150" i="4"/>
  <c r="K165" i="4"/>
  <c r="K154" i="4"/>
  <c r="K168" i="4"/>
  <c r="K174" i="4"/>
  <c r="L146" i="4"/>
  <c r="L162" i="4"/>
  <c r="L150" i="4"/>
  <c r="L165" i="4"/>
  <c r="L154" i="4"/>
  <c r="L168" i="4"/>
  <c r="L174" i="4"/>
  <c r="M146" i="4"/>
  <c r="M162" i="4"/>
  <c r="M150" i="4"/>
  <c r="M165" i="4"/>
  <c r="M154" i="4"/>
  <c r="M168" i="4"/>
  <c r="M174" i="4"/>
  <c r="N146" i="4"/>
  <c r="N162" i="4"/>
  <c r="N150" i="4"/>
  <c r="N165" i="4"/>
  <c r="N154" i="4"/>
  <c r="N168" i="4"/>
  <c r="N174" i="4"/>
  <c r="O146" i="4"/>
  <c r="O162" i="4"/>
  <c r="O150" i="4"/>
  <c r="O165" i="4"/>
  <c r="O154" i="4"/>
  <c r="O168" i="4"/>
  <c r="O174" i="4"/>
  <c r="P146" i="4"/>
  <c r="P162" i="4"/>
  <c r="P150" i="4"/>
  <c r="P165" i="4"/>
  <c r="P154" i="4"/>
  <c r="P168" i="4"/>
  <c r="P174" i="4"/>
  <c r="Q146" i="4"/>
  <c r="Q162" i="4"/>
  <c r="Q150" i="4"/>
  <c r="Q165" i="4"/>
  <c r="Q154" i="4"/>
  <c r="Q168" i="4"/>
  <c r="Q174" i="4"/>
  <c r="R146" i="4"/>
  <c r="R162" i="4"/>
  <c r="R150" i="4"/>
  <c r="R165" i="4"/>
  <c r="R154" i="4"/>
  <c r="R168" i="4"/>
  <c r="R174" i="4"/>
  <c r="S146" i="4"/>
  <c r="S162" i="4"/>
  <c r="S150" i="4"/>
  <c r="S165" i="4"/>
  <c r="S154" i="4"/>
  <c r="S168" i="4"/>
  <c r="S174" i="4"/>
  <c r="T146" i="4"/>
  <c r="T162" i="4"/>
  <c r="T150" i="4"/>
  <c r="T165" i="4"/>
  <c r="T154" i="4"/>
  <c r="T168" i="4"/>
  <c r="T174" i="4"/>
  <c r="U146" i="4"/>
  <c r="U162" i="4"/>
  <c r="U150" i="4"/>
  <c r="U165" i="4"/>
  <c r="U154" i="4"/>
  <c r="U168" i="4"/>
  <c r="U174" i="4"/>
  <c r="V146" i="4"/>
  <c r="V162" i="4"/>
  <c r="V150" i="4"/>
  <c r="V165" i="4"/>
  <c r="V154" i="4"/>
  <c r="V168" i="4"/>
  <c r="V174" i="4"/>
  <c r="W146" i="4"/>
  <c r="W162" i="4"/>
  <c r="W150" i="4"/>
  <c r="W165" i="4"/>
  <c r="W154" i="4"/>
  <c r="W168" i="4"/>
  <c r="W174" i="4"/>
  <c r="X146" i="4"/>
  <c r="X162" i="4"/>
  <c r="X150" i="4"/>
  <c r="X165" i="4"/>
  <c r="X154" i="4"/>
  <c r="X168" i="4"/>
  <c r="X174" i="4"/>
  <c r="Y146" i="4"/>
  <c r="Y162" i="4"/>
  <c r="Y150" i="4"/>
  <c r="Y165" i="4"/>
  <c r="Y154" i="4"/>
  <c r="Y168" i="4"/>
  <c r="Y174" i="4"/>
  <c r="E145" i="4"/>
  <c r="E147" i="4"/>
  <c r="E161" i="4"/>
  <c r="E149" i="4"/>
  <c r="E151" i="4"/>
  <c r="E164" i="4"/>
  <c r="E153" i="4"/>
  <c r="E155" i="4"/>
  <c r="E167" i="4"/>
  <c r="E173" i="4"/>
  <c r="E146" i="4"/>
  <c r="E162" i="4"/>
  <c r="E150" i="4"/>
  <c r="E165" i="4"/>
  <c r="E154" i="4"/>
  <c r="E168" i="4"/>
  <c r="E174" i="4"/>
  <c r="E171" i="4"/>
  <c r="E170" i="4"/>
  <c r="F158" i="4"/>
  <c r="F159" i="4"/>
  <c r="G158" i="4"/>
  <c r="G159" i="4"/>
  <c r="H158" i="4"/>
  <c r="H159" i="4"/>
  <c r="I158" i="4"/>
  <c r="I159" i="4"/>
  <c r="J158" i="4"/>
  <c r="J159" i="4"/>
  <c r="K158" i="4"/>
  <c r="K159" i="4"/>
  <c r="L158" i="4"/>
  <c r="L159" i="4"/>
  <c r="M158" i="4"/>
  <c r="M159" i="4"/>
  <c r="N158" i="4"/>
  <c r="N159" i="4"/>
  <c r="O158" i="4"/>
  <c r="O159" i="4"/>
  <c r="P158" i="4"/>
  <c r="P159" i="4"/>
  <c r="Q158" i="4"/>
  <c r="Q159" i="4"/>
  <c r="R158" i="4"/>
  <c r="R159" i="4"/>
  <c r="S158" i="4"/>
  <c r="S159" i="4"/>
  <c r="T158" i="4"/>
  <c r="T159" i="4"/>
  <c r="U158" i="4"/>
  <c r="U159" i="4"/>
  <c r="V158" i="4"/>
  <c r="V159" i="4"/>
  <c r="W158" i="4"/>
  <c r="W159" i="4"/>
  <c r="X158" i="4"/>
  <c r="X159" i="4"/>
  <c r="Y158" i="4"/>
  <c r="Y159" i="4"/>
  <c r="E158" i="4"/>
  <c r="E159" i="4"/>
  <c r="F157" i="4"/>
  <c r="G157" i="4"/>
  <c r="H157" i="4"/>
  <c r="I157" i="4"/>
  <c r="J157" i="4"/>
  <c r="K157" i="4"/>
  <c r="L157" i="4"/>
  <c r="M157" i="4"/>
  <c r="N157" i="4"/>
  <c r="O157" i="4"/>
  <c r="P157" i="4"/>
  <c r="Q157" i="4"/>
  <c r="R157" i="4"/>
  <c r="S157" i="4"/>
  <c r="T157" i="4"/>
  <c r="U157" i="4"/>
  <c r="V157" i="4"/>
  <c r="W157" i="4"/>
  <c r="X157" i="4"/>
  <c r="Y157" i="4"/>
  <c r="E157" i="4"/>
  <c r="D51" i="35"/>
  <c r="E51" i="35"/>
  <c r="F51" i="35"/>
  <c r="G51" i="35"/>
  <c r="H51" i="35"/>
  <c r="I51" i="35"/>
  <c r="J51" i="35"/>
  <c r="K51" i="35"/>
  <c r="L51" i="35"/>
  <c r="M51" i="35"/>
  <c r="N51" i="35"/>
  <c r="O51" i="35"/>
  <c r="P51" i="35"/>
  <c r="Q51" i="35"/>
  <c r="R51" i="35"/>
  <c r="S51" i="35"/>
  <c r="T51" i="35"/>
  <c r="U51" i="35"/>
  <c r="V51" i="35"/>
  <c r="W51" i="35"/>
  <c r="D52" i="35"/>
  <c r="E52" i="35"/>
  <c r="F52" i="35"/>
  <c r="G52" i="35"/>
  <c r="H52" i="35"/>
  <c r="I52" i="35"/>
  <c r="J52" i="35"/>
  <c r="K52" i="35"/>
  <c r="L52" i="35"/>
  <c r="M52" i="35"/>
  <c r="N52" i="35"/>
  <c r="O52" i="35"/>
  <c r="P52" i="35"/>
  <c r="Q52" i="35"/>
  <c r="R52" i="35"/>
  <c r="S52" i="35"/>
  <c r="T52" i="35"/>
  <c r="U52" i="35"/>
  <c r="V52" i="35"/>
  <c r="W52" i="35"/>
  <c r="D53" i="35"/>
  <c r="E53" i="35"/>
  <c r="F53" i="35"/>
  <c r="G53" i="35"/>
  <c r="H53" i="35"/>
  <c r="I53" i="35"/>
  <c r="J53" i="35"/>
  <c r="K53" i="35"/>
  <c r="L53" i="35"/>
  <c r="M53" i="35"/>
  <c r="N53" i="35"/>
  <c r="O53" i="35"/>
  <c r="P53" i="35"/>
  <c r="Q53" i="35"/>
  <c r="R53" i="35"/>
  <c r="S53" i="35"/>
  <c r="T53" i="35"/>
  <c r="U53" i="35"/>
  <c r="V53" i="35"/>
  <c r="W53" i="35"/>
  <c r="C52" i="35"/>
  <c r="C53" i="35"/>
  <c r="C51" i="35"/>
  <c r="O9" i="35"/>
  <c r="P9" i="35"/>
  <c r="Q9" i="35"/>
  <c r="R9" i="35"/>
  <c r="S9" i="35"/>
  <c r="T9" i="35"/>
  <c r="U9" i="35"/>
  <c r="V9" i="35"/>
  <c r="W9" i="35"/>
  <c r="O7" i="35"/>
  <c r="P7" i="35"/>
  <c r="Q7" i="35"/>
  <c r="R7" i="35"/>
  <c r="S7" i="35"/>
  <c r="T7" i="35"/>
  <c r="U7" i="35"/>
  <c r="V7" i="35"/>
  <c r="W7" i="35"/>
  <c r="O5" i="35"/>
  <c r="P5" i="35"/>
  <c r="Q5" i="35"/>
  <c r="R5" i="35"/>
  <c r="S5" i="35"/>
  <c r="T5" i="35"/>
  <c r="U5" i="35"/>
  <c r="V5" i="35"/>
  <c r="W5" i="35"/>
  <c r="N9" i="35"/>
  <c r="N7" i="35"/>
  <c r="N5" i="35"/>
  <c r="D8" i="35"/>
  <c r="E8" i="35"/>
  <c r="F8" i="35"/>
  <c r="G8" i="35"/>
  <c r="H8" i="35"/>
  <c r="I8" i="35"/>
  <c r="J8" i="35"/>
  <c r="K8" i="35"/>
  <c r="L8" i="35"/>
  <c r="M8" i="35"/>
  <c r="D6" i="35"/>
  <c r="E6" i="35"/>
  <c r="F6" i="35"/>
  <c r="G6" i="35"/>
  <c r="H6" i="35"/>
  <c r="I6" i="35"/>
  <c r="J6" i="35"/>
  <c r="K6" i="35"/>
  <c r="L6" i="35"/>
  <c r="M6" i="35"/>
  <c r="D4" i="35"/>
  <c r="E4" i="35"/>
  <c r="F4" i="35"/>
  <c r="G4" i="35"/>
  <c r="H4" i="35"/>
  <c r="I4" i="35"/>
  <c r="J4" i="35"/>
  <c r="K4" i="35"/>
  <c r="L4" i="35"/>
  <c r="M4" i="35"/>
  <c r="C8" i="35"/>
  <c r="C6" i="35"/>
  <c r="C4" i="35"/>
  <c r="M9" i="35"/>
  <c r="L9" i="35"/>
  <c r="K9" i="35"/>
  <c r="J9" i="35"/>
  <c r="I9" i="35"/>
  <c r="H9" i="35"/>
  <c r="G9" i="35"/>
  <c r="F9" i="35"/>
  <c r="E9" i="35"/>
  <c r="D9" i="35"/>
  <c r="C9" i="35"/>
  <c r="M7" i="35"/>
  <c r="L7" i="35"/>
  <c r="K7" i="35"/>
  <c r="J7" i="35"/>
  <c r="I7" i="35"/>
  <c r="H7" i="35"/>
  <c r="G7" i="35"/>
  <c r="F7" i="35"/>
  <c r="E7" i="35"/>
  <c r="D7" i="35"/>
  <c r="C7" i="35"/>
  <c r="M5" i="35"/>
  <c r="L5" i="35"/>
  <c r="K5" i="35"/>
  <c r="J5" i="35"/>
  <c r="I5" i="35"/>
  <c r="H5" i="35"/>
  <c r="G5" i="35"/>
  <c r="F5" i="35"/>
  <c r="E5" i="35"/>
  <c r="D5" i="35"/>
  <c r="C5" i="35"/>
  <c r="D14" i="1"/>
  <c r="F17" i="6"/>
  <c r="E14" i="1"/>
  <c r="G17" i="6"/>
  <c r="F14" i="1"/>
  <c r="H17" i="6"/>
  <c r="G14" i="1"/>
  <c r="I17" i="6"/>
  <c r="H14" i="1"/>
  <c r="J17" i="6"/>
  <c r="I14" i="1"/>
  <c r="K17" i="6"/>
  <c r="J14" i="1"/>
  <c r="L17" i="6"/>
  <c r="K14" i="1"/>
  <c r="M17" i="6"/>
  <c r="L14" i="1"/>
  <c r="N17" i="6"/>
  <c r="M14" i="1"/>
  <c r="O17" i="6"/>
  <c r="C14" i="1"/>
  <c r="E17" i="6"/>
  <c r="B5" i="16"/>
  <c r="B43" i="16"/>
  <c r="B37" i="16"/>
  <c r="F109" i="4"/>
  <c r="D59" i="1"/>
  <c r="G109" i="4"/>
  <c r="E59" i="1"/>
  <c r="H109" i="4"/>
  <c r="F59" i="1"/>
  <c r="I109" i="4"/>
  <c r="G59" i="1"/>
  <c r="J109" i="4"/>
  <c r="H59" i="1"/>
  <c r="K109" i="4"/>
  <c r="I59" i="1"/>
  <c r="L109" i="4"/>
  <c r="J59" i="1"/>
  <c r="M109" i="4"/>
  <c r="K59" i="1"/>
  <c r="N109" i="4"/>
  <c r="L59" i="1"/>
  <c r="O109" i="4"/>
  <c r="M59" i="1"/>
  <c r="F119" i="4"/>
  <c r="D60" i="1"/>
  <c r="G119" i="4"/>
  <c r="E60" i="1"/>
  <c r="H119" i="4"/>
  <c r="F60" i="1"/>
  <c r="I119" i="4"/>
  <c r="G60" i="1"/>
  <c r="J119" i="4"/>
  <c r="H60" i="1"/>
  <c r="K119" i="4"/>
  <c r="I60" i="1"/>
  <c r="L119" i="4"/>
  <c r="J60" i="1"/>
  <c r="M119" i="4"/>
  <c r="K60" i="1"/>
  <c r="N119" i="4"/>
  <c r="L60" i="1"/>
  <c r="O119" i="4"/>
  <c r="M60" i="1"/>
  <c r="F129" i="4"/>
  <c r="D61" i="1"/>
  <c r="G129" i="4"/>
  <c r="E61" i="1"/>
  <c r="H129" i="4"/>
  <c r="F61" i="1"/>
  <c r="I129" i="4"/>
  <c r="G61" i="1"/>
  <c r="J129" i="4"/>
  <c r="H61" i="1"/>
  <c r="K129" i="4"/>
  <c r="I61" i="1"/>
  <c r="L129" i="4"/>
  <c r="J61" i="1"/>
  <c r="M129" i="4"/>
  <c r="K61" i="1"/>
  <c r="N129" i="4"/>
  <c r="L61" i="1"/>
  <c r="O129" i="4"/>
  <c r="M61" i="1"/>
  <c r="E129" i="4"/>
  <c r="C61" i="1"/>
  <c r="E119" i="4"/>
  <c r="C60" i="1"/>
  <c r="E109" i="4"/>
  <c r="C59" i="1"/>
  <c r="F133" i="4"/>
  <c r="G133" i="4"/>
  <c r="H133" i="4"/>
  <c r="I133" i="4"/>
  <c r="J133" i="4"/>
  <c r="K133" i="4"/>
  <c r="L133" i="4"/>
  <c r="M133" i="4"/>
  <c r="N133" i="4"/>
  <c r="O133" i="4"/>
  <c r="F123" i="4"/>
  <c r="G123" i="4"/>
  <c r="H123" i="4"/>
  <c r="I123" i="4"/>
  <c r="J123" i="4"/>
  <c r="K123" i="4"/>
  <c r="L123" i="4"/>
  <c r="M123" i="4"/>
  <c r="N123" i="4"/>
  <c r="O123" i="4"/>
  <c r="E133" i="4"/>
  <c r="E123" i="4"/>
  <c r="F113" i="4"/>
  <c r="G113" i="4"/>
  <c r="H113" i="4"/>
  <c r="I113" i="4"/>
  <c r="J113" i="4"/>
  <c r="K113" i="4"/>
  <c r="L113" i="4"/>
  <c r="M113" i="4"/>
  <c r="N113" i="4"/>
  <c r="O113" i="4"/>
  <c r="E113" i="4"/>
  <c r="B4" i="16"/>
  <c r="B36" i="16"/>
  <c r="F79" i="4"/>
  <c r="D27" i="1"/>
  <c r="D29" i="1"/>
  <c r="F36" i="16"/>
  <c r="G79" i="4"/>
  <c r="E27" i="1"/>
  <c r="E29" i="1"/>
  <c r="G36" i="16"/>
  <c r="H79" i="4"/>
  <c r="F27" i="1"/>
  <c r="F29" i="1"/>
  <c r="H36" i="16"/>
  <c r="I79" i="4"/>
  <c r="G27" i="1"/>
  <c r="G29" i="1"/>
  <c r="I36" i="16"/>
  <c r="J79" i="4"/>
  <c r="H27" i="1"/>
  <c r="H29" i="1"/>
  <c r="J36" i="16"/>
  <c r="K79" i="4"/>
  <c r="I27" i="1"/>
  <c r="I29" i="1"/>
  <c r="K36" i="16"/>
  <c r="L79" i="4"/>
  <c r="J27" i="1"/>
  <c r="J29" i="1"/>
  <c r="L36" i="16"/>
  <c r="M79" i="4"/>
  <c r="K27" i="1"/>
  <c r="K29" i="1"/>
  <c r="M36" i="16"/>
  <c r="N79" i="4"/>
  <c r="L27" i="1"/>
  <c r="L29" i="1"/>
  <c r="N36" i="16"/>
  <c r="O79" i="4"/>
  <c r="M27" i="1"/>
  <c r="M29" i="1"/>
  <c r="O36" i="16"/>
  <c r="F43" i="16"/>
  <c r="G43" i="16"/>
  <c r="H43" i="16"/>
  <c r="I43" i="16"/>
  <c r="J43" i="16"/>
  <c r="K43" i="16"/>
  <c r="L43" i="16"/>
  <c r="M43" i="16"/>
  <c r="N43" i="16"/>
  <c r="O43" i="16"/>
  <c r="E43" i="16"/>
  <c r="B38" i="16"/>
  <c r="D37" i="1"/>
  <c r="D43" i="1"/>
  <c r="D36" i="1"/>
  <c r="D35" i="1"/>
  <c r="D41" i="1"/>
  <c r="F38" i="16"/>
  <c r="F37" i="16"/>
  <c r="E37" i="1"/>
  <c r="E43" i="1"/>
  <c r="E36" i="1"/>
  <c r="E35" i="1"/>
  <c r="E41" i="1"/>
  <c r="G38" i="16"/>
  <c r="G37" i="16"/>
  <c r="F37" i="1"/>
  <c r="F43" i="1"/>
  <c r="F36" i="1"/>
  <c r="F35" i="1"/>
  <c r="F41" i="1"/>
  <c r="H38" i="16"/>
  <c r="H37" i="16"/>
  <c r="G37" i="1"/>
  <c r="G43" i="1"/>
  <c r="G36" i="1"/>
  <c r="G35" i="1"/>
  <c r="G41" i="1"/>
  <c r="I38" i="16"/>
  <c r="I37" i="16"/>
  <c r="H37" i="1"/>
  <c r="H43" i="1"/>
  <c r="H36" i="1"/>
  <c r="H35" i="1"/>
  <c r="H41" i="1"/>
  <c r="J38" i="16"/>
  <c r="J37" i="16"/>
  <c r="I37" i="1"/>
  <c r="I43" i="1"/>
  <c r="I36" i="1"/>
  <c r="I35" i="1"/>
  <c r="I41" i="1"/>
  <c r="K38" i="16"/>
  <c r="K37" i="16"/>
  <c r="J37" i="1"/>
  <c r="J43" i="1"/>
  <c r="J36" i="1"/>
  <c r="J35" i="1"/>
  <c r="J41" i="1"/>
  <c r="L38" i="16"/>
  <c r="L37" i="16"/>
  <c r="K37" i="1"/>
  <c r="K43" i="1"/>
  <c r="K36" i="1"/>
  <c r="K35" i="1"/>
  <c r="K41" i="1"/>
  <c r="M38" i="16"/>
  <c r="M37" i="16"/>
  <c r="L37" i="1"/>
  <c r="L43" i="1"/>
  <c r="L36" i="1"/>
  <c r="L35" i="1"/>
  <c r="L41" i="1"/>
  <c r="N38" i="16"/>
  <c r="N37" i="16"/>
  <c r="M37" i="1"/>
  <c r="M43" i="1"/>
  <c r="M36" i="1"/>
  <c r="M35" i="1"/>
  <c r="M41" i="1"/>
  <c r="O38" i="16"/>
  <c r="O37" i="16"/>
  <c r="E79" i="4"/>
  <c r="C27" i="1"/>
  <c r="C29" i="1"/>
  <c r="E36" i="16"/>
  <c r="C37" i="1"/>
  <c r="C43" i="1"/>
  <c r="C36" i="1"/>
  <c r="C35" i="1"/>
  <c r="C41" i="1"/>
  <c r="E38" i="16"/>
  <c r="E37" i="16"/>
  <c r="D38" i="1"/>
  <c r="E38" i="1"/>
  <c r="F38" i="1"/>
  <c r="G38" i="1"/>
  <c r="H38" i="1"/>
  <c r="I38" i="1"/>
  <c r="J38" i="1"/>
  <c r="K38" i="1"/>
  <c r="L38" i="1"/>
  <c r="M38" i="1"/>
  <c r="D39" i="1"/>
  <c r="E39" i="1"/>
  <c r="F39" i="1"/>
  <c r="G39" i="1"/>
  <c r="H39" i="1"/>
  <c r="I39" i="1"/>
  <c r="J39" i="1"/>
  <c r="K39" i="1"/>
  <c r="L39" i="1"/>
  <c r="M39" i="1"/>
  <c r="D40" i="1"/>
  <c r="E40" i="1"/>
  <c r="F40" i="1"/>
  <c r="G40" i="1"/>
  <c r="H40" i="1"/>
  <c r="I40" i="1"/>
  <c r="J40" i="1"/>
  <c r="K40" i="1"/>
  <c r="L40" i="1"/>
  <c r="M40" i="1"/>
  <c r="D42" i="1"/>
  <c r="E42" i="1"/>
  <c r="F42" i="1"/>
  <c r="G42" i="1"/>
  <c r="H42" i="1"/>
  <c r="I42" i="1"/>
  <c r="J42" i="1"/>
  <c r="K42" i="1"/>
  <c r="L42" i="1"/>
  <c r="M42" i="1"/>
  <c r="D44" i="1"/>
  <c r="E44" i="1"/>
  <c r="F44" i="1"/>
  <c r="G44" i="1"/>
  <c r="H44" i="1"/>
  <c r="I44" i="1"/>
  <c r="J44" i="1"/>
  <c r="K44" i="1"/>
  <c r="L44" i="1"/>
  <c r="M44" i="1"/>
  <c r="D45" i="1"/>
  <c r="E45" i="1"/>
  <c r="F45" i="1"/>
  <c r="G45" i="1"/>
  <c r="H45" i="1"/>
  <c r="I45" i="1"/>
  <c r="J45" i="1"/>
  <c r="K45" i="1"/>
  <c r="L45" i="1"/>
  <c r="M45" i="1"/>
  <c r="D46" i="1"/>
  <c r="E46" i="1"/>
  <c r="F46" i="1"/>
  <c r="G46" i="1"/>
  <c r="H46" i="1"/>
  <c r="I46" i="1"/>
  <c r="J46" i="1"/>
  <c r="K46" i="1"/>
  <c r="L46" i="1"/>
  <c r="M46" i="1"/>
  <c r="C44" i="1"/>
  <c r="C46" i="1"/>
  <c r="C45" i="1"/>
  <c r="C42" i="1"/>
  <c r="C40" i="1"/>
  <c r="C39" i="1"/>
  <c r="C38" i="1"/>
  <c r="D6" i="1"/>
  <c r="D5" i="1"/>
  <c r="D7" i="1"/>
  <c r="F4" i="16"/>
  <c r="D18" i="1"/>
  <c r="D15" i="1"/>
  <c r="D21" i="1"/>
  <c r="D19" i="1"/>
  <c r="F6" i="16"/>
  <c r="F5" i="16"/>
  <c r="E6" i="1"/>
  <c r="E5" i="1"/>
  <c r="E7" i="1"/>
  <c r="G4" i="16"/>
  <c r="E18" i="1"/>
  <c r="E15" i="1"/>
  <c r="E21" i="1"/>
  <c r="E19" i="1"/>
  <c r="G6" i="16"/>
  <c r="G5" i="16"/>
  <c r="F6" i="1"/>
  <c r="F5" i="1"/>
  <c r="F7" i="1"/>
  <c r="H4" i="16"/>
  <c r="F18" i="1"/>
  <c r="F15" i="1"/>
  <c r="F21" i="1"/>
  <c r="F19" i="1"/>
  <c r="H6" i="16"/>
  <c r="H5" i="16"/>
  <c r="G6" i="1"/>
  <c r="G5" i="1"/>
  <c r="G7" i="1"/>
  <c r="I4" i="16"/>
  <c r="G18" i="1"/>
  <c r="G15" i="1"/>
  <c r="G21" i="1"/>
  <c r="G19" i="1"/>
  <c r="I6" i="16"/>
  <c r="I5" i="16"/>
  <c r="H6" i="1"/>
  <c r="H5" i="1"/>
  <c r="H7" i="1"/>
  <c r="J4" i="16"/>
  <c r="H18" i="1"/>
  <c r="H15" i="1"/>
  <c r="H21" i="1"/>
  <c r="H19" i="1"/>
  <c r="J6" i="16"/>
  <c r="J5" i="16"/>
  <c r="I6" i="1"/>
  <c r="I5" i="1"/>
  <c r="I7" i="1"/>
  <c r="K4" i="16"/>
  <c r="I18" i="1"/>
  <c r="I15" i="1"/>
  <c r="I21" i="1"/>
  <c r="I19" i="1"/>
  <c r="K6" i="16"/>
  <c r="K5" i="16"/>
  <c r="J6" i="1"/>
  <c r="J5" i="1"/>
  <c r="J7" i="1"/>
  <c r="L4" i="16"/>
  <c r="J18" i="1"/>
  <c r="J15" i="1"/>
  <c r="J21" i="1"/>
  <c r="J19" i="1"/>
  <c r="L6" i="16"/>
  <c r="L5" i="16"/>
  <c r="K6" i="1"/>
  <c r="K5" i="1"/>
  <c r="K7" i="1"/>
  <c r="M4" i="16"/>
  <c r="K18" i="1"/>
  <c r="K15" i="1"/>
  <c r="K21" i="1"/>
  <c r="K19" i="1"/>
  <c r="M6" i="16"/>
  <c r="M5" i="16"/>
  <c r="L6" i="1"/>
  <c r="L5" i="1"/>
  <c r="L7" i="1"/>
  <c r="N4" i="16"/>
  <c r="L18" i="1"/>
  <c r="L15" i="1"/>
  <c r="L21" i="1"/>
  <c r="L19" i="1"/>
  <c r="N6" i="16"/>
  <c r="N5" i="16"/>
  <c r="M6" i="1"/>
  <c r="M5" i="1"/>
  <c r="M7" i="1"/>
  <c r="O4" i="16"/>
  <c r="M18" i="1"/>
  <c r="M15" i="1"/>
  <c r="M21" i="1"/>
  <c r="M19" i="1"/>
  <c r="O6" i="16"/>
  <c r="O5" i="16"/>
  <c r="C6" i="1"/>
  <c r="C5" i="1"/>
  <c r="C7" i="1"/>
  <c r="E4" i="16"/>
  <c r="C18" i="1"/>
  <c r="C15" i="1"/>
  <c r="C21" i="1"/>
  <c r="C19" i="1"/>
  <c r="E6" i="16"/>
  <c r="E5" i="16"/>
  <c r="D13" i="1"/>
  <c r="E13" i="1"/>
  <c r="F13" i="1"/>
  <c r="G13" i="1"/>
  <c r="H13" i="1"/>
  <c r="I13" i="1"/>
  <c r="J13" i="1"/>
  <c r="K13" i="1"/>
  <c r="L13" i="1"/>
  <c r="M13" i="1"/>
  <c r="D16" i="1"/>
  <c r="E16" i="1"/>
  <c r="F16" i="1"/>
  <c r="G16" i="1"/>
  <c r="H16" i="1"/>
  <c r="I16" i="1"/>
  <c r="J16" i="1"/>
  <c r="K16" i="1"/>
  <c r="L16" i="1"/>
  <c r="M16" i="1"/>
  <c r="D17" i="1"/>
  <c r="E17" i="1"/>
  <c r="F17" i="1"/>
  <c r="G17" i="1"/>
  <c r="H17" i="1"/>
  <c r="I17" i="1"/>
  <c r="J17" i="1"/>
  <c r="K17" i="1"/>
  <c r="L17" i="1"/>
  <c r="M17" i="1"/>
  <c r="D20" i="1"/>
  <c r="E20" i="1"/>
  <c r="F20" i="1"/>
  <c r="G20" i="1"/>
  <c r="H20" i="1"/>
  <c r="I20" i="1"/>
  <c r="J20" i="1"/>
  <c r="K20" i="1"/>
  <c r="L20" i="1"/>
  <c r="M20" i="1"/>
  <c r="D22" i="1"/>
  <c r="E22" i="1"/>
  <c r="F22" i="1"/>
  <c r="G22" i="1"/>
  <c r="H22" i="1"/>
  <c r="I22" i="1"/>
  <c r="J22" i="1"/>
  <c r="K22" i="1"/>
  <c r="L22" i="1"/>
  <c r="M22" i="1"/>
  <c r="D23" i="1"/>
  <c r="E23" i="1"/>
  <c r="F23" i="1"/>
  <c r="G23" i="1"/>
  <c r="H23" i="1"/>
  <c r="I23" i="1"/>
  <c r="J23" i="1"/>
  <c r="K23" i="1"/>
  <c r="L23" i="1"/>
  <c r="M23" i="1"/>
  <c r="D24" i="1"/>
  <c r="E24" i="1"/>
  <c r="F24" i="1"/>
  <c r="G24" i="1"/>
  <c r="H24" i="1"/>
  <c r="I24" i="1"/>
  <c r="J24" i="1"/>
  <c r="K24" i="1"/>
  <c r="L24" i="1"/>
  <c r="M24" i="1"/>
  <c r="C24" i="1"/>
  <c r="C23" i="1"/>
  <c r="C22" i="1"/>
  <c r="C20" i="1"/>
  <c r="C17" i="1"/>
  <c r="C16" i="1"/>
  <c r="C13" i="1"/>
  <c r="D8" i="1"/>
  <c r="E8" i="1"/>
  <c r="F8" i="1"/>
  <c r="G8" i="1"/>
  <c r="H8" i="1"/>
  <c r="I8" i="1"/>
  <c r="J8" i="1"/>
  <c r="K8" i="1"/>
  <c r="L8" i="1"/>
  <c r="M8" i="1"/>
  <c r="D9" i="1"/>
  <c r="E9" i="1"/>
  <c r="F9" i="1"/>
  <c r="G9" i="1"/>
  <c r="H9" i="1"/>
  <c r="I9" i="1"/>
  <c r="J9" i="1"/>
  <c r="K9" i="1"/>
  <c r="L9" i="1"/>
  <c r="M9" i="1"/>
  <c r="D10" i="1"/>
  <c r="E10" i="1"/>
  <c r="F10" i="1"/>
  <c r="G10" i="1"/>
  <c r="H10" i="1"/>
  <c r="I10" i="1"/>
  <c r="J10" i="1"/>
  <c r="K10" i="1"/>
  <c r="L10" i="1"/>
  <c r="M10" i="1"/>
  <c r="C10" i="1"/>
  <c r="C9" i="1"/>
  <c r="C8" i="1"/>
  <c r="C249" i="4"/>
  <c r="D249" i="4"/>
  <c r="E249" i="4"/>
  <c r="F249" i="4"/>
  <c r="G249" i="4"/>
  <c r="H249" i="4"/>
  <c r="I249" i="4"/>
  <c r="J249" i="4"/>
  <c r="K249" i="4"/>
  <c r="L249" i="4"/>
  <c r="B249" i="4"/>
  <c r="D138" i="1"/>
  <c r="E138" i="1"/>
  <c r="F138" i="1"/>
  <c r="G138" i="1"/>
  <c r="H138" i="1"/>
  <c r="I138" i="1"/>
  <c r="J138" i="1"/>
  <c r="K138" i="1"/>
  <c r="L138" i="1"/>
  <c r="M138" i="1"/>
  <c r="N138" i="1"/>
  <c r="O138" i="1"/>
  <c r="P138" i="1"/>
  <c r="Q138" i="1"/>
  <c r="R138" i="1"/>
  <c r="S138" i="1"/>
  <c r="T138" i="1"/>
  <c r="U138" i="1"/>
  <c r="V138" i="1"/>
  <c r="W138" i="1"/>
  <c r="D140" i="1"/>
  <c r="E140" i="1"/>
  <c r="F140" i="1"/>
  <c r="G140" i="1"/>
  <c r="H140" i="1"/>
  <c r="I140" i="1"/>
  <c r="J140" i="1"/>
  <c r="K140" i="1"/>
  <c r="L140" i="1"/>
  <c r="M140" i="1"/>
  <c r="N140" i="1"/>
  <c r="O140" i="1"/>
  <c r="P140" i="1"/>
  <c r="Q140" i="1"/>
  <c r="R140" i="1"/>
  <c r="S140" i="1"/>
  <c r="T140" i="1"/>
  <c r="U140" i="1"/>
  <c r="V140" i="1"/>
  <c r="W140" i="1"/>
  <c r="D139" i="1"/>
  <c r="E139" i="1"/>
  <c r="F139" i="1"/>
  <c r="G139" i="1"/>
  <c r="H139" i="1"/>
  <c r="I139" i="1"/>
  <c r="J139" i="1"/>
  <c r="K139" i="1"/>
  <c r="L139" i="1"/>
  <c r="M139" i="1"/>
  <c r="N139" i="1"/>
  <c r="O139" i="1"/>
  <c r="P139" i="1"/>
  <c r="Q139" i="1"/>
  <c r="R139" i="1"/>
  <c r="S139" i="1"/>
  <c r="T139" i="1"/>
  <c r="U139" i="1"/>
  <c r="V139" i="1"/>
  <c r="W139" i="1"/>
  <c r="C140" i="1"/>
  <c r="C139" i="1"/>
  <c r="F73" i="6"/>
  <c r="G73" i="6"/>
  <c r="H73" i="6"/>
  <c r="I73" i="6"/>
  <c r="J73" i="6"/>
  <c r="K73" i="6"/>
  <c r="L73" i="6"/>
  <c r="M73" i="6"/>
  <c r="N73" i="6"/>
  <c r="O73" i="6"/>
  <c r="P73" i="6"/>
  <c r="Q73" i="6"/>
  <c r="R73" i="6"/>
  <c r="S73" i="6"/>
  <c r="T73" i="6"/>
  <c r="U73" i="6"/>
  <c r="V73" i="6"/>
  <c r="W73" i="6"/>
  <c r="X73" i="6"/>
  <c r="Y73" i="6"/>
  <c r="E73" i="6"/>
  <c r="E71" i="6"/>
  <c r="F2" i="6"/>
  <c r="F71" i="6"/>
  <c r="E72" i="6"/>
  <c r="F72" i="6"/>
  <c r="F74" i="6"/>
  <c r="G2" i="6"/>
  <c r="G71" i="6"/>
  <c r="G72" i="6"/>
  <c r="G74" i="6"/>
  <c r="H2" i="6"/>
  <c r="H71" i="6"/>
  <c r="H72" i="6"/>
  <c r="H74" i="6"/>
  <c r="I2" i="6"/>
  <c r="I71" i="6"/>
  <c r="I72" i="6"/>
  <c r="I74" i="6"/>
  <c r="J2" i="6"/>
  <c r="J71" i="6"/>
  <c r="J72" i="6"/>
  <c r="J74" i="6"/>
  <c r="K2" i="6"/>
  <c r="K71" i="6"/>
  <c r="K72" i="6"/>
  <c r="K74" i="6"/>
  <c r="L2" i="6"/>
  <c r="L71" i="6"/>
  <c r="L72" i="6"/>
  <c r="L74" i="6"/>
  <c r="M2" i="6"/>
  <c r="M71" i="6"/>
  <c r="M72" i="6"/>
  <c r="M74" i="6"/>
  <c r="N2" i="6"/>
  <c r="N71" i="6"/>
  <c r="N72" i="6"/>
  <c r="N74" i="6"/>
  <c r="O2" i="6"/>
  <c r="O71" i="6"/>
  <c r="O72" i="6"/>
  <c r="O74" i="6"/>
  <c r="P2" i="6"/>
  <c r="P71" i="6"/>
  <c r="P72" i="6"/>
  <c r="P74" i="6"/>
  <c r="Q2" i="6"/>
  <c r="Q71" i="6"/>
  <c r="Q72" i="6"/>
  <c r="Q74" i="6"/>
  <c r="R2" i="6"/>
  <c r="R71" i="6"/>
  <c r="R72" i="6"/>
  <c r="R74" i="6"/>
  <c r="S2" i="6"/>
  <c r="S71" i="6"/>
  <c r="S72" i="6"/>
  <c r="S74" i="6"/>
  <c r="T2" i="6"/>
  <c r="T71" i="6"/>
  <c r="T72" i="6"/>
  <c r="T74" i="6"/>
  <c r="U2" i="6"/>
  <c r="U71" i="6"/>
  <c r="U72" i="6"/>
  <c r="U74" i="6"/>
  <c r="V2" i="6"/>
  <c r="V71" i="6"/>
  <c r="V72" i="6"/>
  <c r="V74" i="6"/>
  <c r="W2" i="6"/>
  <c r="W71" i="6"/>
  <c r="W72" i="6"/>
  <c r="W74" i="6"/>
  <c r="X2" i="6"/>
  <c r="X71" i="6"/>
  <c r="X72" i="6"/>
  <c r="X74" i="6"/>
  <c r="Y2" i="6"/>
  <c r="Y71" i="6"/>
  <c r="Y72" i="6"/>
  <c r="Y74" i="6"/>
  <c r="E74" i="6"/>
  <c r="C133" i="1"/>
  <c r="D133" i="1"/>
  <c r="E133" i="1"/>
  <c r="F133" i="1"/>
  <c r="G133" i="1"/>
  <c r="H133" i="1"/>
  <c r="I133" i="1"/>
  <c r="J133" i="1"/>
  <c r="K133" i="1"/>
  <c r="L133" i="1"/>
  <c r="M133" i="1"/>
  <c r="N133" i="1"/>
  <c r="O133" i="1"/>
  <c r="P133" i="1"/>
  <c r="Q133" i="1"/>
  <c r="R133" i="1"/>
  <c r="S133" i="1"/>
  <c r="T133" i="1"/>
  <c r="U133" i="1"/>
  <c r="V133" i="1"/>
  <c r="W133" i="1"/>
  <c r="O18" i="6"/>
  <c r="P17" i="6"/>
  <c r="Q17" i="6"/>
  <c r="R17" i="6"/>
  <c r="S17" i="6"/>
  <c r="T17" i="6"/>
  <c r="U17" i="6"/>
  <c r="U15" i="6"/>
  <c r="T15" i="6"/>
  <c r="S15" i="6"/>
  <c r="R15" i="6"/>
  <c r="Q15" i="6"/>
  <c r="P15" i="6"/>
  <c r="O15" i="6"/>
  <c r="N15" i="6"/>
  <c r="M15" i="6"/>
  <c r="L15" i="6"/>
  <c r="F15" i="6"/>
  <c r="G15" i="6"/>
  <c r="H15" i="6"/>
  <c r="I15" i="6"/>
  <c r="J15" i="6"/>
  <c r="K15" i="6"/>
  <c r="E15" i="6"/>
  <c r="V17" i="6"/>
  <c r="W17" i="6"/>
  <c r="X17" i="6"/>
  <c r="Y17" i="6"/>
  <c r="O34" i="6"/>
  <c r="S218" i="4"/>
  <c r="S219" i="4"/>
  <c r="S220" i="4"/>
  <c r="S221" i="4"/>
  <c r="S222" i="4"/>
  <c r="S223" i="4"/>
  <c r="S224" i="4"/>
  <c r="S225" i="4"/>
  <c r="S226" i="4"/>
  <c r="S227" i="4"/>
  <c r="S228" i="4"/>
  <c r="S229" i="4"/>
  <c r="R218" i="4"/>
  <c r="R219" i="4"/>
  <c r="R220" i="4"/>
  <c r="R221" i="4"/>
  <c r="R222" i="4"/>
  <c r="R223" i="4"/>
  <c r="R224" i="4"/>
  <c r="R225" i="4"/>
  <c r="R226" i="4"/>
  <c r="R227" i="4"/>
  <c r="R228" i="4"/>
  <c r="R229" i="4"/>
  <c r="M218" i="4"/>
  <c r="M219" i="4"/>
  <c r="M220" i="4"/>
  <c r="M221" i="4"/>
  <c r="M222" i="4"/>
  <c r="M223" i="4"/>
  <c r="M224" i="4"/>
  <c r="M225" i="4"/>
  <c r="M226" i="4"/>
  <c r="M227" i="4"/>
  <c r="M228" i="4"/>
  <c r="M229" i="4"/>
  <c r="L218" i="4"/>
  <c r="L219" i="4"/>
  <c r="L220" i="4"/>
  <c r="L221" i="4"/>
  <c r="L222" i="4"/>
  <c r="L223" i="4"/>
  <c r="L224" i="4"/>
  <c r="L225" i="4"/>
  <c r="L226" i="4"/>
  <c r="L227" i="4"/>
  <c r="L228" i="4"/>
  <c r="L229" i="4"/>
  <c r="G218" i="4"/>
  <c r="G219" i="4"/>
  <c r="G220" i="4"/>
  <c r="G221" i="4"/>
  <c r="G222" i="4"/>
  <c r="G223" i="4"/>
  <c r="G224" i="4"/>
  <c r="G225" i="4"/>
  <c r="G226" i="4"/>
  <c r="G227" i="4"/>
  <c r="G228" i="4"/>
  <c r="G229" i="4"/>
  <c r="F218" i="4"/>
  <c r="F219" i="4"/>
  <c r="F220" i="4"/>
  <c r="F221" i="4"/>
  <c r="F222" i="4"/>
  <c r="F223" i="4"/>
  <c r="F224" i="4"/>
  <c r="F225" i="4"/>
  <c r="F226" i="4"/>
  <c r="F227" i="4"/>
  <c r="F228" i="4"/>
  <c r="F229" i="4"/>
  <c r="D100" i="1"/>
  <c r="F23" i="16"/>
  <c r="E100" i="1"/>
  <c r="G23" i="16"/>
  <c r="F100" i="1"/>
  <c r="H23" i="16"/>
  <c r="G100" i="1"/>
  <c r="I23" i="16"/>
  <c r="H100" i="1"/>
  <c r="J23" i="16"/>
  <c r="I100" i="1"/>
  <c r="K23" i="16"/>
  <c r="J100" i="1"/>
  <c r="L23" i="16"/>
  <c r="K100" i="1"/>
  <c r="M23" i="16"/>
  <c r="L100" i="1"/>
  <c r="N23" i="16"/>
  <c r="M100" i="1"/>
  <c r="O23" i="16"/>
  <c r="N100" i="1"/>
  <c r="P23" i="16"/>
  <c r="O100" i="1"/>
  <c r="Q23" i="16"/>
  <c r="P100" i="1"/>
  <c r="R23" i="16"/>
  <c r="Q100" i="1"/>
  <c r="S23" i="16"/>
  <c r="R100" i="1"/>
  <c r="T23" i="16"/>
  <c r="S100" i="1"/>
  <c r="U23" i="16"/>
  <c r="T100" i="1"/>
  <c r="V23" i="16"/>
  <c r="U100" i="1"/>
  <c r="W23" i="16"/>
  <c r="V100" i="1"/>
  <c r="X23" i="16"/>
  <c r="W100" i="1"/>
  <c r="Y23" i="16"/>
  <c r="E23" i="16"/>
  <c r="D101" i="1"/>
  <c r="E101" i="1"/>
  <c r="F101" i="1"/>
  <c r="G101" i="1"/>
  <c r="H101" i="1"/>
  <c r="I101" i="1"/>
  <c r="J101" i="1"/>
  <c r="K101" i="1"/>
  <c r="L101" i="1"/>
  <c r="M101" i="1"/>
  <c r="P38" i="6"/>
  <c r="N101" i="1"/>
  <c r="Q38" i="6"/>
  <c r="O101" i="1"/>
  <c r="R38" i="6"/>
  <c r="P101" i="1"/>
  <c r="S38" i="6"/>
  <c r="Q101" i="1"/>
  <c r="T38" i="6"/>
  <c r="R101" i="1"/>
  <c r="U38" i="6"/>
  <c r="S101" i="1"/>
  <c r="V38" i="6"/>
  <c r="T101" i="1"/>
  <c r="W38" i="6"/>
  <c r="U101" i="1"/>
  <c r="X38" i="6"/>
  <c r="V101" i="1"/>
  <c r="Y38" i="6"/>
  <c r="W101" i="1"/>
  <c r="D102" i="1"/>
  <c r="E102" i="1"/>
  <c r="F102" i="1"/>
  <c r="G102" i="1"/>
  <c r="H102" i="1"/>
  <c r="I102" i="1"/>
  <c r="J102" i="1"/>
  <c r="K102" i="1"/>
  <c r="L102" i="1"/>
  <c r="M102" i="1"/>
  <c r="P39" i="6"/>
  <c r="N102" i="1"/>
  <c r="Q39" i="6"/>
  <c r="O102" i="1"/>
  <c r="R39" i="6"/>
  <c r="P102" i="1"/>
  <c r="S39" i="6"/>
  <c r="Q102" i="1"/>
  <c r="T39" i="6"/>
  <c r="R102" i="1"/>
  <c r="U39" i="6"/>
  <c r="S102" i="1"/>
  <c r="V39" i="6"/>
  <c r="T102" i="1"/>
  <c r="W39" i="6"/>
  <c r="U102" i="1"/>
  <c r="X39" i="6"/>
  <c r="V102" i="1"/>
  <c r="Y39" i="6"/>
  <c r="W102" i="1"/>
  <c r="C102" i="1"/>
  <c r="C101" i="1"/>
  <c r="I34" i="6"/>
  <c r="J34" i="6"/>
  <c r="K34" i="6"/>
  <c r="L34" i="6"/>
  <c r="M34" i="6"/>
  <c r="N34" i="6"/>
  <c r="O35" i="6"/>
  <c r="I35" i="6"/>
  <c r="J35" i="6"/>
  <c r="K35" i="6"/>
  <c r="L35" i="6"/>
  <c r="M35" i="6"/>
  <c r="N35" i="6"/>
  <c r="O36" i="6"/>
  <c r="I36" i="6"/>
  <c r="J36" i="6"/>
  <c r="K36" i="6"/>
  <c r="L36" i="6"/>
  <c r="M36" i="6"/>
  <c r="N36" i="6"/>
  <c r="U218" i="4"/>
  <c r="W218" i="4"/>
  <c r="U219" i="4"/>
  <c r="W219" i="4"/>
  <c r="U220" i="4"/>
  <c r="W220" i="4"/>
  <c r="U221" i="4"/>
  <c r="W221" i="4"/>
  <c r="U222" i="4"/>
  <c r="W222" i="4"/>
  <c r="U223" i="4"/>
  <c r="W223" i="4"/>
  <c r="U224" i="4"/>
  <c r="W224" i="4"/>
  <c r="U225" i="4"/>
  <c r="W225" i="4"/>
  <c r="U226" i="4"/>
  <c r="W226" i="4"/>
  <c r="U227" i="4"/>
  <c r="W227" i="4"/>
  <c r="U228" i="4"/>
  <c r="W228" i="4"/>
  <c r="B232" i="4"/>
  <c r="B66" i="16"/>
  <c r="D64" i="16"/>
  <c r="B60" i="16"/>
  <c r="D58" i="16"/>
  <c r="D85" i="1"/>
  <c r="D83" i="1"/>
  <c r="F45" i="16"/>
  <c r="E85" i="1"/>
  <c r="E83" i="1"/>
  <c r="G45" i="16"/>
  <c r="F85" i="1"/>
  <c r="F83" i="1"/>
  <c r="H45" i="16"/>
  <c r="G85" i="1"/>
  <c r="G83" i="1"/>
  <c r="I45" i="16"/>
  <c r="H85" i="1"/>
  <c r="H83" i="1"/>
  <c r="J45" i="16"/>
  <c r="I85" i="1"/>
  <c r="I83" i="1"/>
  <c r="K45" i="16"/>
  <c r="J85" i="1"/>
  <c r="J83" i="1"/>
  <c r="L45" i="16"/>
  <c r="K85" i="1"/>
  <c r="K83" i="1"/>
  <c r="M45" i="16"/>
  <c r="L85" i="1"/>
  <c r="L83" i="1"/>
  <c r="N45" i="16"/>
  <c r="M85" i="1"/>
  <c r="M83" i="1"/>
  <c r="O45" i="16"/>
  <c r="C85" i="1"/>
  <c r="E45" i="16"/>
  <c r="B179" i="4"/>
  <c r="F179" i="4"/>
  <c r="D75" i="1"/>
  <c r="D73" i="1"/>
  <c r="F44" i="16"/>
  <c r="G179" i="4"/>
  <c r="E75" i="1"/>
  <c r="E73" i="1"/>
  <c r="G44" i="16"/>
  <c r="H179" i="4"/>
  <c r="F75" i="1"/>
  <c r="F73" i="1"/>
  <c r="H44" i="16"/>
  <c r="I179" i="4"/>
  <c r="G75" i="1"/>
  <c r="G73" i="1"/>
  <c r="I44" i="16"/>
  <c r="J179" i="4"/>
  <c r="H75" i="1"/>
  <c r="H73" i="1"/>
  <c r="J44" i="16"/>
  <c r="K179" i="4"/>
  <c r="I75" i="1"/>
  <c r="I73" i="1"/>
  <c r="K44" i="16"/>
  <c r="L179" i="4"/>
  <c r="J75" i="1"/>
  <c r="J73" i="1"/>
  <c r="L44" i="16"/>
  <c r="M179" i="4"/>
  <c r="K75" i="1"/>
  <c r="K73" i="1"/>
  <c r="M44" i="16"/>
  <c r="N179" i="4"/>
  <c r="L75" i="1"/>
  <c r="L73" i="1"/>
  <c r="N44" i="16"/>
  <c r="O179" i="4"/>
  <c r="M75" i="1"/>
  <c r="M73" i="1"/>
  <c r="O44" i="16"/>
  <c r="E179" i="4"/>
  <c r="C75" i="1"/>
  <c r="E44" i="16"/>
  <c r="D70" i="1"/>
  <c r="D68" i="1"/>
  <c r="F11" i="16"/>
  <c r="D80" i="1"/>
  <c r="D78" i="1"/>
  <c r="F12" i="16"/>
  <c r="D130" i="1"/>
  <c r="D134" i="1"/>
  <c r="F17" i="16"/>
  <c r="F18" i="16"/>
  <c r="D128" i="1"/>
  <c r="F16" i="16"/>
  <c r="F15" i="16"/>
  <c r="D111" i="1"/>
  <c r="F19" i="16"/>
  <c r="D89" i="1"/>
  <c r="F20" i="16"/>
  <c r="D106" i="1"/>
  <c r="F21" i="16"/>
  <c r="D95" i="1"/>
  <c r="D97" i="1"/>
  <c r="F22" i="16"/>
  <c r="F94" i="6"/>
  <c r="D146" i="1"/>
  <c r="F26" i="16"/>
  <c r="F99" i="6"/>
  <c r="D149" i="1"/>
  <c r="F27" i="16"/>
  <c r="F102" i="6"/>
  <c r="D153" i="1"/>
  <c r="F28" i="16"/>
  <c r="F96" i="6"/>
  <c r="D157" i="1"/>
  <c r="F29" i="16"/>
  <c r="S147" i="24"/>
  <c r="S429" i="24"/>
  <c r="U2" i="24"/>
  <c r="S2" i="24"/>
  <c r="U3" i="24"/>
  <c r="S3" i="24"/>
  <c r="U4" i="24"/>
  <c r="S4" i="24"/>
  <c r="U5" i="24"/>
  <c r="S5" i="24"/>
  <c r="U6" i="24"/>
  <c r="S6" i="24"/>
  <c r="U7" i="24"/>
  <c r="S7" i="24"/>
  <c r="U8" i="24"/>
  <c r="S8" i="24"/>
  <c r="U9" i="24"/>
  <c r="S9" i="24"/>
  <c r="U10" i="24"/>
  <c r="S10" i="24"/>
  <c r="U11" i="24"/>
  <c r="S11" i="24"/>
  <c r="U12" i="24"/>
  <c r="S12" i="24"/>
  <c r="U13" i="24"/>
  <c r="S13" i="24"/>
  <c r="U14" i="24"/>
  <c r="S14" i="24"/>
  <c r="U15" i="24"/>
  <c r="S15" i="24"/>
  <c r="U16" i="24"/>
  <c r="S16" i="24"/>
  <c r="U17" i="24"/>
  <c r="S17" i="24"/>
  <c r="U18" i="24"/>
  <c r="S18" i="24"/>
  <c r="U19" i="24"/>
  <c r="S19" i="24"/>
  <c r="U20" i="24"/>
  <c r="S20" i="24"/>
  <c r="U21" i="24"/>
  <c r="S21" i="24"/>
  <c r="U22" i="24"/>
  <c r="S22" i="24"/>
  <c r="U23" i="24"/>
  <c r="S23" i="24"/>
  <c r="U24" i="24"/>
  <c r="S24" i="24"/>
  <c r="U25" i="24"/>
  <c r="S25" i="24"/>
  <c r="U26" i="24"/>
  <c r="S26" i="24"/>
  <c r="U27" i="24"/>
  <c r="S27" i="24"/>
  <c r="U28" i="24"/>
  <c r="S28" i="24"/>
  <c r="U29" i="24"/>
  <c r="S29" i="24"/>
  <c r="U30" i="24"/>
  <c r="S30" i="24"/>
  <c r="U31" i="24"/>
  <c r="S31" i="24"/>
  <c r="U33" i="24"/>
  <c r="S33" i="24"/>
  <c r="U34" i="24"/>
  <c r="S34" i="24"/>
  <c r="U35" i="24"/>
  <c r="S35" i="24"/>
  <c r="U36" i="24"/>
  <c r="S36" i="24"/>
  <c r="U37" i="24"/>
  <c r="S37" i="24"/>
  <c r="U38" i="24"/>
  <c r="S38" i="24"/>
  <c r="U39" i="24"/>
  <c r="S39" i="24"/>
  <c r="U40" i="24"/>
  <c r="U41" i="24"/>
  <c r="S41" i="24"/>
  <c r="U42" i="24"/>
  <c r="S42" i="24"/>
  <c r="U43" i="24"/>
  <c r="S43" i="24"/>
  <c r="U46" i="24"/>
  <c r="S46" i="24"/>
  <c r="U47" i="24"/>
  <c r="S47" i="24"/>
  <c r="U48" i="24"/>
  <c r="S48" i="24"/>
  <c r="U49" i="24"/>
  <c r="S49" i="24"/>
  <c r="U50" i="24"/>
  <c r="S50" i="24"/>
  <c r="U51" i="24"/>
  <c r="S51" i="24"/>
  <c r="U52" i="24"/>
  <c r="S52" i="24"/>
  <c r="U53" i="24"/>
  <c r="S53" i="24"/>
  <c r="U54" i="24"/>
  <c r="S54" i="24"/>
  <c r="U55" i="24"/>
  <c r="S55" i="24"/>
  <c r="U56" i="24"/>
  <c r="S56" i="24"/>
  <c r="U57" i="24"/>
  <c r="S57" i="24"/>
  <c r="U58" i="24"/>
  <c r="S58" i="24"/>
  <c r="U59" i="24"/>
  <c r="S59" i="24"/>
  <c r="U60" i="24"/>
  <c r="S60" i="24"/>
  <c r="U61" i="24"/>
  <c r="S61" i="24"/>
  <c r="U62" i="24"/>
  <c r="S62" i="24"/>
  <c r="U63" i="24"/>
  <c r="S63" i="24"/>
  <c r="U64" i="24"/>
  <c r="S64" i="24"/>
  <c r="U65" i="24"/>
  <c r="S65" i="24"/>
  <c r="U66" i="24"/>
  <c r="S66" i="24"/>
  <c r="U67" i="24"/>
  <c r="S67" i="24"/>
  <c r="U68" i="24"/>
  <c r="S68" i="24"/>
  <c r="U69" i="24"/>
  <c r="S69" i="24"/>
  <c r="U70" i="24"/>
  <c r="S70" i="24"/>
  <c r="U71" i="24"/>
  <c r="S71" i="24"/>
  <c r="U72" i="24"/>
  <c r="S72" i="24"/>
  <c r="U73" i="24"/>
  <c r="S73" i="24"/>
  <c r="U74" i="24"/>
  <c r="S74" i="24"/>
  <c r="U75" i="24"/>
  <c r="S75" i="24"/>
  <c r="U76" i="24"/>
  <c r="S76" i="24"/>
  <c r="U77" i="24"/>
  <c r="S77" i="24"/>
  <c r="U78" i="24"/>
  <c r="S78" i="24"/>
  <c r="U79" i="24"/>
  <c r="S79" i="24"/>
  <c r="U80" i="24"/>
  <c r="S80" i="24"/>
  <c r="U81" i="24"/>
  <c r="S81" i="24"/>
  <c r="U82" i="24"/>
  <c r="S82" i="24"/>
  <c r="U83" i="24"/>
  <c r="S83" i="24"/>
  <c r="U84" i="24"/>
  <c r="S84" i="24"/>
  <c r="U85" i="24"/>
  <c r="S85" i="24"/>
  <c r="U87" i="24"/>
  <c r="S87" i="24"/>
  <c r="U88" i="24"/>
  <c r="S88" i="24"/>
  <c r="U89" i="24"/>
  <c r="S89" i="24"/>
  <c r="U90" i="24"/>
  <c r="S90" i="24"/>
  <c r="U91" i="24"/>
  <c r="S91" i="24"/>
  <c r="U92" i="24"/>
  <c r="S92" i="24"/>
  <c r="U93" i="24"/>
  <c r="S93" i="24"/>
  <c r="U94" i="24"/>
  <c r="S94" i="24"/>
  <c r="U95" i="24"/>
  <c r="S95" i="24"/>
  <c r="U96" i="24"/>
  <c r="S96" i="24"/>
  <c r="U97" i="24"/>
  <c r="S97" i="24"/>
  <c r="U98" i="24"/>
  <c r="S98" i="24"/>
  <c r="U99" i="24"/>
  <c r="S99" i="24"/>
  <c r="U100" i="24"/>
  <c r="S100" i="24"/>
  <c r="U101" i="24"/>
  <c r="S101" i="24"/>
  <c r="U102" i="24"/>
  <c r="S102" i="24"/>
  <c r="U103" i="24"/>
  <c r="S103" i="24"/>
  <c r="U104" i="24"/>
  <c r="S104" i="24"/>
  <c r="U105" i="24"/>
  <c r="S105" i="24"/>
  <c r="U106" i="24"/>
  <c r="S106" i="24"/>
  <c r="U108" i="24"/>
  <c r="S108" i="24"/>
  <c r="U109" i="24"/>
  <c r="S109" i="24"/>
  <c r="U110" i="24"/>
  <c r="S110" i="24"/>
  <c r="U111" i="24"/>
  <c r="S111" i="24"/>
  <c r="U112" i="24"/>
  <c r="S112" i="24"/>
  <c r="U113" i="24"/>
  <c r="S113" i="24"/>
  <c r="U114" i="24"/>
  <c r="S114" i="24"/>
  <c r="U115" i="24"/>
  <c r="S115" i="24"/>
  <c r="U116" i="24"/>
  <c r="S116" i="24"/>
  <c r="U117" i="24"/>
  <c r="S117" i="24"/>
  <c r="U118" i="24"/>
  <c r="S118" i="24"/>
  <c r="U119" i="24"/>
  <c r="S119" i="24"/>
  <c r="U120" i="24"/>
  <c r="S120" i="24"/>
  <c r="U121" i="24"/>
  <c r="S121" i="24"/>
  <c r="U122" i="24"/>
  <c r="S122" i="24"/>
  <c r="U123" i="24"/>
  <c r="S123" i="24"/>
  <c r="U124" i="24"/>
  <c r="S124" i="24"/>
  <c r="U125" i="24"/>
  <c r="S125" i="24"/>
  <c r="U126" i="24"/>
  <c r="S126" i="24"/>
  <c r="U127" i="24"/>
  <c r="S127" i="24"/>
  <c r="U128" i="24"/>
  <c r="S128" i="24"/>
  <c r="U129" i="24"/>
  <c r="S129" i="24"/>
  <c r="U130" i="24"/>
  <c r="S130" i="24"/>
  <c r="U131" i="24"/>
  <c r="S131" i="24"/>
  <c r="U132" i="24"/>
  <c r="S132" i="24"/>
  <c r="U133" i="24"/>
  <c r="S133" i="24"/>
  <c r="U134" i="24"/>
  <c r="S134" i="24"/>
  <c r="U135" i="24"/>
  <c r="S135" i="24"/>
  <c r="U136" i="24"/>
  <c r="S136" i="24"/>
  <c r="U137" i="24"/>
  <c r="S137" i="24"/>
  <c r="U139" i="24"/>
  <c r="S139" i="24"/>
  <c r="U140" i="24"/>
  <c r="S140" i="24"/>
  <c r="U141" i="24"/>
  <c r="S141" i="24"/>
  <c r="U142" i="24"/>
  <c r="S142" i="24"/>
  <c r="U143" i="24"/>
  <c r="S143" i="24"/>
  <c r="U144" i="24"/>
  <c r="S144" i="24"/>
  <c r="U145" i="24"/>
  <c r="S145" i="24"/>
  <c r="U148" i="24"/>
  <c r="S148" i="24"/>
  <c r="U149" i="24"/>
  <c r="S149" i="24"/>
  <c r="U150" i="24"/>
  <c r="S150" i="24"/>
  <c r="U151" i="24"/>
  <c r="S151" i="24"/>
  <c r="U152" i="24"/>
  <c r="S152" i="24"/>
  <c r="U153" i="24"/>
  <c r="S153" i="24"/>
  <c r="U154" i="24"/>
  <c r="S154" i="24"/>
  <c r="U155" i="24"/>
  <c r="S155" i="24"/>
  <c r="U156" i="24"/>
  <c r="S156" i="24"/>
  <c r="U157" i="24"/>
  <c r="S157" i="24"/>
  <c r="U158" i="24"/>
  <c r="S158" i="24"/>
  <c r="U159" i="24"/>
  <c r="S159" i="24"/>
  <c r="U160" i="24"/>
  <c r="S160" i="24"/>
  <c r="U161" i="24"/>
  <c r="S161" i="24"/>
  <c r="U162" i="24"/>
  <c r="S162" i="24"/>
  <c r="U163" i="24"/>
  <c r="S163" i="24"/>
  <c r="U164" i="24"/>
  <c r="S164" i="24"/>
  <c r="U165" i="24"/>
  <c r="S165" i="24"/>
  <c r="U166" i="24"/>
  <c r="S166" i="24"/>
  <c r="U167" i="24"/>
  <c r="S167" i="24"/>
  <c r="U168" i="24"/>
  <c r="S168" i="24"/>
  <c r="U169" i="24"/>
  <c r="S169" i="24"/>
  <c r="U170" i="24"/>
  <c r="S170" i="24"/>
  <c r="U171" i="24"/>
  <c r="S171" i="24"/>
  <c r="U172" i="24"/>
  <c r="S172" i="24"/>
  <c r="U173" i="24"/>
  <c r="S173" i="24"/>
  <c r="U174" i="24"/>
  <c r="S174" i="24"/>
  <c r="U175" i="24"/>
  <c r="S175" i="24"/>
  <c r="U176" i="24"/>
  <c r="S176" i="24"/>
  <c r="U177" i="24"/>
  <c r="S177" i="24"/>
  <c r="U178" i="24"/>
  <c r="S178" i="24"/>
  <c r="U179" i="24"/>
  <c r="S179" i="24"/>
  <c r="U180" i="24"/>
  <c r="S180" i="24"/>
  <c r="U181" i="24"/>
  <c r="S181" i="24"/>
  <c r="U182" i="24"/>
  <c r="S182" i="24"/>
  <c r="U183" i="24"/>
  <c r="S183" i="24"/>
  <c r="U184" i="24"/>
  <c r="S184" i="24"/>
  <c r="U185" i="24"/>
  <c r="S185" i="24"/>
  <c r="U186" i="24"/>
  <c r="S186" i="24"/>
  <c r="U187" i="24"/>
  <c r="S187" i="24"/>
  <c r="U188" i="24"/>
  <c r="S188" i="24"/>
  <c r="U189" i="24"/>
  <c r="S189" i="24"/>
  <c r="U190" i="24"/>
  <c r="S190" i="24"/>
  <c r="U192" i="24"/>
  <c r="S192" i="24"/>
  <c r="U193" i="24"/>
  <c r="S193" i="24"/>
  <c r="U194" i="24"/>
  <c r="S194" i="24"/>
  <c r="U195" i="24"/>
  <c r="S195" i="24"/>
  <c r="U196" i="24"/>
  <c r="S196" i="24"/>
  <c r="U197" i="24"/>
  <c r="U198" i="24"/>
  <c r="S198" i="24"/>
  <c r="U199" i="24"/>
  <c r="S199" i="24"/>
  <c r="U201" i="24"/>
  <c r="S201" i="24"/>
  <c r="U202" i="24"/>
  <c r="S202" i="24"/>
  <c r="U203" i="24"/>
  <c r="S203" i="24"/>
  <c r="U204" i="24"/>
  <c r="S204" i="24"/>
  <c r="U205" i="24"/>
  <c r="S205" i="24"/>
  <c r="U206" i="24"/>
  <c r="S206" i="24"/>
  <c r="U207" i="24"/>
  <c r="S207" i="24"/>
  <c r="U208" i="24"/>
  <c r="S208" i="24"/>
  <c r="U209" i="24"/>
  <c r="S209" i="24"/>
  <c r="U210" i="24"/>
  <c r="S210" i="24"/>
  <c r="U211" i="24"/>
  <c r="S211" i="24"/>
  <c r="U212" i="24"/>
  <c r="S212" i="24"/>
  <c r="U213" i="24"/>
  <c r="S213" i="24"/>
  <c r="U215" i="24"/>
  <c r="S215" i="24"/>
  <c r="U216" i="24"/>
  <c r="S216" i="24"/>
  <c r="U217" i="24"/>
  <c r="S217" i="24"/>
  <c r="U218" i="24"/>
  <c r="S218" i="24"/>
  <c r="U219" i="24"/>
  <c r="S219" i="24"/>
  <c r="U220" i="24"/>
  <c r="S220" i="24"/>
  <c r="U221" i="24"/>
  <c r="S221" i="24"/>
  <c r="U222" i="24"/>
  <c r="S222" i="24"/>
  <c r="U223" i="24"/>
  <c r="S223" i="24"/>
  <c r="U224" i="24"/>
  <c r="S224" i="24"/>
  <c r="U225" i="24"/>
  <c r="S225" i="24"/>
  <c r="U226" i="24"/>
  <c r="S226" i="24"/>
  <c r="U227" i="24"/>
  <c r="S227" i="24"/>
  <c r="U228" i="24"/>
  <c r="S228" i="24"/>
  <c r="U229" i="24"/>
  <c r="S229" i="24"/>
  <c r="U230" i="24"/>
  <c r="S230" i="24"/>
  <c r="U231" i="24"/>
  <c r="S231" i="24"/>
  <c r="U232" i="24"/>
  <c r="S232" i="24"/>
  <c r="U233" i="24"/>
  <c r="S233" i="24"/>
  <c r="U234" i="24"/>
  <c r="S234" i="24"/>
  <c r="U235" i="24"/>
  <c r="S235" i="24"/>
  <c r="U236" i="24"/>
  <c r="S236" i="24"/>
  <c r="U237" i="24"/>
  <c r="S237" i="24"/>
  <c r="U238" i="24"/>
  <c r="S238" i="24"/>
  <c r="U239" i="24"/>
  <c r="S239" i="24"/>
  <c r="U240" i="24"/>
  <c r="S240" i="24"/>
  <c r="U241" i="24"/>
  <c r="S241" i="24"/>
  <c r="U242" i="24"/>
  <c r="S242" i="24"/>
  <c r="U243" i="24"/>
  <c r="S243" i="24"/>
  <c r="U246" i="24"/>
  <c r="S246" i="24"/>
  <c r="U247" i="24"/>
  <c r="S247" i="24"/>
  <c r="U248" i="24"/>
  <c r="S248" i="24"/>
  <c r="U249" i="24"/>
  <c r="S249" i="24"/>
  <c r="U250" i="24"/>
  <c r="S250" i="24"/>
  <c r="U251" i="24"/>
  <c r="S251" i="24"/>
  <c r="U252" i="24"/>
  <c r="S252" i="24"/>
  <c r="U253" i="24"/>
  <c r="S253" i="24"/>
  <c r="U254" i="24"/>
  <c r="S254" i="24"/>
  <c r="U255" i="24"/>
  <c r="S255" i="24"/>
  <c r="U256" i="24"/>
  <c r="S256" i="24"/>
  <c r="U257" i="24"/>
  <c r="S257" i="24"/>
  <c r="U258" i="24"/>
  <c r="S258" i="24"/>
  <c r="U259" i="24"/>
  <c r="S259" i="24"/>
  <c r="U260" i="24"/>
  <c r="S260" i="24"/>
  <c r="U261" i="24"/>
  <c r="S261" i="24"/>
  <c r="U262" i="24"/>
  <c r="S262" i="24"/>
  <c r="U263" i="24"/>
  <c r="S263" i="24"/>
  <c r="U265" i="24"/>
  <c r="S265" i="24"/>
  <c r="U267" i="24"/>
  <c r="S267" i="24"/>
  <c r="U268" i="24"/>
  <c r="S268" i="24"/>
  <c r="U269" i="24"/>
  <c r="S269" i="24"/>
  <c r="U270" i="24"/>
  <c r="S270" i="24"/>
  <c r="U271" i="24"/>
  <c r="S271" i="24"/>
  <c r="U272" i="24"/>
  <c r="S272" i="24"/>
  <c r="U273" i="24"/>
  <c r="S273" i="24"/>
  <c r="U274" i="24"/>
  <c r="S274" i="24"/>
  <c r="U275" i="24"/>
  <c r="S275" i="24"/>
  <c r="U276" i="24"/>
  <c r="S276" i="24"/>
  <c r="U277" i="24"/>
  <c r="S277" i="24"/>
  <c r="U278" i="24"/>
  <c r="S278" i="24"/>
  <c r="U279" i="24"/>
  <c r="S279" i="24"/>
  <c r="U280" i="24"/>
  <c r="S280" i="24"/>
  <c r="U281" i="24"/>
  <c r="S281" i="24"/>
  <c r="U282" i="24"/>
  <c r="S282" i="24"/>
  <c r="U283" i="24"/>
  <c r="S283" i="24"/>
  <c r="U284" i="24"/>
  <c r="S284" i="24"/>
  <c r="U285" i="24"/>
  <c r="S285" i="24"/>
  <c r="U286" i="24"/>
  <c r="S286" i="24"/>
  <c r="U287" i="24"/>
  <c r="S287" i="24"/>
  <c r="U288" i="24"/>
  <c r="S288" i="24"/>
  <c r="U289" i="24"/>
  <c r="S289" i="24"/>
  <c r="U290" i="24"/>
  <c r="S290" i="24"/>
  <c r="U291" i="24"/>
  <c r="S291" i="24"/>
  <c r="U293" i="24"/>
  <c r="S293" i="24"/>
  <c r="U294" i="24"/>
  <c r="S294" i="24"/>
  <c r="U295" i="24"/>
  <c r="S295" i="24"/>
  <c r="U296" i="24"/>
  <c r="S296" i="24"/>
  <c r="U297" i="24"/>
  <c r="S297" i="24"/>
  <c r="U298" i="24"/>
  <c r="S298" i="24"/>
  <c r="U299" i="24"/>
  <c r="S299" i="24"/>
  <c r="U300" i="24"/>
  <c r="S300" i="24"/>
  <c r="U301" i="24"/>
  <c r="S301" i="24"/>
  <c r="U302" i="24"/>
  <c r="S302" i="24"/>
  <c r="U303" i="24"/>
  <c r="S303" i="24"/>
  <c r="U304" i="24"/>
  <c r="S304" i="24"/>
  <c r="U305" i="24"/>
  <c r="S305" i="24"/>
  <c r="U306" i="24"/>
  <c r="S306" i="24"/>
  <c r="U307" i="24"/>
  <c r="S307" i="24"/>
  <c r="U308" i="24"/>
  <c r="S308" i="24"/>
  <c r="U309" i="24"/>
  <c r="S309" i="24"/>
  <c r="U310" i="24"/>
  <c r="S310" i="24"/>
  <c r="U311" i="24"/>
  <c r="S311" i="24"/>
  <c r="U312" i="24"/>
  <c r="S312" i="24"/>
  <c r="U313" i="24"/>
  <c r="S313" i="24"/>
  <c r="U314" i="24"/>
  <c r="S314" i="24"/>
  <c r="U315" i="24"/>
  <c r="S315" i="24"/>
  <c r="U316" i="24"/>
  <c r="S316" i="24"/>
  <c r="U317" i="24"/>
  <c r="S317" i="24"/>
  <c r="U318" i="24"/>
  <c r="S318" i="24"/>
  <c r="U319" i="24"/>
  <c r="S319" i="24"/>
  <c r="U320" i="24"/>
  <c r="S320" i="24"/>
  <c r="U321" i="24"/>
  <c r="S321" i="24"/>
  <c r="U322" i="24"/>
  <c r="S322" i="24"/>
  <c r="U323" i="24"/>
  <c r="S323" i="24"/>
  <c r="U324" i="24"/>
  <c r="S324" i="24"/>
  <c r="U326" i="24"/>
  <c r="S326" i="24"/>
  <c r="U327" i="24"/>
  <c r="S327" i="24"/>
  <c r="U328" i="24"/>
  <c r="S328" i="24"/>
  <c r="U329" i="24"/>
  <c r="S329" i="24"/>
  <c r="U330" i="24"/>
  <c r="S330" i="24"/>
  <c r="U331" i="24"/>
  <c r="S331" i="24"/>
  <c r="U332" i="24"/>
  <c r="S332" i="24"/>
  <c r="U333" i="24"/>
  <c r="S333" i="24"/>
  <c r="U334" i="24"/>
  <c r="S334" i="24"/>
  <c r="U337" i="24"/>
  <c r="S337" i="24"/>
  <c r="U338" i="24"/>
  <c r="S338" i="24"/>
  <c r="U339" i="24"/>
  <c r="S339" i="24"/>
  <c r="U340" i="24"/>
  <c r="S340" i="24"/>
  <c r="U341" i="24"/>
  <c r="S341" i="24"/>
  <c r="U342" i="24"/>
  <c r="S342" i="24"/>
  <c r="U343" i="24"/>
  <c r="S343" i="24"/>
  <c r="U344" i="24"/>
  <c r="S344" i="24"/>
  <c r="U345" i="24"/>
  <c r="S345" i="24"/>
  <c r="U346" i="24"/>
  <c r="S346" i="24"/>
  <c r="U347" i="24"/>
  <c r="S347" i="24"/>
  <c r="U348" i="24"/>
  <c r="S348" i="24"/>
  <c r="U349" i="24"/>
  <c r="S349" i="24"/>
  <c r="U350" i="24"/>
  <c r="S350" i="24"/>
  <c r="U351" i="24"/>
  <c r="S351" i="24"/>
  <c r="U352" i="24"/>
  <c r="S352" i="24"/>
  <c r="U353" i="24"/>
  <c r="S353" i="24"/>
  <c r="U354" i="24"/>
  <c r="S354" i="24"/>
  <c r="U355" i="24"/>
  <c r="U356" i="24"/>
  <c r="S356" i="24"/>
  <c r="U357" i="24"/>
  <c r="S357" i="24"/>
  <c r="U359" i="24"/>
  <c r="S359" i="24"/>
  <c r="U360" i="24"/>
  <c r="S360" i="24"/>
  <c r="U361" i="24"/>
  <c r="S361" i="24"/>
  <c r="U362" i="24"/>
  <c r="S362" i="24"/>
  <c r="U363" i="24"/>
  <c r="S363" i="24"/>
  <c r="U364" i="24"/>
  <c r="S364" i="24"/>
  <c r="U365" i="24"/>
  <c r="S365" i="24"/>
  <c r="U366" i="24"/>
  <c r="S366" i="24"/>
  <c r="U367" i="24"/>
  <c r="S367" i="24"/>
  <c r="U368" i="24"/>
  <c r="S368" i="24"/>
  <c r="U369" i="24"/>
  <c r="S369" i="24"/>
  <c r="U370" i="24"/>
  <c r="S370" i="24"/>
  <c r="U371" i="24"/>
  <c r="S371" i="24"/>
  <c r="U372" i="24"/>
  <c r="S372" i="24"/>
  <c r="U373" i="24"/>
  <c r="S373" i="24"/>
  <c r="U374" i="24"/>
  <c r="S374" i="24"/>
  <c r="U375" i="24"/>
  <c r="S375" i="24"/>
  <c r="U376" i="24"/>
  <c r="S376" i="24"/>
  <c r="U377" i="24"/>
  <c r="S377" i="24"/>
  <c r="U378" i="24"/>
  <c r="S378" i="24"/>
  <c r="U379" i="24"/>
  <c r="S379" i="24"/>
  <c r="U380" i="24"/>
  <c r="S380" i="24"/>
  <c r="U381" i="24"/>
  <c r="S381" i="24"/>
  <c r="U382" i="24"/>
  <c r="S382" i="24"/>
  <c r="U383" i="24"/>
  <c r="S383" i="24"/>
  <c r="U384" i="24"/>
  <c r="S384" i="24"/>
  <c r="U385" i="24"/>
  <c r="S385" i="24"/>
  <c r="U386" i="24"/>
  <c r="S386" i="24"/>
  <c r="U387" i="24"/>
  <c r="S387" i="24"/>
  <c r="U388" i="24"/>
  <c r="S388" i="24"/>
  <c r="U389" i="24"/>
  <c r="S389" i="24"/>
  <c r="U390" i="24"/>
  <c r="S390" i="24"/>
  <c r="U391" i="24"/>
  <c r="S391" i="24"/>
  <c r="U392" i="24"/>
  <c r="S392" i="24"/>
  <c r="U393" i="24"/>
  <c r="S393" i="24"/>
  <c r="U394" i="24"/>
  <c r="S394" i="24"/>
  <c r="U395" i="24"/>
  <c r="S395" i="24"/>
  <c r="U396" i="24"/>
  <c r="S396" i="24"/>
  <c r="U397" i="24"/>
  <c r="S397" i="24"/>
  <c r="U398" i="24"/>
  <c r="S398" i="24"/>
  <c r="U399" i="24"/>
  <c r="S399" i="24"/>
  <c r="U400" i="24"/>
  <c r="S400" i="24"/>
  <c r="U401" i="24"/>
  <c r="S401" i="24"/>
  <c r="U402" i="24"/>
  <c r="S402" i="24"/>
  <c r="U404" i="24"/>
  <c r="S404" i="24"/>
  <c r="U405" i="24"/>
  <c r="S405" i="24"/>
  <c r="U406" i="24"/>
  <c r="S406" i="24"/>
  <c r="U407" i="24"/>
  <c r="S407" i="24"/>
  <c r="U408" i="24"/>
  <c r="S408" i="24"/>
  <c r="U409" i="24"/>
  <c r="S409" i="24"/>
  <c r="U410" i="24"/>
  <c r="S410" i="24"/>
  <c r="U411" i="24"/>
  <c r="S411" i="24"/>
  <c r="U412" i="24"/>
  <c r="S412" i="24"/>
  <c r="U413" i="24"/>
  <c r="S413" i="24"/>
  <c r="U414" i="24"/>
  <c r="S414" i="24"/>
  <c r="U415" i="24"/>
  <c r="S415" i="24"/>
  <c r="U416" i="24"/>
  <c r="S416" i="24"/>
  <c r="U417" i="24"/>
  <c r="S417" i="24"/>
  <c r="U418" i="24"/>
  <c r="S418" i="24"/>
  <c r="U419" i="24"/>
  <c r="S419" i="24"/>
  <c r="U420" i="24"/>
  <c r="S420" i="24"/>
  <c r="U421" i="24"/>
  <c r="S421" i="24"/>
  <c r="U422" i="24"/>
  <c r="S422" i="24"/>
  <c r="U424" i="24"/>
  <c r="S424" i="24"/>
  <c r="U425" i="24"/>
  <c r="S425" i="24"/>
  <c r="U426" i="24"/>
  <c r="S426" i="24"/>
  <c r="U427" i="24"/>
  <c r="S427" i="24"/>
  <c r="U428" i="24"/>
  <c r="S428" i="24"/>
  <c r="U430" i="24"/>
  <c r="S430" i="24"/>
  <c r="U431" i="24"/>
  <c r="S431" i="24"/>
  <c r="U432" i="24"/>
  <c r="S432" i="24"/>
  <c r="U433" i="24"/>
  <c r="S433" i="24"/>
  <c r="U434" i="24"/>
  <c r="S434" i="24"/>
  <c r="U435" i="24"/>
  <c r="S435" i="24"/>
  <c r="U436" i="24"/>
  <c r="S436" i="24"/>
  <c r="U437" i="24"/>
  <c r="S437" i="24"/>
  <c r="U438" i="24"/>
  <c r="S438" i="24"/>
  <c r="U439" i="24"/>
  <c r="S439" i="24"/>
  <c r="U440" i="24"/>
  <c r="S440" i="24"/>
  <c r="U441" i="24"/>
  <c r="S441" i="24"/>
  <c r="U443" i="24"/>
  <c r="S443" i="24"/>
  <c r="U444" i="24"/>
  <c r="S444" i="24"/>
  <c r="U445" i="24"/>
  <c r="S445" i="24"/>
  <c r="U446" i="24"/>
  <c r="S446" i="24"/>
  <c r="U447" i="24"/>
  <c r="S447" i="24"/>
  <c r="U448" i="24"/>
  <c r="S448" i="24"/>
  <c r="U449" i="24"/>
  <c r="S449" i="24"/>
  <c r="U450" i="24"/>
  <c r="S450" i="24"/>
  <c r="U451" i="24"/>
  <c r="S451" i="24"/>
  <c r="U452" i="24"/>
  <c r="S452" i="24"/>
  <c r="U453" i="24"/>
  <c r="S453" i="24"/>
  <c r="U454" i="24"/>
  <c r="S454" i="24"/>
  <c r="U455" i="24"/>
  <c r="S455" i="24"/>
  <c r="U456" i="24"/>
  <c r="S456" i="24"/>
  <c r="U457" i="24"/>
  <c r="S457" i="24"/>
  <c r="U458" i="24"/>
  <c r="S458" i="24"/>
  <c r="U459" i="24"/>
  <c r="S459" i="24"/>
  <c r="U460" i="24"/>
  <c r="S460" i="24"/>
  <c r="U461" i="24"/>
  <c r="S461" i="24"/>
  <c r="U462" i="24"/>
  <c r="S462" i="24"/>
  <c r="U463" i="24"/>
  <c r="S463" i="24"/>
  <c r="U464" i="24"/>
  <c r="S464" i="24"/>
  <c r="U465" i="24"/>
  <c r="S465" i="24"/>
  <c r="U466" i="24"/>
  <c r="S466" i="24"/>
  <c r="U467" i="24"/>
  <c r="S467" i="24"/>
  <c r="U468" i="24"/>
  <c r="S468" i="24"/>
  <c r="U469" i="24"/>
  <c r="S469" i="24"/>
  <c r="U470" i="24"/>
  <c r="S470" i="24"/>
  <c r="U471" i="24"/>
  <c r="S471" i="24"/>
  <c r="U472" i="24"/>
  <c r="S472" i="24"/>
  <c r="U473" i="24"/>
  <c r="S473" i="24"/>
  <c r="U474" i="24"/>
  <c r="S474" i="24"/>
  <c r="U475" i="24"/>
  <c r="S475" i="24"/>
  <c r="U476" i="24"/>
  <c r="S476" i="24"/>
  <c r="U477" i="24"/>
  <c r="S477" i="24"/>
  <c r="U478" i="24"/>
  <c r="U479" i="24"/>
  <c r="S479" i="24"/>
  <c r="U482" i="24"/>
  <c r="S482" i="24"/>
  <c r="U483" i="24"/>
  <c r="S483" i="24"/>
  <c r="U484" i="24"/>
  <c r="S484" i="24"/>
  <c r="U485" i="24"/>
  <c r="S485" i="24"/>
  <c r="U486" i="24"/>
  <c r="S486" i="24"/>
  <c r="U487" i="24"/>
  <c r="S487" i="24"/>
  <c r="U488" i="24"/>
  <c r="S488" i="24"/>
  <c r="U489" i="24"/>
  <c r="S489" i="24"/>
  <c r="U490" i="24"/>
  <c r="S490" i="24"/>
  <c r="U491" i="24"/>
  <c r="S491" i="24"/>
  <c r="U492" i="24"/>
  <c r="S492" i="24"/>
  <c r="U493" i="24"/>
  <c r="S493" i="24"/>
  <c r="U494" i="24"/>
  <c r="S494" i="24"/>
  <c r="U495" i="24"/>
  <c r="S495" i="24"/>
  <c r="U496" i="24"/>
  <c r="S496" i="24"/>
  <c r="U497" i="24"/>
  <c r="S497" i="24"/>
  <c r="U498" i="24"/>
  <c r="S498" i="24"/>
  <c r="U499" i="24"/>
  <c r="S499" i="24"/>
  <c r="U500" i="24"/>
  <c r="S500" i="24"/>
  <c r="U501" i="24"/>
  <c r="S501" i="24"/>
  <c r="U503" i="24"/>
  <c r="S503" i="24"/>
  <c r="U504" i="24"/>
  <c r="S504" i="24"/>
  <c r="U505" i="24"/>
  <c r="S505" i="24"/>
  <c r="U506" i="24"/>
  <c r="S506" i="24"/>
  <c r="U507" i="24"/>
  <c r="S507" i="24"/>
  <c r="U508" i="24"/>
  <c r="S508" i="24"/>
  <c r="U509" i="24"/>
  <c r="S509" i="24"/>
  <c r="U510" i="24"/>
  <c r="S510" i="24"/>
  <c r="U511" i="24"/>
  <c r="S511" i="24"/>
  <c r="U512" i="24"/>
  <c r="S512" i="24"/>
  <c r="U513" i="24"/>
  <c r="S513" i="24"/>
  <c r="U514" i="24"/>
  <c r="S514" i="24"/>
  <c r="U515" i="24"/>
  <c r="S515" i="24"/>
  <c r="U516" i="24"/>
  <c r="S516" i="24"/>
  <c r="U517" i="24"/>
  <c r="S517" i="24"/>
  <c r="U520" i="24"/>
  <c r="S520" i="24"/>
  <c r="U521" i="24"/>
  <c r="S521" i="24"/>
  <c r="U522" i="24"/>
  <c r="S522" i="24"/>
  <c r="U523" i="24"/>
  <c r="S523" i="24"/>
  <c r="U524" i="24"/>
  <c r="S524" i="24"/>
  <c r="U525" i="24"/>
  <c r="S525" i="24"/>
  <c r="U526" i="24"/>
  <c r="S526" i="24"/>
  <c r="U527" i="24"/>
  <c r="S527" i="24"/>
  <c r="U528" i="24"/>
  <c r="S528" i="24"/>
  <c r="U529" i="24"/>
  <c r="S529" i="24"/>
  <c r="U530" i="24"/>
  <c r="S530" i="24"/>
  <c r="U531" i="24"/>
  <c r="S531" i="24"/>
  <c r="U532" i="24"/>
  <c r="S532" i="24"/>
  <c r="U533" i="24"/>
  <c r="S533" i="24"/>
  <c r="U534" i="24"/>
  <c r="S534" i="24"/>
  <c r="U535" i="24"/>
  <c r="S535" i="24"/>
  <c r="U536" i="24"/>
  <c r="S536" i="24"/>
  <c r="U537" i="24"/>
  <c r="S537" i="24"/>
  <c r="U538" i="24"/>
  <c r="S538" i="24"/>
  <c r="U539" i="24"/>
  <c r="S539" i="24"/>
  <c r="U540" i="24"/>
  <c r="S540" i="24"/>
  <c r="U541" i="24"/>
  <c r="S541" i="24"/>
  <c r="U542" i="24"/>
  <c r="S542" i="24"/>
  <c r="U543" i="24"/>
  <c r="S543" i="24"/>
  <c r="U544" i="24"/>
  <c r="S544" i="24"/>
  <c r="U545" i="24"/>
  <c r="S545" i="24"/>
  <c r="U546" i="24"/>
  <c r="S546" i="24"/>
  <c r="U547" i="24"/>
  <c r="S547" i="24"/>
  <c r="U548" i="24"/>
  <c r="U549" i="24"/>
  <c r="U551" i="24"/>
  <c r="S551" i="24"/>
  <c r="U552" i="24"/>
  <c r="S552" i="24"/>
  <c r="U553" i="24"/>
  <c r="S553" i="24"/>
  <c r="U554" i="24"/>
  <c r="S554" i="24"/>
  <c r="U555" i="24"/>
  <c r="S555" i="24"/>
  <c r="U556" i="24"/>
  <c r="S556" i="24"/>
  <c r="U557" i="24"/>
  <c r="S557" i="24"/>
  <c r="U558" i="24"/>
  <c r="S558" i="24"/>
  <c r="U559" i="24"/>
  <c r="S559" i="24"/>
  <c r="U560" i="24"/>
  <c r="S560" i="24"/>
  <c r="U561" i="24"/>
  <c r="S561" i="24"/>
  <c r="U563" i="24"/>
  <c r="S563" i="24"/>
  <c r="U564" i="24"/>
  <c r="S564" i="24"/>
  <c r="U565" i="24"/>
  <c r="S565" i="24"/>
  <c r="U566" i="24"/>
  <c r="S566" i="24"/>
  <c r="U567" i="24"/>
  <c r="S567" i="24"/>
  <c r="U568" i="24"/>
  <c r="S568" i="24"/>
  <c r="U569" i="24"/>
  <c r="S569" i="24"/>
  <c r="U570" i="24"/>
  <c r="S570" i="24"/>
  <c r="U571" i="24"/>
  <c r="S571" i="24"/>
  <c r="U572" i="24"/>
  <c r="S572" i="24"/>
  <c r="U573" i="24"/>
  <c r="S573" i="24"/>
  <c r="U574" i="24"/>
  <c r="S574" i="24"/>
  <c r="U575" i="24"/>
  <c r="S575" i="24"/>
  <c r="U576" i="24"/>
  <c r="S576" i="24"/>
  <c r="U577" i="24"/>
  <c r="S577" i="24"/>
  <c r="U578" i="24"/>
  <c r="S578" i="24"/>
  <c r="U579" i="24"/>
  <c r="S579" i="24"/>
  <c r="U580" i="24"/>
  <c r="S580" i="24"/>
  <c r="U581" i="24"/>
  <c r="S581" i="24"/>
  <c r="U582" i="24"/>
  <c r="S582" i="24"/>
  <c r="U583" i="24"/>
  <c r="S583" i="24"/>
  <c r="U584" i="24"/>
  <c r="S584" i="24"/>
  <c r="U585" i="24"/>
  <c r="S585" i="24"/>
  <c r="U586" i="24"/>
  <c r="S586" i="24"/>
  <c r="U587" i="24"/>
  <c r="S587" i="24"/>
  <c r="U588" i="24"/>
  <c r="S588" i="24"/>
  <c r="U589" i="24"/>
  <c r="S589" i="24"/>
  <c r="U590" i="24"/>
  <c r="S590" i="24"/>
  <c r="U591" i="24"/>
  <c r="S591" i="24"/>
  <c r="U592" i="24"/>
  <c r="S592" i="24"/>
  <c r="U593" i="24"/>
  <c r="S593" i="24"/>
  <c r="U594" i="24"/>
  <c r="S594" i="24"/>
  <c r="U595" i="24"/>
  <c r="S595" i="24"/>
  <c r="U596" i="24"/>
  <c r="S596" i="24"/>
  <c r="U597" i="24"/>
  <c r="S597" i="24"/>
  <c r="U598" i="24"/>
  <c r="S598" i="24"/>
  <c r="U599" i="24"/>
  <c r="S599" i="24"/>
  <c r="U600" i="24"/>
  <c r="S600" i="24"/>
  <c r="U601" i="24"/>
  <c r="S601" i="24"/>
  <c r="U602" i="24"/>
  <c r="S602" i="24"/>
  <c r="U603" i="24"/>
  <c r="S603" i="24"/>
  <c r="U604" i="24"/>
  <c r="S604" i="24"/>
  <c r="U605" i="24"/>
  <c r="S605" i="24"/>
  <c r="U606" i="24"/>
  <c r="S606" i="24"/>
  <c r="U607" i="24"/>
  <c r="S607" i="24"/>
  <c r="U608" i="24"/>
  <c r="S608" i="24"/>
  <c r="U609" i="24"/>
  <c r="S609" i="24"/>
  <c r="U610" i="24"/>
  <c r="S610" i="24"/>
  <c r="U611" i="24"/>
  <c r="S611" i="24"/>
  <c r="U612" i="24"/>
  <c r="S612" i="24"/>
  <c r="U613" i="24"/>
  <c r="S613" i="24"/>
  <c r="U614" i="24"/>
  <c r="S614" i="24"/>
  <c r="U615" i="24"/>
  <c r="S615" i="24"/>
  <c r="U616" i="24"/>
  <c r="S616" i="24"/>
  <c r="U617" i="24"/>
  <c r="S617" i="24"/>
  <c r="U618" i="24"/>
  <c r="S618" i="24"/>
  <c r="U619" i="24"/>
  <c r="S619" i="24"/>
  <c r="U620" i="24"/>
  <c r="S620" i="24"/>
  <c r="U621" i="24"/>
  <c r="S621" i="24"/>
  <c r="U622" i="24"/>
  <c r="S622" i="24"/>
  <c r="U623" i="24"/>
  <c r="S623" i="24"/>
  <c r="U624" i="24"/>
  <c r="S624" i="24"/>
  <c r="U625" i="24"/>
  <c r="S625" i="24"/>
  <c r="U626" i="24"/>
  <c r="S626" i="24"/>
  <c r="U627" i="24"/>
  <c r="S627" i="24"/>
  <c r="U628" i="24"/>
  <c r="S628" i="24"/>
  <c r="U629" i="24"/>
  <c r="S629" i="24"/>
  <c r="U630" i="24"/>
  <c r="S630" i="24"/>
  <c r="U631" i="24"/>
  <c r="S631" i="24"/>
  <c r="U632" i="24"/>
  <c r="S632" i="24"/>
  <c r="U633" i="24"/>
  <c r="S633" i="24"/>
  <c r="U634" i="24"/>
  <c r="S634" i="24"/>
  <c r="U635" i="24"/>
  <c r="S635" i="24"/>
  <c r="U636" i="24"/>
  <c r="S636" i="24"/>
  <c r="U637" i="24"/>
  <c r="S637" i="24"/>
  <c r="U638" i="24"/>
  <c r="S638" i="24"/>
  <c r="U639" i="24"/>
  <c r="S639" i="24"/>
  <c r="U640" i="24"/>
  <c r="S640" i="24"/>
  <c r="U641" i="24"/>
  <c r="S641" i="24"/>
  <c r="U642" i="24"/>
  <c r="S642" i="24"/>
  <c r="U643" i="24"/>
  <c r="S643" i="24"/>
  <c r="U644" i="24"/>
  <c r="S644" i="24"/>
  <c r="U645" i="24"/>
  <c r="S645" i="24"/>
  <c r="U646" i="24"/>
  <c r="S646" i="24"/>
  <c r="U647" i="24"/>
  <c r="S647" i="24"/>
  <c r="U648" i="24"/>
  <c r="S648" i="24"/>
  <c r="U649" i="24"/>
  <c r="S649" i="24"/>
  <c r="U650" i="24"/>
  <c r="S650" i="24"/>
  <c r="U651" i="24"/>
  <c r="S651" i="24"/>
  <c r="U652" i="24"/>
  <c r="S652" i="24"/>
  <c r="U653" i="24"/>
  <c r="S653" i="24"/>
  <c r="U654" i="24"/>
  <c r="S654" i="24"/>
  <c r="U655" i="24"/>
  <c r="S655" i="24"/>
  <c r="U656" i="24"/>
  <c r="S656" i="24"/>
  <c r="U657" i="24"/>
  <c r="S657" i="24"/>
  <c r="U658" i="24"/>
  <c r="S658" i="24"/>
  <c r="U659" i="24"/>
  <c r="S659" i="24"/>
  <c r="U660" i="24"/>
  <c r="S660" i="24"/>
  <c r="U661" i="24"/>
  <c r="S661" i="24"/>
  <c r="U662" i="24"/>
  <c r="S662" i="24"/>
  <c r="U663" i="24"/>
  <c r="S663" i="24"/>
  <c r="U664" i="24"/>
  <c r="S664" i="24"/>
  <c r="U665" i="24"/>
  <c r="S665" i="24"/>
  <c r="U666" i="24"/>
  <c r="S666" i="24"/>
  <c r="U667" i="24"/>
  <c r="S667" i="24"/>
  <c r="U668" i="24"/>
  <c r="S668" i="24"/>
  <c r="U669" i="24"/>
  <c r="S669" i="24"/>
  <c r="U670" i="24"/>
  <c r="S670" i="24"/>
  <c r="U671" i="24"/>
  <c r="S671" i="24"/>
  <c r="U672" i="24"/>
  <c r="S672" i="24"/>
  <c r="U673" i="24"/>
  <c r="S673" i="24"/>
  <c r="U674" i="24"/>
  <c r="S674" i="24"/>
  <c r="U675" i="24"/>
  <c r="S675" i="24"/>
  <c r="U676" i="24"/>
  <c r="S676" i="24"/>
  <c r="U677" i="24"/>
  <c r="S677" i="24"/>
  <c r="U678" i="24"/>
  <c r="S678" i="24"/>
  <c r="U679" i="24"/>
  <c r="S679" i="24"/>
  <c r="U680" i="24"/>
  <c r="S680" i="24"/>
  <c r="U681" i="24"/>
  <c r="S681" i="24"/>
  <c r="U682" i="24"/>
  <c r="S682" i="24"/>
  <c r="U683" i="24"/>
  <c r="S683" i="24"/>
  <c r="U684" i="24"/>
  <c r="S684" i="24"/>
  <c r="U685" i="24"/>
  <c r="S685" i="24"/>
  <c r="U686" i="24"/>
  <c r="S686" i="24"/>
  <c r="U687" i="24"/>
  <c r="S687" i="24"/>
  <c r="U688" i="24"/>
  <c r="S688" i="24"/>
  <c r="U689" i="24"/>
  <c r="S689" i="24"/>
  <c r="U690" i="24"/>
  <c r="S690" i="24"/>
  <c r="U691" i="24"/>
  <c r="S691" i="24"/>
  <c r="U692" i="24"/>
  <c r="S692" i="24"/>
  <c r="U693" i="24"/>
  <c r="S693" i="24"/>
  <c r="U694" i="24"/>
  <c r="S694" i="24"/>
  <c r="U695" i="24"/>
  <c r="S695" i="24"/>
  <c r="U698" i="24"/>
  <c r="S698" i="24"/>
  <c r="U699" i="24"/>
  <c r="S699" i="24"/>
  <c r="U700" i="24"/>
  <c r="S700" i="24"/>
  <c r="U701" i="24"/>
  <c r="S701" i="24"/>
  <c r="U702" i="24"/>
  <c r="S702" i="24"/>
  <c r="U703" i="24"/>
  <c r="S703" i="24"/>
  <c r="U704" i="24"/>
  <c r="S704" i="24"/>
  <c r="U705" i="24"/>
  <c r="S705" i="24"/>
  <c r="U706" i="24"/>
  <c r="S706" i="24"/>
  <c r="U707" i="24"/>
  <c r="S707" i="24"/>
  <c r="U708" i="24"/>
  <c r="S708" i="24"/>
  <c r="U709" i="24"/>
  <c r="S709" i="24"/>
  <c r="U710" i="24"/>
  <c r="S710" i="24"/>
  <c r="U711" i="24"/>
  <c r="S711" i="24"/>
  <c r="U712" i="24"/>
  <c r="S712" i="24"/>
  <c r="U713" i="24"/>
  <c r="S713" i="24"/>
  <c r="U714" i="24"/>
  <c r="S714" i="24"/>
  <c r="U715" i="24"/>
  <c r="S715" i="24"/>
  <c r="U716" i="24"/>
  <c r="S716" i="24"/>
  <c r="U717" i="24"/>
  <c r="S717" i="24"/>
  <c r="U718" i="24"/>
  <c r="S718" i="24"/>
  <c r="U719" i="24"/>
  <c r="S719" i="24"/>
  <c r="U720" i="24"/>
  <c r="S720" i="24"/>
  <c r="U721" i="24"/>
  <c r="S721" i="24"/>
  <c r="U722" i="24"/>
  <c r="S722" i="24"/>
  <c r="U723" i="24"/>
  <c r="S723" i="24"/>
  <c r="U724" i="24"/>
  <c r="S724" i="24"/>
  <c r="U725" i="24"/>
  <c r="S725" i="24"/>
  <c r="U726" i="24"/>
  <c r="S726" i="24"/>
  <c r="U727" i="24"/>
  <c r="S727" i="24"/>
  <c r="U728" i="24"/>
  <c r="S728" i="24"/>
  <c r="U729" i="24"/>
  <c r="S729" i="24"/>
  <c r="U730" i="24"/>
  <c r="S730" i="24"/>
  <c r="U731" i="24"/>
  <c r="S731" i="24"/>
  <c r="U732" i="24"/>
  <c r="S732" i="24"/>
  <c r="U733" i="24"/>
  <c r="S733" i="24"/>
  <c r="U734" i="24"/>
  <c r="S734" i="24"/>
  <c r="U735" i="24"/>
  <c r="S735" i="24"/>
  <c r="U736" i="24"/>
  <c r="S736" i="24"/>
  <c r="U737" i="24"/>
  <c r="S737" i="24"/>
  <c r="U738" i="24"/>
  <c r="S738" i="24"/>
  <c r="U739" i="24"/>
  <c r="S739" i="24"/>
  <c r="U740" i="24"/>
  <c r="S740" i="24"/>
  <c r="U741" i="24"/>
  <c r="S741" i="24"/>
  <c r="U742" i="24"/>
  <c r="S742" i="24"/>
  <c r="U743" i="24"/>
  <c r="S743" i="24"/>
  <c r="F106" i="6"/>
  <c r="S696" i="24"/>
  <c r="S697" i="24"/>
  <c r="F109" i="6"/>
  <c r="F112" i="6"/>
  <c r="D162" i="1"/>
  <c r="F30" i="16"/>
  <c r="D144" i="1"/>
  <c r="F25" i="16"/>
  <c r="F24" i="16"/>
  <c r="E53" i="6"/>
  <c r="F53" i="6"/>
  <c r="D115" i="1"/>
  <c r="E54" i="6"/>
  <c r="F54" i="6"/>
  <c r="D116" i="1"/>
  <c r="E55" i="6"/>
  <c r="F55" i="6"/>
  <c r="E61" i="6"/>
  <c r="F61" i="6"/>
  <c r="D117" i="1"/>
  <c r="F56" i="6"/>
  <c r="F57" i="6"/>
  <c r="D118" i="1"/>
  <c r="F58" i="6"/>
  <c r="F59" i="6"/>
  <c r="D119" i="1"/>
  <c r="E60" i="6"/>
  <c r="F60" i="6"/>
  <c r="D120" i="1"/>
  <c r="E62" i="6"/>
  <c r="F62" i="6"/>
  <c r="D121" i="1"/>
  <c r="E63" i="6"/>
  <c r="F63" i="6"/>
  <c r="D122" i="1"/>
  <c r="E64" i="6"/>
  <c r="F64" i="6"/>
  <c r="D123" i="1"/>
  <c r="D124" i="1"/>
  <c r="F14" i="16"/>
  <c r="F31" i="16"/>
  <c r="E70" i="1"/>
  <c r="E68" i="1"/>
  <c r="G11" i="16"/>
  <c r="E80" i="1"/>
  <c r="E78" i="1"/>
  <c r="G12" i="16"/>
  <c r="E130" i="1"/>
  <c r="E134" i="1"/>
  <c r="G17" i="16"/>
  <c r="G18" i="16"/>
  <c r="E128" i="1"/>
  <c r="G16" i="16"/>
  <c r="G15" i="16"/>
  <c r="E111" i="1"/>
  <c r="G19" i="16"/>
  <c r="E89" i="1"/>
  <c r="G20" i="16"/>
  <c r="E106" i="1"/>
  <c r="G21" i="16"/>
  <c r="E95" i="1"/>
  <c r="E97" i="1"/>
  <c r="G22" i="16"/>
  <c r="G94" i="6"/>
  <c r="E146" i="1"/>
  <c r="G26" i="16"/>
  <c r="G99" i="6"/>
  <c r="E149" i="1"/>
  <c r="G27" i="16"/>
  <c r="G102" i="6"/>
  <c r="E153" i="1"/>
  <c r="G28" i="16"/>
  <c r="G96" i="6"/>
  <c r="E157" i="1"/>
  <c r="G29" i="16"/>
  <c r="G106" i="6"/>
  <c r="G109" i="6"/>
  <c r="G112" i="6"/>
  <c r="E162" i="1"/>
  <c r="G30" i="16"/>
  <c r="E144" i="1"/>
  <c r="G25" i="16"/>
  <c r="G24" i="16"/>
  <c r="G53" i="6"/>
  <c r="E115" i="1"/>
  <c r="G54" i="6"/>
  <c r="E116" i="1"/>
  <c r="G55" i="6"/>
  <c r="G61" i="6"/>
  <c r="E117" i="1"/>
  <c r="G56" i="6"/>
  <c r="G57" i="6"/>
  <c r="E118" i="1"/>
  <c r="G58" i="6"/>
  <c r="G59" i="6"/>
  <c r="E119" i="1"/>
  <c r="G60" i="6"/>
  <c r="E120" i="1"/>
  <c r="G62" i="6"/>
  <c r="E121" i="1"/>
  <c r="G63" i="6"/>
  <c r="E122" i="1"/>
  <c r="G64" i="6"/>
  <c r="E123" i="1"/>
  <c r="E124" i="1"/>
  <c r="G14" i="16"/>
  <c r="G31" i="16"/>
  <c r="F70" i="1"/>
  <c r="F68" i="1"/>
  <c r="H11" i="16"/>
  <c r="F80" i="1"/>
  <c r="F78" i="1"/>
  <c r="H12" i="16"/>
  <c r="F130" i="1"/>
  <c r="F134" i="1"/>
  <c r="H17" i="16"/>
  <c r="H18" i="16"/>
  <c r="F128" i="1"/>
  <c r="H16" i="16"/>
  <c r="H15" i="16"/>
  <c r="F111" i="1"/>
  <c r="H19" i="16"/>
  <c r="F89" i="1"/>
  <c r="H20" i="16"/>
  <c r="F106" i="1"/>
  <c r="H21" i="16"/>
  <c r="H94" i="6"/>
  <c r="F146" i="1"/>
  <c r="H26" i="16"/>
  <c r="H99" i="6"/>
  <c r="F149" i="1"/>
  <c r="H27" i="16"/>
  <c r="H102" i="6"/>
  <c r="F153" i="1"/>
  <c r="H28" i="16"/>
  <c r="H96" i="6"/>
  <c r="F157" i="1"/>
  <c r="H29" i="16"/>
  <c r="H106" i="6"/>
  <c r="H109" i="6"/>
  <c r="H112" i="6"/>
  <c r="F162" i="1"/>
  <c r="H30" i="16"/>
  <c r="F144" i="1"/>
  <c r="H25" i="16"/>
  <c r="H24" i="16"/>
  <c r="H53" i="6"/>
  <c r="F115" i="1"/>
  <c r="H54" i="6"/>
  <c r="F116" i="1"/>
  <c r="H55" i="6"/>
  <c r="H61" i="6"/>
  <c r="F117" i="1"/>
  <c r="H56" i="6"/>
  <c r="H57" i="6"/>
  <c r="F118" i="1"/>
  <c r="H58" i="6"/>
  <c r="H59" i="6"/>
  <c r="F119" i="1"/>
  <c r="H60" i="6"/>
  <c r="F120" i="1"/>
  <c r="H62" i="6"/>
  <c r="F121" i="1"/>
  <c r="H63" i="6"/>
  <c r="F122" i="1"/>
  <c r="H64" i="6"/>
  <c r="F123" i="1"/>
  <c r="F124" i="1"/>
  <c r="H14" i="16"/>
  <c r="G70" i="1"/>
  <c r="G68" i="1"/>
  <c r="I11" i="16"/>
  <c r="G80" i="1"/>
  <c r="G78" i="1"/>
  <c r="I12" i="16"/>
  <c r="G130" i="1"/>
  <c r="G134" i="1"/>
  <c r="I17" i="16"/>
  <c r="I18" i="16"/>
  <c r="G128" i="1"/>
  <c r="I16" i="16"/>
  <c r="I15" i="16"/>
  <c r="G111" i="1"/>
  <c r="I19" i="16"/>
  <c r="G89" i="1"/>
  <c r="I20" i="16"/>
  <c r="G106" i="1"/>
  <c r="I21" i="16"/>
  <c r="I94" i="6"/>
  <c r="G146" i="1"/>
  <c r="I26" i="16"/>
  <c r="I99" i="6"/>
  <c r="G149" i="1"/>
  <c r="I27" i="16"/>
  <c r="I102" i="6"/>
  <c r="G153" i="1"/>
  <c r="I28" i="16"/>
  <c r="I96" i="6"/>
  <c r="G157" i="1"/>
  <c r="I29" i="16"/>
  <c r="I106" i="6"/>
  <c r="I109" i="6"/>
  <c r="I112" i="6"/>
  <c r="G162" i="1"/>
  <c r="I30" i="16"/>
  <c r="G144" i="1"/>
  <c r="I25" i="16"/>
  <c r="I24" i="16"/>
  <c r="I53" i="6"/>
  <c r="G115" i="1"/>
  <c r="I54" i="6"/>
  <c r="G116" i="1"/>
  <c r="I55" i="6"/>
  <c r="I61" i="6"/>
  <c r="G117" i="1"/>
  <c r="I56" i="6"/>
  <c r="I57" i="6"/>
  <c r="G118" i="1"/>
  <c r="I58" i="6"/>
  <c r="I59" i="6"/>
  <c r="G119" i="1"/>
  <c r="I60" i="6"/>
  <c r="G120" i="1"/>
  <c r="I62" i="6"/>
  <c r="G121" i="1"/>
  <c r="I63" i="6"/>
  <c r="G122" i="1"/>
  <c r="I64" i="6"/>
  <c r="G123" i="1"/>
  <c r="G124" i="1"/>
  <c r="I14" i="16"/>
  <c r="H70" i="1"/>
  <c r="H68" i="1"/>
  <c r="J11" i="16"/>
  <c r="H80" i="1"/>
  <c r="H78" i="1"/>
  <c r="J12" i="16"/>
  <c r="H130" i="1"/>
  <c r="H134" i="1"/>
  <c r="J17" i="16"/>
  <c r="J18" i="16"/>
  <c r="H128" i="1"/>
  <c r="J16" i="16"/>
  <c r="J15" i="16"/>
  <c r="H111" i="1"/>
  <c r="J19" i="16"/>
  <c r="H89" i="1"/>
  <c r="J20" i="16"/>
  <c r="H106" i="1"/>
  <c r="J21" i="16"/>
  <c r="J94" i="6"/>
  <c r="H146" i="1"/>
  <c r="J26" i="16"/>
  <c r="J99" i="6"/>
  <c r="H149" i="1"/>
  <c r="J27" i="16"/>
  <c r="J102" i="6"/>
  <c r="H153" i="1"/>
  <c r="J28" i="16"/>
  <c r="J96" i="6"/>
  <c r="H157" i="1"/>
  <c r="J29" i="16"/>
  <c r="J106" i="6"/>
  <c r="J109" i="6"/>
  <c r="J112" i="6"/>
  <c r="H162" i="1"/>
  <c r="J30" i="16"/>
  <c r="H144" i="1"/>
  <c r="J25" i="16"/>
  <c r="J24" i="16"/>
  <c r="J53" i="6"/>
  <c r="H115" i="1"/>
  <c r="J54" i="6"/>
  <c r="H116" i="1"/>
  <c r="J55" i="6"/>
  <c r="J61" i="6"/>
  <c r="H117" i="1"/>
  <c r="J56" i="6"/>
  <c r="J57" i="6"/>
  <c r="H118" i="1"/>
  <c r="J58" i="6"/>
  <c r="J59" i="6"/>
  <c r="H119" i="1"/>
  <c r="J60" i="6"/>
  <c r="H120" i="1"/>
  <c r="J62" i="6"/>
  <c r="H121" i="1"/>
  <c r="J63" i="6"/>
  <c r="H122" i="1"/>
  <c r="J64" i="6"/>
  <c r="H123" i="1"/>
  <c r="H124" i="1"/>
  <c r="J14" i="16"/>
  <c r="I70" i="1"/>
  <c r="I68" i="1"/>
  <c r="K11" i="16"/>
  <c r="I80" i="1"/>
  <c r="I78" i="1"/>
  <c r="K12" i="16"/>
  <c r="I130" i="1"/>
  <c r="I134" i="1"/>
  <c r="K17" i="16"/>
  <c r="K18" i="16"/>
  <c r="I128" i="1"/>
  <c r="K16" i="16"/>
  <c r="K15" i="16"/>
  <c r="I111" i="1"/>
  <c r="K19" i="16"/>
  <c r="I89" i="1"/>
  <c r="K20" i="16"/>
  <c r="I106" i="1"/>
  <c r="K21" i="16"/>
  <c r="K94" i="6"/>
  <c r="I146" i="1"/>
  <c r="K26" i="16"/>
  <c r="K99" i="6"/>
  <c r="I149" i="1"/>
  <c r="K27" i="16"/>
  <c r="K102" i="6"/>
  <c r="I153" i="1"/>
  <c r="K28" i="16"/>
  <c r="K96" i="6"/>
  <c r="I157" i="1"/>
  <c r="K29" i="16"/>
  <c r="K106" i="6"/>
  <c r="K109" i="6"/>
  <c r="K112" i="6"/>
  <c r="I162" i="1"/>
  <c r="K30" i="16"/>
  <c r="I144" i="1"/>
  <c r="K25" i="16"/>
  <c r="K24" i="16"/>
  <c r="K53" i="6"/>
  <c r="I115" i="1"/>
  <c r="K54" i="6"/>
  <c r="I116" i="1"/>
  <c r="K55" i="6"/>
  <c r="K61" i="6"/>
  <c r="I117" i="1"/>
  <c r="K56" i="6"/>
  <c r="K57" i="6"/>
  <c r="I118" i="1"/>
  <c r="K58" i="6"/>
  <c r="K59" i="6"/>
  <c r="I119" i="1"/>
  <c r="K60" i="6"/>
  <c r="I120" i="1"/>
  <c r="K62" i="6"/>
  <c r="I121" i="1"/>
  <c r="K63" i="6"/>
  <c r="I122" i="1"/>
  <c r="K64" i="6"/>
  <c r="I123" i="1"/>
  <c r="I124" i="1"/>
  <c r="K14" i="16"/>
  <c r="J70" i="1"/>
  <c r="J68" i="1"/>
  <c r="L11" i="16"/>
  <c r="J80" i="1"/>
  <c r="J78" i="1"/>
  <c r="L12" i="16"/>
  <c r="J130" i="1"/>
  <c r="J134" i="1"/>
  <c r="L17" i="16"/>
  <c r="L18" i="16"/>
  <c r="J128" i="1"/>
  <c r="L16" i="16"/>
  <c r="L15" i="16"/>
  <c r="J111" i="1"/>
  <c r="L19" i="16"/>
  <c r="J89" i="1"/>
  <c r="L20" i="16"/>
  <c r="J106" i="1"/>
  <c r="L21" i="16"/>
  <c r="L94" i="6"/>
  <c r="J146" i="1"/>
  <c r="L26" i="16"/>
  <c r="L99" i="6"/>
  <c r="J149" i="1"/>
  <c r="L27" i="16"/>
  <c r="L102" i="6"/>
  <c r="J153" i="1"/>
  <c r="L28" i="16"/>
  <c r="L96" i="6"/>
  <c r="J157" i="1"/>
  <c r="L29" i="16"/>
  <c r="L106" i="6"/>
  <c r="L109" i="6"/>
  <c r="L112" i="6"/>
  <c r="J162" i="1"/>
  <c r="L30" i="16"/>
  <c r="J144" i="1"/>
  <c r="L25" i="16"/>
  <c r="L24" i="16"/>
  <c r="L53" i="6"/>
  <c r="J115" i="1"/>
  <c r="L54" i="6"/>
  <c r="J116" i="1"/>
  <c r="L55" i="6"/>
  <c r="L61" i="6"/>
  <c r="J117" i="1"/>
  <c r="L56" i="6"/>
  <c r="L57" i="6"/>
  <c r="J118" i="1"/>
  <c r="L58" i="6"/>
  <c r="L59" i="6"/>
  <c r="J119" i="1"/>
  <c r="L60" i="6"/>
  <c r="J120" i="1"/>
  <c r="L62" i="6"/>
  <c r="J121" i="1"/>
  <c r="L63" i="6"/>
  <c r="J122" i="1"/>
  <c r="L64" i="6"/>
  <c r="J123" i="1"/>
  <c r="J124" i="1"/>
  <c r="L14" i="16"/>
  <c r="K70" i="1"/>
  <c r="K68" i="1"/>
  <c r="M11" i="16"/>
  <c r="K80" i="1"/>
  <c r="K78" i="1"/>
  <c r="M12" i="16"/>
  <c r="K130" i="1"/>
  <c r="K134" i="1"/>
  <c r="M17" i="16"/>
  <c r="M18" i="16"/>
  <c r="K128" i="1"/>
  <c r="M16" i="16"/>
  <c r="M15" i="16"/>
  <c r="K111" i="1"/>
  <c r="M19" i="16"/>
  <c r="K89" i="1"/>
  <c r="M20" i="16"/>
  <c r="K106" i="1"/>
  <c r="M21" i="16"/>
  <c r="M94" i="6"/>
  <c r="K146" i="1"/>
  <c r="M26" i="16"/>
  <c r="M99" i="6"/>
  <c r="K149" i="1"/>
  <c r="M27" i="16"/>
  <c r="M102" i="6"/>
  <c r="K153" i="1"/>
  <c r="M28" i="16"/>
  <c r="M96" i="6"/>
  <c r="K157" i="1"/>
  <c r="M29" i="16"/>
  <c r="M106" i="6"/>
  <c r="M109" i="6"/>
  <c r="M112" i="6"/>
  <c r="K162" i="1"/>
  <c r="M30" i="16"/>
  <c r="K144" i="1"/>
  <c r="M25" i="16"/>
  <c r="M24" i="16"/>
  <c r="M53" i="6"/>
  <c r="K115" i="1"/>
  <c r="M54" i="6"/>
  <c r="K116" i="1"/>
  <c r="M55" i="6"/>
  <c r="M61" i="6"/>
  <c r="K117" i="1"/>
  <c r="M56" i="6"/>
  <c r="M57" i="6"/>
  <c r="K118" i="1"/>
  <c r="M58" i="6"/>
  <c r="M59" i="6"/>
  <c r="K119" i="1"/>
  <c r="M60" i="6"/>
  <c r="K120" i="1"/>
  <c r="M62" i="6"/>
  <c r="K121" i="1"/>
  <c r="M63" i="6"/>
  <c r="K122" i="1"/>
  <c r="M64" i="6"/>
  <c r="K123" i="1"/>
  <c r="K124" i="1"/>
  <c r="M14" i="16"/>
  <c r="L70" i="1"/>
  <c r="L68" i="1"/>
  <c r="N11" i="16"/>
  <c r="L80" i="1"/>
  <c r="L78" i="1"/>
  <c r="N12" i="16"/>
  <c r="L130" i="1"/>
  <c r="L134" i="1"/>
  <c r="N17" i="16"/>
  <c r="N18" i="16"/>
  <c r="L128" i="1"/>
  <c r="N16" i="16"/>
  <c r="N15" i="16"/>
  <c r="L111" i="1"/>
  <c r="N19" i="16"/>
  <c r="L89" i="1"/>
  <c r="N20" i="16"/>
  <c r="L106" i="1"/>
  <c r="N21" i="16"/>
  <c r="N94" i="6"/>
  <c r="L146" i="1"/>
  <c r="N26" i="16"/>
  <c r="N99" i="6"/>
  <c r="L149" i="1"/>
  <c r="N27" i="16"/>
  <c r="N102" i="6"/>
  <c r="L153" i="1"/>
  <c r="N28" i="16"/>
  <c r="N96" i="6"/>
  <c r="L157" i="1"/>
  <c r="N29" i="16"/>
  <c r="N106" i="6"/>
  <c r="N109" i="6"/>
  <c r="N112" i="6"/>
  <c r="L162" i="1"/>
  <c r="N30" i="16"/>
  <c r="L144" i="1"/>
  <c r="N25" i="16"/>
  <c r="N24" i="16"/>
  <c r="N53" i="6"/>
  <c r="L115" i="1"/>
  <c r="N54" i="6"/>
  <c r="L116" i="1"/>
  <c r="N55" i="6"/>
  <c r="N61" i="6"/>
  <c r="L117" i="1"/>
  <c r="N56" i="6"/>
  <c r="N57" i="6"/>
  <c r="L118" i="1"/>
  <c r="N58" i="6"/>
  <c r="N59" i="6"/>
  <c r="L119" i="1"/>
  <c r="N60" i="6"/>
  <c r="L120" i="1"/>
  <c r="N62" i="6"/>
  <c r="L121" i="1"/>
  <c r="N63" i="6"/>
  <c r="L122" i="1"/>
  <c r="N64" i="6"/>
  <c r="L123" i="1"/>
  <c r="L124" i="1"/>
  <c r="N14" i="16"/>
  <c r="M70" i="1"/>
  <c r="M68" i="1"/>
  <c r="O11" i="16"/>
  <c r="M80" i="1"/>
  <c r="M78" i="1"/>
  <c r="O12" i="16"/>
  <c r="M130" i="1"/>
  <c r="M134" i="1"/>
  <c r="O17" i="16"/>
  <c r="O18" i="16"/>
  <c r="M128" i="1"/>
  <c r="O16" i="16"/>
  <c r="O15" i="16"/>
  <c r="M111" i="1"/>
  <c r="O19" i="16"/>
  <c r="M89" i="1"/>
  <c r="O20" i="16"/>
  <c r="O5" i="6"/>
  <c r="O6" i="6"/>
  <c r="O7" i="6"/>
  <c r="O8" i="6"/>
  <c r="M106" i="1"/>
  <c r="O21" i="16"/>
  <c r="O94" i="6"/>
  <c r="M146" i="1"/>
  <c r="O26" i="16"/>
  <c r="O99" i="6"/>
  <c r="M149" i="1"/>
  <c r="O27" i="16"/>
  <c r="O102" i="6"/>
  <c r="M153" i="1"/>
  <c r="O28" i="16"/>
  <c r="O96" i="6"/>
  <c r="M157" i="1"/>
  <c r="O29" i="16"/>
  <c r="O106" i="6"/>
  <c r="O109" i="6"/>
  <c r="O112" i="6"/>
  <c r="M162" i="1"/>
  <c r="O30" i="16"/>
  <c r="M144" i="1"/>
  <c r="O25" i="16"/>
  <c r="O24" i="16"/>
  <c r="O53" i="6"/>
  <c r="M115" i="1"/>
  <c r="O54" i="6"/>
  <c r="M116" i="1"/>
  <c r="O55" i="6"/>
  <c r="O61" i="6"/>
  <c r="M117" i="1"/>
  <c r="O56" i="6"/>
  <c r="O57" i="6"/>
  <c r="M118" i="1"/>
  <c r="O58" i="6"/>
  <c r="O59" i="6"/>
  <c r="M119" i="1"/>
  <c r="O60" i="6"/>
  <c r="M120" i="1"/>
  <c r="O62" i="6"/>
  <c r="M121" i="1"/>
  <c r="O63" i="6"/>
  <c r="M122" i="1"/>
  <c r="O64" i="6"/>
  <c r="M123" i="1"/>
  <c r="M124" i="1"/>
  <c r="O14" i="16"/>
  <c r="N70" i="1"/>
  <c r="N68" i="1"/>
  <c r="P11" i="16"/>
  <c r="N80" i="1"/>
  <c r="N78" i="1"/>
  <c r="P12" i="16"/>
  <c r="N130" i="1"/>
  <c r="N134" i="1"/>
  <c r="P17" i="16"/>
  <c r="N128" i="1"/>
  <c r="P16" i="16"/>
  <c r="P18" i="16"/>
  <c r="P15" i="16"/>
  <c r="N111" i="1"/>
  <c r="P19" i="16"/>
  <c r="N89" i="1"/>
  <c r="P20" i="16"/>
  <c r="P14" i="6"/>
  <c r="N106" i="1"/>
  <c r="P21" i="16"/>
  <c r="P94" i="6"/>
  <c r="N146" i="1"/>
  <c r="P26" i="16"/>
  <c r="P99" i="6"/>
  <c r="N149" i="1"/>
  <c r="P27" i="16"/>
  <c r="P102" i="6"/>
  <c r="N153" i="1"/>
  <c r="P28" i="16"/>
  <c r="P96" i="6"/>
  <c r="N157" i="1"/>
  <c r="P29" i="16"/>
  <c r="P106" i="6"/>
  <c r="P109" i="6"/>
  <c r="P112" i="6"/>
  <c r="N162" i="1"/>
  <c r="P30" i="16"/>
  <c r="N144" i="1"/>
  <c r="P25" i="16"/>
  <c r="P24" i="16"/>
  <c r="P53" i="6"/>
  <c r="N115" i="1"/>
  <c r="P54" i="6"/>
  <c r="N116" i="1"/>
  <c r="P55" i="6"/>
  <c r="P61" i="6"/>
  <c r="N117" i="1"/>
  <c r="P56" i="6"/>
  <c r="P57" i="6"/>
  <c r="N118" i="1"/>
  <c r="P58" i="6"/>
  <c r="P59" i="6"/>
  <c r="N119" i="1"/>
  <c r="P60" i="6"/>
  <c r="N120" i="1"/>
  <c r="P62" i="6"/>
  <c r="N121" i="1"/>
  <c r="P63" i="6"/>
  <c r="N122" i="1"/>
  <c r="P64" i="6"/>
  <c r="N123" i="1"/>
  <c r="N124" i="1"/>
  <c r="P14" i="16"/>
  <c r="O70" i="1"/>
  <c r="O68" i="1"/>
  <c r="Q11" i="16"/>
  <c r="O80" i="1"/>
  <c r="O78" i="1"/>
  <c r="Q12" i="16"/>
  <c r="O130" i="1"/>
  <c r="O134" i="1"/>
  <c r="Q17" i="16"/>
  <c r="O128" i="1"/>
  <c r="Q16" i="16"/>
  <c r="Q18" i="16"/>
  <c r="Q15" i="16"/>
  <c r="O111" i="1"/>
  <c r="Q19" i="16"/>
  <c r="O89" i="1"/>
  <c r="Q20" i="16"/>
  <c r="Q14" i="6"/>
  <c r="O106" i="1"/>
  <c r="Q21" i="16"/>
  <c r="Q94" i="6"/>
  <c r="O146" i="1"/>
  <c r="Q26" i="16"/>
  <c r="Q99" i="6"/>
  <c r="O149" i="1"/>
  <c r="Q27" i="16"/>
  <c r="Q102" i="6"/>
  <c r="O153" i="1"/>
  <c r="Q28" i="16"/>
  <c r="Q96" i="6"/>
  <c r="O157" i="1"/>
  <c r="Q29" i="16"/>
  <c r="Q106" i="6"/>
  <c r="Q109" i="6"/>
  <c r="Q112" i="6"/>
  <c r="O162" i="1"/>
  <c r="Q30" i="16"/>
  <c r="O144" i="1"/>
  <c r="Q25" i="16"/>
  <c r="Q24" i="16"/>
  <c r="Q53" i="6"/>
  <c r="O115" i="1"/>
  <c r="Q54" i="6"/>
  <c r="O116" i="1"/>
  <c r="Q55" i="6"/>
  <c r="Q61" i="6"/>
  <c r="O117" i="1"/>
  <c r="Q56" i="6"/>
  <c r="Q57" i="6"/>
  <c r="O118" i="1"/>
  <c r="Q58" i="6"/>
  <c r="Q59" i="6"/>
  <c r="O119" i="1"/>
  <c r="Q60" i="6"/>
  <c r="O120" i="1"/>
  <c r="Q62" i="6"/>
  <c r="O121" i="1"/>
  <c r="Q63" i="6"/>
  <c r="O122" i="1"/>
  <c r="Q64" i="6"/>
  <c r="O123" i="1"/>
  <c r="O124" i="1"/>
  <c r="Q14" i="16"/>
  <c r="P70" i="1"/>
  <c r="P68" i="1"/>
  <c r="R11" i="16"/>
  <c r="P80" i="1"/>
  <c r="P78" i="1"/>
  <c r="R12" i="16"/>
  <c r="P130" i="1"/>
  <c r="P134" i="1"/>
  <c r="R17" i="16"/>
  <c r="P128" i="1"/>
  <c r="R16" i="16"/>
  <c r="R18" i="16"/>
  <c r="R15" i="16"/>
  <c r="P111" i="1"/>
  <c r="R19" i="16"/>
  <c r="P89" i="1"/>
  <c r="R20" i="16"/>
  <c r="R14" i="6"/>
  <c r="P106" i="1"/>
  <c r="R21" i="16"/>
  <c r="R94" i="6"/>
  <c r="P146" i="1"/>
  <c r="R26" i="16"/>
  <c r="R99" i="6"/>
  <c r="P149" i="1"/>
  <c r="R27" i="16"/>
  <c r="R102" i="6"/>
  <c r="P153" i="1"/>
  <c r="R28" i="16"/>
  <c r="R96" i="6"/>
  <c r="P157" i="1"/>
  <c r="R29" i="16"/>
  <c r="R106" i="6"/>
  <c r="R109" i="6"/>
  <c r="R112" i="6"/>
  <c r="P162" i="1"/>
  <c r="R30" i="16"/>
  <c r="P144" i="1"/>
  <c r="R25" i="16"/>
  <c r="R24" i="16"/>
  <c r="R53" i="6"/>
  <c r="P115" i="1"/>
  <c r="R54" i="6"/>
  <c r="P116" i="1"/>
  <c r="R55" i="6"/>
  <c r="R61" i="6"/>
  <c r="P117" i="1"/>
  <c r="R56" i="6"/>
  <c r="R57" i="6"/>
  <c r="P118" i="1"/>
  <c r="R58" i="6"/>
  <c r="R59" i="6"/>
  <c r="P119" i="1"/>
  <c r="R60" i="6"/>
  <c r="P120" i="1"/>
  <c r="R62" i="6"/>
  <c r="P121" i="1"/>
  <c r="R63" i="6"/>
  <c r="P122" i="1"/>
  <c r="R64" i="6"/>
  <c r="P123" i="1"/>
  <c r="P124" i="1"/>
  <c r="R14" i="16"/>
  <c r="Q70" i="1"/>
  <c r="Q68" i="1"/>
  <c r="S11" i="16"/>
  <c r="Q80" i="1"/>
  <c r="Q78" i="1"/>
  <c r="S12" i="16"/>
  <c r="Q130" i="1"/>
  <c r="Q134" i="1"/>
  <c r="S17" i="16"/>
  <c r="Q128" i="1"/>
  <c r="S16" i="16"/>
  <c r="S18" i="16"/>
  <c r="S15" i="16"/>
  <c r="Q111" i="1"/>
  <c r="S19" i="16"/>
  <c r="Q89" i="1"/>
  <c r="S20" i="16"/>
  <c r="S14" i="6"/>
  <c r="Q106" i="1"/>
  <c r="S21" i="16"/>
  <c r="S94" i="6"/>
  <c r="Q146" i="1"/>
  <c r="S26" i="16"/>
  <c r="S99" i="6"/>
  <c r="Q149" i="1"/>
  <c r="S27" i="16"/>
  <c r="S102" i="6"/>
  <c r="Q153" i="1"/>
  <c r="S28" i="16"/>
  <c r="S96" i="6"/>
  <c r="Q157" i="1"/>
  <c r="S29" i="16"/>
  <c r="S106" i="6"/>
  <c r="S109" i="6"/>
  <c r="S112" i="6"/>
  <c r="Q162" i="1"/>
  <c r="S30" i="16"/>
  <c r="Q144" i="1"/>
  <c r="S25" i="16"/>
  <c r="S24" i="16"/>
  <c r="S53" i="6"/>
  <c r="Q115" i="1"/>
  <c r="S54" i="6"/>
  <c r="Q116" i="1"/>
  <c r="S55" i="6"/>
  <c r="S61" i="6"/>
  <c r="Q117" i="1"/>
  <c r="S56" i="6"/>
  <c r="S57" i="6"/>
  <c r="Q118" i="1"/>
  <c r="S58" i="6"/>
  <c r="S59" i="6"/>
  <c r="Q119" i="1"/>
  <c r="S60" i="6"/>
  <c r="Q120" i="1"/>
  <c r="S62" i="6"/>
  <c r="Q121" i="1"/>
  <c r="S63" i="6"/>
  <c r="Q122" i="1"/>
  <c r="S64" i="6"/>
  <c r="Q123" i="1"/>
  <c r="Q124" i="1"/>
  <c r="S14" i="16"/>
  <c r="R70" i="1"/>
  <c r="R68" i="1"/>
  <c r="T11" i="16"/>
  <c r="R80" i="1"/>
  <c r="R78" i="1"/>
  <c r="T12" i="16"/>
  <c r="R130" i="1"/>
  <c r="R134" i="1"/>
  <c r="T17" i="16"/>
  <c r="R128" i="1"/>
  <c r="T16" i="16"/>
  <c r="T18" i="16"/>
  <c r="T15" i="16"/>
  <c r="R111" i="1"/>
  <c r="T19" i="16"/>
  <c r="R89" i="1"/>
  <c r="T20" i="16"/>
  <c r="T14" i="6"/>
  <c r="R106" i="1"/>
  <c r="T21" i="16"/>
  <c r="T94" i="6"/>
  <c r="R146" i="1"/>
  <c r="T26" i="16"/>
  <c r="T99" i="6"/>
  <c r="R149" i="1"/>
  <c r="T27" i="16"/>
  <c r="T102" i="6"/>
  <c r="R153" i="1"/>
  <c r="T28" i="16"/>
  <c r="T96" i="6"/>
  <c r="R157" i="1"/>
  <c r="T29" i="16"/>
  <c r="T106" i="6"/>
  <c r="T109" i="6"/>
  <c r="T112" i="6"/>
  <c r="R162" i="1"/>
  <c r="T30" i="16"/>
  <c r="R144" i="1"/>
  <c r="T25" i="16"/>
  <c r="T24" i="16"/>
  <c r="T53" i="6"/>
  <c r="R115" i="1"/>
  <c r="T54" i="6"/>
  <c r="R116" i="1"/>
  <c r="T55" i="6"/>
  <c r="T61" i="6"/>
  <c r="R117" i="1"/>
  <c r="T56" i="6"/>
  <c r="T57" i="6"/>
  <c r="R118" i="1"/>
  <c r="T58" i="6"/>
  <c r="T59" i="6"/>
  <c r="R119" i="1"/>
  <c r="T60" i="6"/>
  <c r="R120" i="1"/>
  <c r="T62" i="6"/>
  <c r="R121" i="1"/>
  <c r="T63" i="6"/>
  <c r="R122" i="1"/>
  <c r="T64" i="6"/>
  <c r="R123" i="1"/>
  <c r="R124" i="1"/>
  <c r="T14" i="16"/>
  <c r="S70" i="1"/>
  <c r="S68" i="1"/>
  <c r="U11" i="16"/>
  <c r="S80" i="1"/>
  <c r="S78" i="1"/>
  <c r="U12" i="16"/>
  <c r="S130" i="1"/>
  <c r="S134" i="1"/>
  <c r="U17" i="16"/>
  <c r="S128" i="1"/>
  <c r="U16" i="16"/>
  <c r="U18" i="16"/>
  <c r="U15" i="16"/>
  <c r="S111" i="1"/>
  <c r="U19" i="16"/>
  <c r="S89" i="1"/>
  <c r="U20" i="16"/>
  <c r="U14" i="6"/>
  <c r="S106" i="1"/>
  <c r="U21" i="16"/>
  <c r="U94" i="6"/>
  <c r="S146" i="1"/>
  <c r="U26" i="16"/>
  <c r="U99" i="6"/>
  <c r="S149" i="1"/>
  <c r="U27" i="16"/>
  <c r="U102" i="6"/>
  <c r="S153" i="1"/>
  <c r="U28" i="16"/>
  <c r="U96" i="6"/>
  <c r="S157" i="1"/>
  <c r="U29" i="16"/>
  <c r="U106" i="6"/>
  <c r="U109" i="6"/>
  <c r="U112" i="6"/>
  <c r="S162" i="1"/>
  <c r="U30" i="16"/>
  <c r="S144" i="1"/>
  <c r="U25" i="16"/>
  <c r="U24" i="16"/>
  <c r="U53" i="6"/>
  <c r="S115" i="1"/>
  <c r="U54" i="6"/>
  <c r="S116" i="1"/>
  <c r="U55" i="6"/>
  <c r="U61" i="6"/>
  <c r="S117" i="1"/>
  <c r="U56" i="6"/>
  <c r="U57" i="6"/>
  <c r="S118" i="1"/>
  <c r="U58" i="6"/>
  <c r="U59" i="6"/>
  <c r="S119" i="1"/>
  <c r="U60" i="6"/>
  <c r="S120" i="1"/>
  <c r="U62" i="6"/>
  <c r="S121" i="1"/>
  <c r="U63" i="6"/>
  <c r="S122" i="1"/>
  <c r="U64" i="6"/>
  <c r="S123" i="1"/>
  <c r="S124" i="1"/>
  <c r="U14" i="16"/>
  <c r="T70" i="1"/>
  <c r="T68" i="1"/>
  <c r="V11" i="16"/>
  <c r="V184" i="4"/>
  <c r="T80" i="1"/>
  <c r="T78" i="1"/>
  <c r="V12" i="16"/>
  <c r="T130" i="1"/>
  <c r="T134" i="1"/>
  <c r="V17" i="16"/>
  <c r="T128" i="1"/>
  <c r="V16" i="16"/>
  <c r="V18" i="16"/>
  <c r="V15" i="16"/>
  <c r="T111" i="1"/>
  <c r="V19" i="16"/>
  <c r="T89" i="1"/>
  <c r="V20" i="16"/>
  <c r="V14" i="6"/>
  <c r="T106" i="1"/>
  <c r="V21" i="16"/>
  <c r="V94" i="6"/>
  <c r="T146" i="1"/>
  <c r="V26" i="16"/>
  <c r="V99" i="6"/>
  <c r="T149" i="1"/>
  <c r="V27" i="16"/>
  <c r="V102" i="6"/>
  <c r="T153" i="1"/>
  <c r="V28" i="16"/>
  <c r="V96" i="6"/>
  <c r="T157" i="1"/>
  <c r="V29" i="16"/>
  <c r="V106" i="6"/>
  <c r="V109" i="6"/>
  <c r="V112" i="6"/>
  <c r="T162" i="1"/>
  <c r="V30" i="16"/>
  <c r="T144" i="1"/>
  <c r="V25" i="16"/>
  <c r="V24" i="16"/>
  <c r="V53" i="6"/>
  <c r="T115" i="1"/>
  <c r="V54" i="6"/>
  <c r="T116" i="1"/>
  <c r="V55" i="6"/>
  <c r="V61" i="6"/>
  <c r="T117" i="1"/>
  <c r="V56" i="6"/>
  <c r="V57" i="6"/>
  <c r="T118" i="1"/>
  <c r="V58" i="6"/>
  <c r="V59" i="6"/>
  <c r="T119" i="1"/>
  <c r="V60" i="6"/>
  <c r="T120" i="1"/>
  <c r="V62" i="6"/>
  <c r="T121" i="1"/>
  <c r="V63" i="6"/>
  <c r="T122" i="1"/>
  <c r="V64" i="6"/>
  <c r="T123" i="1"/>
  <c r="T124" i="1"/>
  <c r="V14" i="16"/>
  <c r="U70" i="1"/>
  <c r="U68" i="1"/>
  <c r="W11" i="16"/>
  <c r="W184" i="4"/>
  <c r="U80" i="1"/>
  <c r="U78" i="1"/>
  <c r="W12" i="16"/>
  <c r="U130" i="1"/>
  <c r="U134" i="1"/>
  <c r="W17" i="16"/>
  <c r="U128" i="1"/>
  <c r="W16" i="16"/>
  <c r="W18" i="16"/>
  <c r="W15" i="16"/>
  <c r="U111" i="1"/>
  <c r="W19" i="16"/>
  <c r="U89" i="1"/>
  <c r="W20" i="16"/>
  <c r="W14" i="6"/>
  <c r="U106" i="1"/>
  <c r="W21" i="16"/>
  <c r="W94" i="6"/>
  <c r="U146" i="1"/>
  <c r="W26" i="16"/>
  <c r="W99" i="6"/>
  <c r="U149" i="1"/>
  <c r="W27" i="16"/>
  <c r="W102" i="6"/>
  <c r="U153" i="1"/>
  <c r="W28" i="16"/>
  <c r="W96" i="6"/>
  <c r="U157" i="1"/>
  <c r="W29" i="16"/>
  <c r="W106" i="6"/>
  <c r="W109" i="6"/>
  <c r="W112" i="6"/>
  <c r="U162" i="1"/>
  <c r="W30" i="16"/>
  <c r="U144" i="1"/>
  <c r="W25" i="16"/>
  <c r="W24" i="16"/>
  <c r="W53" i="6"/>
  <c r="U115" i="1"/>
  <c r="W54" i="6"/>
  <c r="U116" i="1"/>
  <c r="W55" i="6"/>
  <c r="W61" i="6"/>
  <c r="U117" i="1"/>
  <c r="W56" i="6"/>
  <c r="W57" i="6"/>
  <c r="U118" i="1"/>
  <c r="W58" i="6"/>
  <c r="W59" i="6"/>
  <c r="U119" i="1"/>
  <c r="W60" i="6"/>
  <c r="U120" i="1"/>
  <c r="W62" i="6"/>
  <c r="U121" i="1"/>
  <c r="W63" i="6"/>
  <c r="U122" i="1"/>
  <c r="W64" i="6"/>
  <c r="U123" i="1"/>
  <c r="U124" i="1"/>
  <c r="W14" i="16"/>
  <c r="V70" i="1"/>
  <c r="V68" i="1"/>
  <c r="X11" i="16"/>
  <c r="X184" i="4"/>
  <c r="V80" i="1"/>
  <c r="V78" i="1"/>
  <c r="X12" i="16"/>
  <c r="V130" i="1"/>
  <c r="V134" i="1"/>
  <c r="X17" i="16"/>
  <c r="V128" i="1"/>
  <c r="X16" i="16"/>
  <c r="X18" i="16"/>
  <c r="X15" i="16"/>
  <c r="V111" i="1"/>
  <c r="X19" i="16"/>
  <c r="V89" i="1"/>
  <c r="X20" i="16"/>
  <c r="X14" i="6"/>
  <c r="V106" i="1"/>
  <c r="X21" i="16"/>
  <c r="X94" i="6"/>
  <c r="V146" i="1"/>
  <c r="X26" i="16"/>
  <c r="X99" i="6"/>
  <c r="V149" i="1"/>
  <c r="X27" i="16"/>
  <c r="X102" i="6"/>
  <c r="V153" i="1"/>
  <c r="X28" i="16"/>
  <c r="X96" i="6"/>
  <c r="V157" i="1"/>
  <c r="X29" i="16"/>
  <c r="X106" i="6"/>
  <c r="X109" i="6"/>
  <c r="X112" i="6"/>
  <c r="V162" i="1"/>
  <c r="X30" i="16"/>
  <c r="V144" i="1"/>
  <c r="X25" i="16"/>
  <c r="X24" i="16"/>
  <c r="X53" i="6"/>
  <c r="V115" i="1"/>
  <c r="X54" i="6"/>
  <c r="V116" i="1"/>
  <c r="X55" i="6"/>
  <c r="X61" i="6"/>
  <c r="V117" i="1"/>
  <c r="X56" i="6"/>
  <c r="X57" i="6"/>
  <c r="V118" i="1"/>
  <c r="X58" i="6"/>
  <c r="X59" i="6"/>
  <c r="V119" i="1"/>
  <c r="X60" i="6"/>
  <c r="V120" i="1"/>
  <c r="X62" i="6"/>
  <c r="V121" i="1"/>
  <c r="X63" i="6"/>
  <c r="V122" i="1"/>
  <c r="X64" i="6"/>
  <c r="V123" i="1"/>
  <c r="V124" i="1"/>
  <c r="X14" i="16"/>
  <c r="W70" i="1"/>
  <c r="W68" i="1"/>
  <c r="Y11" i="16"/>
  <c r="Y184" i="4"/>
  <c r="W80" i="1"/>
  <c r="W78" i="1"/>
  <c r="Y12" i="16"/>
  <c r="W130" i="1"/>
  <c r="W134" i="1"/>
  <c r="Y17" i="16"/>
  <c r="W128" i="1"/>
  <c r="Y16" i="16"/>
  <c r="Y18" i="16"/>
  <c r="Y15" i="16"/>
  <c r="W111" i="1"/>
  <c r="Y19" i="16"/>
  <c r="W89" i="1"/>
  <c r="Y20" i="16"/>
  <c r="Y14" i="6"/>
  <c r="W106" i="1"/>
  <c r="Y21" i="16"/>
  <c r="Y94" i="6"/>
  <c r="W146" i="1"/>
  <c r="Y26" i="16"/>
  <c r="Y99" i="6"/>
  <c r="W149" i="1"/>
  <c r="Y27" i="16"/>
  <c r="Y102" i="6"/>
  <c r="W153" i="1"/>
  <c r="Y28" i="16"/>
  <c r="Y96" i="6"/>
  <c r="W157" i="1"/>
  <c r="Y29" i="16"/>
  <c r="Y106" i="6"/>
  <c r="Y109" i="6"/>
  <c r="Y112" i="6"/>
  <c r="W162" i="1"/>
  <c r="Y30" i="16"/>
  <c r="W144" i="1"/>
  <c r="Y25" i="16"/>
  <c r="Y24" i="16"/>
  <c r="Y53" i="6"/>
  <c r="W115" i="1"/>
  <c r="Y54" i="6"/>
  <c r="W116" i="1"/>
  <c r="Y55" i="6"/>
  <c r="Y61" i="6"/>
  <c r="W117" i="1"/>
  <c r="Y56" i="6"/>
  <c r="Y57" i="6"/>
  <c r="W118" i="1"/>
  <c r="Y58" i="6"/>
  <c r="Y59" i="6"/>
  <c r="W119" i="1"/>
  <c r="Y60" i="6"/>
  <c r="W120" i="1"/>
  <c r="Y62" i="6"/>
  <c r="W121" i="1"/>
  <c r="Y63" i="6"/>
  <c r="W122" i="1"/>
  <c r="Y64" i="6"/>
  <c r="W123" i="1"/>
  <c r="W124" i="1"/>
  <c r="Y14" i="16"/>
  <c r="C70" i="1"/>
  <c r="E11" i="16"/>
  <c r="C80" i="1"/>
  <c r="E12" i="16"/>
  <c r="C130" i="1"/>
  <c r="C134" i="1"/>
  <c r="E17" i="16"/>
  <c r="E18" i="16"/>
  <c r="C128" i="1"/>
  <c r="E16" i="16"/>
  <c r="E15" i="16"/>
  <c r="C111" i="1"/>
  <c r="E19" i="16"/>
  <c r="E20" i="16"/>
  <c r="C106" i="1"/>
  <c r="E21" i="16"/>
  <c r="C95" i="1"/>
  <c r="C97" i="1"/>
  <c r="E22" i="16"/>
  <c r="C146" i="1"/>
  <c r="E26" i="16"/>
  <c r="C149" i="1"/>
  <c r="E27" i="16"/>
  <c r="C153" i="1"/>
  <c r="E28" i="16"/>
  <c r="C157" i="1"/>
  <c r="E29" i="16"/>
  <c r="E106" i="6"/>
  <c r="E109" i="6"/>
  <c r="E112" i="6"/>
  <c r="C162" i="1"/>
  <c r="E30" i="16"/>
  <c r="C144" i="1"/>
  <c r="E25" i="16"/>
  <c r="E24" i="16"/>
  <c r="C115" i="1"/>
  <c r="C116" i="1"/>
  <c r="C117" i="1"/>
  <c r="C118" i="1"/>
  <c r="C119" i="1"/>
  <c r="C120" i="1"/>
  <c r="C121" i="1"/>
  <c r="C122" i="1"/>
  <c r="C123" i="1"/>
  <c r="C124" i="1"/>
  <c r="E14" i="16"/>
  <c r="E31" i="16"/>
  <c r="N83" i="1"/>
  <c r="O83" i="1"/>
  <c r="P83" i="1"/>
  <c r="Q83" i="1"/>
  <c r="R83" i="1"/>
  <c r="S83" i="1"/>
  <c r="T83" i="1"/>
  <c r="U83" i="1"/>
  <c r="V83" i="1"/>
  <c r="W83" i="1"/>
  <c r="V183" i="4"/>
  <c r="T84" i="1"/>
  <c r="W183" i="4"/>
  <c r="U84" i="1"/>
  <c r="X183" i="4"/>
  <c r="V84" i="1"/>
  <c r="Y183" i="4"/>
  <c r="W84" i="1"/>
  <c r="T85" i="1"/>
  <c r="U85" i="1"/>
  <c r="V85" i="1"/>
  <c r="W85" i="1"/>
  <c r="T79" i="1"/>
  <c r="U79" i="1"/>
  <c r="V79" i="1"/>
  <c r="W79" i="1"/>
  <c r="N73" i="1"/>
  <c r="O73" i="1"/>
  <c r="P73" i="1"/>
  <c r="Q73" i="1"/>
  <c r="R73" i="1"/>
  <c r="S73" i="1"/>
  <c r="T73" i="1"/>
  <c r="U73" i="1"/>
  <c r="V73" i="1"/>
  <c r="W73" i="1"/>
  <c r="B178" i="4"/>
  <c r="P178" i="4"/>
  <c r="N74" i="1"/>
  <c r="Q178" i="4"/>
  <c r="O74" i="1"/>
  <c r="R178" i="4"/>
  <c r="P74" i="1"/>
  <c r="S178" i="4"/>
  <c r="Q74" i="1"/>
  <c r="T178" i="4"/>
  <c r="R74" i="1"/>
  <c r="U178" i="4"/>
  <c r="S74" i="1"/>
  <c r="V178" i="4"/>
  <c r="T74" i="1"/>
  <c r="W178" i="4"/>
  <c r="U74" i="1"/>
  <c r="X178" i="4"/>
  <c r="V74" i="1"/>
  <c r="Y178" i="4"/>
  <c r="W74" i="1"/>
  <c r="P179" i="4"/>
  <c r="N75" i="1"/>
  <c r="Q179" i="4"/>
  <c r="O75" i="1"/>
  <c r="R179" i="4"/>
  <c r="P75" i="1"/>
  <c r="S179" i="4"/>
  <c r="Q75" i="1"/>
  <c r="T179" i="4"/>
  <c r="R75" i="1"/>
  <c r="U179" i="4"/>
  <c r="S75" i="1"/>
  <c r="V179" i="4"/>
  <c r="T75" i="1"/>
  <c r="W179" i="4"/>
  <c r="U75" i="1"/>
  <c r="X179" i="4"/>
  <c r="V75" i="1"/>
  <c r="Y179" i="4"/>
  <c r="W75" i="1"/>
  <c r="N69" i="1"/>
  <c r="O69" i="1"/>
  <c r="P69" i="1"/>
  <c r="Q69" i="1"/>
  <c r="R69" i="1"/>
  <c r="S69" i="1"/>
  <c r="T69" i="1"/>
  <c r="U69" i="1"/>
  <c r="V69" i="1"/>
  <c r="W69" i="1"/>
  <c r="F67" i="4"/>
  <c r="G67" i="4"/>
  <c r="H67" i="4"/>
  <c r="I67" i="4"/>
  <c r="J67" i="4"/>
  <c r="K67" i="4"/>
  <c r="L67" i="4"/>
  <c r="M67" i="4"/>
  <c r="N67" i="4"/>
  <c r="O67" i="4"/>
  <c r="E67" i="4"/>
  <c r="F57" i="4"/>
  <c r="G57" i="4"/>
  <c r="H57" i="4"/>
  <c r="I57" i="4"/>
  <c r="J57" i="4"/>
  <c r="K57" i="4"/>
  <c r="L57" i="4"/>
  <c r="M57" i="4"/>
  <c r="N57" i="4"/>
  <c r="O57" i="4"/>
  <c r="E57" i="4"/>
  <c r="F47" i="4"/>
  <c r="G47" i="4"/>
  <c r="H47" i="4"/>
  <c r="I47" i="4"/>
  <c r="J47" i="4"/>
  <c r="K47" i="4"/>
  <c r="L47" i="4"/>
  <c r="M47" i="4"/>
  <c r="N47" i="4"/>
  <c r="O47" i="4"/>
  <c r="E47" i="4"/>
  <c r="F34" i="4"/>
  <c r="G34" i="4"/>
  <c r="H34" i="4"/>
  <c r="I34" i="4"/>
  <c r="J34" i="4"/>
  <c r="K34" i="4"/>
  <c r="L34" i="4"/>
  <c r="M34" i="4"/>
  <c r="N34" i="4"/>
  <c r="O34" i="4"/>
  <c r="E34" i="4"/>
  <c r="E22" i="4"/>
  <c r="F22" i="4"/>
  <c r="G22" i="4"/>
  <c r="H22" i="4"/>
  <c r="I22" i="4"/>
  <c r="J22" i="4"/>
  <c r="K22" i="4"/>
  <c r="L22" i="4"/>
  <c r="M22" i="4"/>
  <c r="N22" i="4"/>
  <c r="O22" i="4"/>
  <c r="F90" i="4"/>
  <c r="G90" i="4"/>
  <c r="H90" i="4"/>
  <c r="I90" i="4"/>
  <c r="J90" i="4"/>
  <c r="K90" i="4"/>
  <c r="L90" i="4"/>
  <c r="M90" i="4"/>
  <c r="N90" i="4"/>
  <c r="O90" i="4"/>
  <c r="E90" i="4"/>
  <c r="F10" i="4"/>
  <c r="G10" i="4"/>
  <c r="H10" i="4"/>
  <c r="I10" i="4"/>
  <c r="J10" i="4"/>
  <c r="K10" i="4"/>
  <c r="L10" i="4"/>
  <c r="M10" i="4"/>
  <c r="N10" i="4"/>
  <c r="O10" i="4"/>
  <c r="E10" i="4"/>
  <c r="V15" i="6"/>
  <c r="W15" i="6"/>
  <c r="X15" i="6"/>
  <c r="Y15" i="6"/>
  <c r="S32" i="24"/>
  <c r="S44" i="24"/>
  <c r="S45" i="24"/>
  <c r="S86" i="24"/>
  <c r="S107" i="24"/>
  <c r="S138" i="24"/>
  <c r="S191" i="24"/>
  <c r="S200" i="24"/>
  <c r="S214" i="24"/>
  <c r="S264" i="24"/>
  <c r="S266" i="24"/>
  <c r="S325" i="24"/>
  <c r="S358" i="24"/>
  <c r="S403" i="24"/>
  <c r="S423" i="24"/>
  <c r="S480" i="24"/>
  <c r="S481" i="24"/>
  <c r="S502" i="24"/>
  <c r="S518" i="24"/>
  <c r="S519" i="24"/>
  <c r="S562" i="24"/>
  <c r="F24" i="6"/>
  <c r="B28" i="6"/>
  <c r="F28" i="6"/>
  <c r="D90" i="1"/>
  <c r="G24" i="6"/>
  <c r="G28" i="6"/>
  <c r="E90" i="1"/>
  <c r="H24" i="6"/>
  <c r="H28" i="6"/>
  <c r="F90" i="1"/>
  <c r="I24" i="6"/>
  <c r="I28" i="6"/>
  <c r="G90" i="1"/>
  <c r="J24" i="6"/>
  <c r="J28" i="6"/>
  <c r="H90" i="1"/>
  <c r="K24" i="6"/>
  <c r="K28" i="6"/>
  <c r="I90" i="1"/>
  <c r="L24" i="6"/>
  <c r="L28" i="6"/>
  <c r="J90" i="1"/>
  <c r="M24" i="6"/>
  <c r="M28" i="6"/>
  <c r="K90" i="1"/>
  <c r="N24" i="6"/>
  <c r="N28" i="6"/>
  <c r="L90" i="1"/>
  <c r="O24" i="6"/>
  <c r="O28" i="6"/>
  <c r="M90" i="1"/>
  <c r="P24" i="6"/>
  <c r="P28" i="6"/>
  <c r="N90" i="1"/>
  <c r="Q24" i="6"/>
  <c r="Q28" i="6"/>
  <c r="O90" i="1"/>
  <c r="R24" i="6"/>
  <c r="R28" i="6"/>
  <c r="P90" i="1"/>
  <c r="S24" i="6"/>
  <c r="S28" i="6"/>
  <c r="Q90" i="1"/>
  <c r="T24" i="6"/>
  <c r="T28" i="6"/>
  <c r="R90" i="1"/>
  <c r="U24" i="6"/>
  <c r="U28" i="6"/>
  <c r="S90" i="1"/>
  <c r="V24" i="6"/>
  <c r="V28" i="6"/>
  <c r="T90" i="1"/>
  <c r="W24" i="6"/>
  <c r="W28" i="6"/>
  <c r="U90" i="1"/>
  <c r="X24" i="6"/>
  <c r="X28" i="6"/>
  <c r="V90" i="1"/>
  <c r="Y24" i="6"/>
  <c r="Y28" i="6"/>
  <c r="W90" i="1"/>
  <c r="E24" i="6"/>
  <c r="E28" i="6"/>
  <c r="C90" i="1"/>
  <c r="F79" i="1"/>
  <c r="N84" i="1"/>
  <c r="R79" i="1"/>
  <c r="R85" i="1"/>
  <c r="F25" i="6"/>
  <c r="G25" i="6"/>
  <c r="H25" i="6"/>
  <c r="I25" i="6"/>
  <c r="J25" i="6"/>
  <c r="K25" i="6"/>
  <c r="L25" i="6"/>
  <c r="M25" i="6"/>
  <c r="N25" i="6"/>
  <c r="O25" i="6"/>
  <c r="P25" i="6"/>
  <c r="Q25" i="6"/>
  <c r="R25" i="6"/>
  <c r="S25" i="6"/>
  <c r="T25" i="6"/>
  <c r="U25" i="6"/>
  <c r="V25" i="6"/>
  <c r="W25" i="6"/>
  <c r="X25" i="6"/>
  <c r="Y25" i="6"/>
  <c r="E25" i="6"/>
  <c r="F105" i="6"/>
  <c r="F108" i="6"/>
  <c r="F111" i="6"/>
  <c r="D161" i="1"/>
  <c r="G105" i="6"/>
  <c r="G108" i="6"/>
  <c r="G111" i="6"/>
  <c r="E161" i="1"/>
  <c r="H105" i="6"/>
  <c r="H108" i="6"/>
  <c r="H111" i="6"/>
  <c r="F161" i="1"/>
  <c r="I105" i="6"/>
  <c r="I108" i="6"/>
  <c r="I111" i="6"/>
  <c r="G161" i="1"/>
  <c r="J105" i="6"/>
  <c r="J108" i="6"/>
  <c r="J111" i="6"/>
  <c r="H161" i="1"/>
  <c r="K105" i="6"/>
  <c r="K108" i="6"/>
  <c r="K111" i="6"/>
  <c r="I161" i="1"/>
  <c r="L105" i="6"/>
  <c r="L108" i="6"/>
  <c r="L111" i="6"/>
  <c r="J161" i="1"/>
  <c r="M105" i="6"/>
  <c r="M108" i="6"/>
  <c r="M111" i="6"/>
  <c r="K161" i="1"/>
  <c r="N105" i="6"/>
  <c r="N108" i="6"/>
  <c r="N111" i="6"/>
  <c r="L161" i="1"/>
  <c r="O105" i="6"/>
  <c r="O108" i="6"/>
  <c r="O111" i="6"/>
  <c r="M161" i="1"/>
  <c r="P105" i="6"/>
  <c r="P108" i="6"/>
  <c r="P111" i="6"/>
  <c r="N161" i="1"/>
  <c r="Q105" i="6"/>
  <c r="Q108" i="6"/>
  <c r="Q111" i="6"/>
  <c r="O161" i="1"/>
  <c r="R105" i="6"/>
  <c r="R108" i="6"/>
  <c r="R111" i="6"/>
  <c r="P161" i="1"/>
  <c r="S105" i="6"/>
  <c r="S108" i="6"/>
  <c r="S111" i="6"/>
  <c r="Q161" i="1"/>
  <c r="T105" i="6"/>
  <c r="T108" i="6"/>
  <c r="T111" i="6"/>
  <c r="R161" i="1"/>
  <c r="U105" i="6"/>
  <c r="U108" i="6"/>
  <c r="U111" i="6"/>
  <c r="S161" i="1"/>
  <c r="V105" i="6"/>
  <c r="V108" i="6"/>
  <c r="V111" i="6"/>
  <c r="T161" i="1"/>
  <c r="W105" i="6"/>
  <c r="W108" i="6"/>
  <c r="W111" i="6"/>
  <c r="U161" i="1"/>
  <c r="X105" i="6"/>
  <c r="X108" i="6"/>
  <c r="X111" i="6"/>
  <c r="V161" i="1"/>
  <c r="Y105" i="6"/>
  <c r="Y108" i="6"/>
  <c r="Y111" i="6"/>
  <c r="W161" i="1"/>
  <c r="F107" i="6"/>
  <c r="F110" i="6"/>
  <c r="F113" i="6"/>
  <c r="D163" i="1"/>
  <c r="G107" i="6"/>
  <c r="G110" i="6"/>
  <c r="G113" i="6"/>
  <c r="E163" i="1"/>
  <c r="H107" i="6"/>
  <c r="H110" i="6"/>
  <c r="H113" i="6"/>
  <c r="F163" i="1"/>
  <c r="I107" i="6"/>
  <c r="I110" i="6"/>
  <c r="I113" i="6"/>
  <c r="G163" i="1"/>
  <c r="J107" i="6"/>
  <c r="J110" i="6"/>
  <c r="J113" i="6"/>
  <c r="H163" i="1"/>
  <c r="K107" i="6"/>
  <c r="K110" i="6"/>
  <c r="K113" i="6"/>
  <c r="I163" i="1"/>
  <c r="L107" i="6"/>
  <c r="L110" i="6"/>
  <c r="L113" i="6"/>
  <c r="J163" i="1"/>
  <c r="M107" i="6"/>
  <c r="M110" i="6"/>
  <c r="M113" i="6"/>
  <c r="K163" i="1"/>
  <c r="N107" i="6"/>
  <c r="N110" i="6"/>
  <c r="N113" i="6"/>
  <c r="L163" i="1"/>
  <c r="O107" i="6"/>
  <c r="O110" i="6"/>
  <c r="O113" i="6"/>
  <c r="M163" i="1"/>
  <c r="P107" i="6"/>
  <c r="P110" i="6"/>
  <c r="P113" i="6"/>
  <c r="N163" i="1"/>
  <c r="Q107" i="6"/>
  <c r="Q110" i="6"/>
  <c r="Q113" i="6"/>
  <c r="O163" i="1"/>
  <c r="R107" i="6"/>
  <c r="R110" i="6"/>
  <c r="R113" i="6"/>
  <c r="P163" i="1"/>
  <c r="S107" i="6"/>
  <c r="S110" i="6"/>
  <c r="S113" i="6"/>
  <c r="Q163" i="1"/>
  <c r="T107" i="6"/>
  <c r="T110" i="6"/>
  <c r="T113" i="6"/>
  <c r="R163" i="1"/>
  <c r="U107" i="6"/>
  <c r="U110" i="6"/>
  <c r="U113" i="6"/>
  <c r="S163" i="1"/>
  <c r="V107" i="6"/>
  <c r="V110" i="6"/>
  <c r="V113" i="6"/>
  <c r="T163" i="1"/>
  <c r="W107" i="6"/>
  <c r="W110" i="6"/>
  <c r="W113" i="6"/>
  <c r="U163" i="1"/>
  <c r="X107" i="6"/>
  <c r="X110" i="6"/>
  <c r="X113" i="6"/>
  <c r="V163" i="1"/>
  <c r="Y107" i="6"/>
  <c r="Y110" i="6"/>
  <c r="Y113" i="6"/>
  <c r="W163" i="1"/>
  <c r="E107" i="6"/>
  <c r="E110" i="6"/>
  <c r="E113" i="6"/>
  <c r="C163" i="1"/>
  <c r="C161" i="1"/>
  <c r="F97" i="6"/>
  <c r="D158" i="1"/>
  <c r="G97" i="6"/>
  <c r="E158" i="1"/>
  <c r="H97" i="6"/>
  <c r="F158" i="1"/>
  <c r="I97" i="6"/>
  <c r="G158" i="1"/>
  <c r="J97" i="6"/>
  <c r="H158" i="1"/>
  <c r="K97" i="6"/>
  <c r="I158" i="1"/>
  <c r="L97" i="6"/>
  <c r="J158" i="1"/>
  <c r="M97" i="6"/>
  <c r="K158" i="1"/>
  <c r="N97" i="6"/>
  <c r="L158" i="1"/>
  <c r="O97" i="6"/>
  <c r="M158" i="1"/>
  <c r="P97" i="6"/>
  <c r="N158" i="1"/>
  <c r="Q97" i="6"/>
  <c r="O158" i="1"/>
  <c r="R97" i="6"/>
  <c r="P158" i="1"/>
  <c r="S97" i="6"/>
  <c r="Q158" i="1"/>
  <c r="T97" i="6"/>
  <c r="R158" i="1"/>
  <c r="U97" i="6"/>
  <c r="S158" i="1"/>
  <c r="V97" i="6"/>
  <c r="T158" i="1"/>
  <c r="W97" i="6"/>
  <c r="U158" i="1"/>
  <c r="X97" i="6"/>
  <c r="V158" i="1"/>
  <c r="Y97" i="6"/>
  <c r="W158" i="1"/>
  <c r="F98" i="6"/>
  <c r="D159" i="1"/>
  <c r="G98" i="6"/>
  <c r="E159" i="1"/>
  <c r="H98" i="6"/>
  <c r="F159" i="1"/>
  <c r="I98" i="6"/>
  <c r="G159" i="1"/>
  <c r="J98" i="6"/>
  <c r="H159" i="1"/>
  <c r="K98" i="6"/>
  <c r="I159" i="1"/>
  <c r="L98" i="6"/>
  <c r="J159" i="1"/>
  <c r="M98" i="6"/>
  <c r="K159" i="1"/>
  <c r="N98" i="6"/>
  <c r="L159" i="1"/>
  <c r="O98" i="6"/>
  <c r="M159" i="1"/>
  <c r="P98" i="6"/>
  <c r="N159" i="1"/>
  <c r="Q98" i="6"/>
  <c r="O159" i="1"/>
  <c r="R98" i="6"/>
  <c r="P159" i="1"/>
  <c r="S98" i="6"/>
  <c r="Q159" i="1"/>
  <c r="T98" i="6"/>
  <c r="R159" i="1"/>
  <c r="U98" i="6"/>
  <c r="S159" i="1"/>
  <c r="V98" i="6"/>
  <c r="T159" i="1"/>
  <c r="W98" i="6"/>
  <c r="U159" i="1"/>
  <c r="X98" i="6"/>
  <c r="V159" i="1"/>
  <c r="Y98" i="6"/>
  <c r="W159" i="1"/>
  <c r="E97" i="6"/>
  <c r="C158" i="1"/>
  <c r="E98" i="6"/>
  <c r="C159" i="1"/>
  <c r="F103" i="6"/>
  <c r="D154" i="1"/>
  <c r="G103" i="6"/>
  <c r="E154" i="1"/>
  <c r="H103" i="6"/>
  <c r="F154" i="1"/>
  <c r="I103" i="6"/>
  <c r="G154" i="1"/>
  <c r="J103" i="6"/>
  <c r="H154" i="1"/>
  <c r="K103" i="6"/>
  <c r="I154" i="1"/>
  <c r="L103" i="6"/>
  <c r="J154" i="1"/>
  <c r="M103" i="6"/>
  <c r="K154" i="1"/>
  <c r="N103" i="6"/>
  <c r="L154" i="1"/>
  <c r="O103" i="6"/>
  <c r="M154" i="1"/>
  <c r="P103" i="6"/>
  <c r="N154" i="1"/>
  <c r="Q103" i="6"/>
  <c r="O154" i="1"/>
  <c r="R103" i="6"/>
  <c r="P154" i="1"/>
  <c r="S103" i="6"/>
  <c r="Q154" i="1"/>
  <c r="T103" i="6"/>
  <c r="R154" i="1"/>
  <c r="U103" i="6"/>
  <c r="S154" i="1"/>
  <c r="V103" i="6"/>
  <c r="T154" i="1"/>
  <c r="W103" i="6"/>
  <c r="U154" i="1"/>
  <c r="X103" i="6"/>
  <c r="V154" i="1"/>
  <c r="Y103" i="6"/>
  <c r="W154" i="1"/>
  <c r="F104" i="6"/>
  <c r="D155" i="1"/>
  <c r="G104" i="6"/>
  <c r="E155" i="1"/>
  <c r="H104" i="6"/>
  <c r="F155" i="1"/>
  <c r="I104" i="6"/>
  <c r="G155" i="1"/>
  <c r="J104" i="6"/>
  <c r="H155" i="1"/>
  <c r="K104" i="6"/>
  <c r="I155" i="1"/>
  <c r="L104" i="6"/>
  <c r="J155" i="1"/>
  <c r="M104" i="6"/>
  <c r="K155" i="1"/>
  <c r="N104" i="6"/>
  <c r="L155" i="1"/>
  <c r="O104" i="6"/>
  <c r="M155" i="1"/>
  <c r="P104" i="6"/>
  <c r="N155" i="1"/>
  <c r="Q104" i="6"/>
  <c r="O155" i="1"/>
  <c r="R104" i="6"/>
  <c r="P155" i="1"/>
  <c r="S104" i="6"/>
  <c r="Q155" i="1"/>
  <c r="T104" i="6"/>
  <c r="R155" i="1"/>
  <c r="U104" i="6"/>
  <c r="S155" i="1"/>
  <c r="V104" i="6"/>
  <c r="T155" i="1"/>
  <c r="W104" i="6"/>
  <c r="U155" i="1"/>
  <c r="X104" i="6"/>
  <c r="V155" i="1"/>
  <c r="Y104" i="6"/>
  <c r="W155" i="1"/>
  <c r="E103" i="6"/>
  <c r="C154" i="1"/>
  <c r="E104" i="6"/>
  <c r="C155" i="1"/>
  <c r="F100" i="6"/>
  <c r="D150" i="1"/>
  <c r="G100" i="6"/>
  <c r="E150" i="1"/>
  <c r="H100" i="6"/>
  <c r="F150" i="1"/>
  <c r="I100" i="6"/>
  <c r="G150" i="1"/>
  <c r="J100" i="6"/>
  <c r="H150" i="1"/>
  <c r="K100" i="6"/>
  <c r="I150" i="1"/>
  <c r="L100" i="6"/>
  <c r="J150" i="1"/>
  <c r="M100" i="6"/>
  <c r="K150" i="1"/>
  <c r="N100" i="6"/>
  <c r="L150" i="1"/>
  <c r="O100" i="6"/>
  <c r="M150" i="1"/>
  <c r="P100" i="6"/>
  <c r="N150" i="1"/>
  <c r="Q100" i="6"/>
  <c r="O150" i="1"/>
  <c r="R100" i="6"/>
  <c r="P150" i="1"/>
  <c r="S100" i="6"/>
  <c r="Q150" i="1"/>
  <c r="T100" i="6"/>
  <c r="R150" i="1"/>
  <c r="U100" i="6"/>
  <c r="S150" i="1"/>
  <c r="V100" i="6"/>
  <c r="T150" i="1"/>
  <c r="W100" i="6"/>
  <c r="U150" i="1"/>
  <c r="X100" i="6"/>
  <c r="V150" i="1"/>
  <c r="Y100" i="6"/>
  <c r="W150" i="1"/>
  <c r="F101" i="6"/>
  <c r="D151" i="1"/>
  <c r="G101" i="6"/>
  <c r="E151" i="1"/>
  <c r="H101" i="6"/>
  <c r="F151" i="1"/>
  <c r="I101" i="6"/>
  <c r="G151" i="1"/>
  <c r="J101" i="6"/>
  <c r="H151" i="1"/>
  <c r="K101" i="6"/>
  <c r="I151" i="1"/>
  <c r="L101" i="6"/>
  <c r="J151" i="1"/>
  <c r="M101" i="6"/>
  <c r="K151" i="1"/>
  <c r="N101" i="6"/>
  <c r="L151" i="1"/>
  <c r="O101" i="6"/>
  <c r="M151" i="1"/>
  <c r="P101" i="6"/>
  <c r="N151" i="1"/>
  <c r="Q101" i="6"/>
  <c r="O151" i="1"/>
  <c r="R101" i="6"/>
  <c r="P151" i="1"/>
  <c r="S101" i="6"/>
  <c r="Q151" i="1"/>
  <c r="T101" i="6"/>
  <c r="R151" i="1"/>
  <c r="U101" i="6"/>
  <c r="S151" i="1"/>
  <c r="V101" i="6"/>
  <c r="T151" i="1"/>
  <c r="W101" i="6"/>
  <c r="U151" i="1"/>
  <c r="X101" i="6"/>
  <c r="V151" i="1"/>
  <c r="Y101" i="6"/>
  <c r="W151" i="1"/>
  <c r="E100" i="6"/>
  <c r="C150" i="1"/>
  <c r="E101" i="6"/>
  <c r="C151" i="1"/>
  <c r="F95" i="6"/>
  <c r="D147" i="1"/>
  <c r="G95" i="6"/>
  <c r="E147" i="1"/>
  <c r="H95" i="6"/>
  <c r="F147" i="1"/>
  <c r="I95" i="6"/>
  <c r="G147" i="1"/>
  <c r="J95" i="6"/>
  <c r="H147" i="1"/>
  <c r="K95" i="6"/>
  <c r="I147" i="1"/>
  <c r="L95" i="6"/>
  <c r="J147" i="1"/>
  <c r="M95" i="6"/>
  <c r="K147" i="1"/>
  <c r="N95" i="6"/>
  <c r="L147" i="1"/>
  <c r="O95" i="6"/>
  <c r="M147" i="1"/>
  <c r="P95" i="6"/>
  <c r="N147" i="1"/>
  <c r="Q95" i="6"/>
  <c r="O147" i="1"/>
  <c r="R95" i="6"/>
  <c r="P147" i="1"/>
  <c r="S95" i="6"/>
  <c r="Q147" i="1"/>
  <c r="T95" i="6"/>
  <c r="R147" i="1"/>
  <c r="U95" i="6"/>
  <c r="S147" i="1"/>
  <c r="V95" i="6"/>
  <c r="T147" i="1"/>
  <c r="W95" i="6"/>
  <c r="U147" i="1"/>
  <c r="X95" i="6"/>
  <c r="V147" i="1"/>
  <c r="Y95" i="6"/>
  <c r="W147" i="1"/>
  <c r="E95" i="6"/>
  <c r="C147" i="1"/>
  <c r="W132" i="1"/>
  <c r="V132" i="1"/>
  <c r="U132" i="1"/>
  <c r="T132" i="1"/>
  <c r="S132" i="1"/>
  <c r="R132" i="1"/>
  <c r="Q132" i="1"/>
  <c r="P132" i="1"/>
  <c r="O132" i="1"/>
  <c r="N132" i="1"/>
  <c r="M132" i="1"/>
  <c r="L132" i="1"/>
  <c r="K132" i="1"/>
  <c r="J132" i="1"/>
  <c r="I132" i="1"/>
  <c r="H132" i="1"/>
  <c r="G132" i="1"/>
  <c r="F132" i="1"/>
  <c r="E132" i="1"/>
  <c r="D132" i="1"/>
  <c r="C132" i="1"/>
  <c r="D107" i="1"/>
  <c r="E107" i="1"/>
  <c r="F107" i="1"/>
  <c r="G107" i="1"/>
  <c r="H107" i="1"/>
  <c r="I107" i="1"/>
  <c r="J107" i="1"/>
  <c r="K107" i="1"/>
  <c r="L107" i="1"/>
  <c r="M107" i="1"/>
  <c r="N107" i="1"/>
  <c r="O107" i="1"/>
  <c r="P107" i="1"/>
  <c r="Q107" i="1"/>
  <c r="R107" i="1"/>
  <c r="S107" i="1"/>
  <c r="T107" i="1"/>
  <c r="U107" i="1"/>
  <c r="V107" i="1"/>
  <c r="W107" i="1"/>
  <c r="C107" i="1"/>
  <c r="D96" i="1"/>
  <c r="E96" i="1"/>
  <c r="C96" i="1"/>
  <c r="D94" i="1"/>
  <c r="E94" i="1"/>
  <c r="F94" i="1"/>
  <c r="G94" i="1"/>
  <c r="H94" i="1"/>
  <c r="I94" i="1"/>
  <c r="J94" i="1"/>
  <c r="K94" i="1"/>
  <c r="L94" i="1"/>
  <c r="M94" i="1"/>
  <c r="N94" i="1"/>
  <c r="O94" i="1"/>
  <c r="P94" i="1"/>
  <c r="Q94" i="1"/>
  <c r="R94" i="1"/>
  <c r="S94" i="1"/>
  <c r="T94" i="1"/>
  <c r="U94" i="1"/>
  <c r="V94" i="1"/>
  <c r="W94" i="1"/>
  <c r="D113" i="6"/>
  <c r="D112" i="6"/>
  <c r="D110" i="6"/>
  <c r="D109" i="6"/>
  <c r="D107" i="6"/>
  <c r="D106" i="6"/>
  <c r="D98" i="6"/>
  <c r="D97" i="6"/>
  <c r="D96" i="6"/>
  <c r="D104" i="6"/>
  <c r="D103" i="6"/>
  <c r="D102" i="6"/>
  <c r="D101" i="6"/>
  <c r="D100" i="6"/>
  <c r="D99" i="6"/>
  <c r="D95" i="6"/>
  <c r="D108" i="6"/>
  <c r="D111" i="6"/>
  <c r="D94" i="6"/>
  <c r="D105" i="6"/>
  <c r="D93" i="6"/>
  <c r="E175" i="25"/>
  <c r="E167" i="25"/>
  <c r="E168" i="25"/>
  <c r="E170" i="25"/>
  <c r="E154" i="25"/>
  <c r="E23" i="25"/>
  <c r="E31" i="25"/>
  <c r="E42" i="25"/>
  <c r="E50" i="25"/>
  <c r="E57" i="25"/>
  <c r="E60" i="25"/>
  <c r="E62" i="25"/>
  <c r="E68" i="25"/>
  <c r="E74" i="25"/>
  <c r="E77" i="25"/>
  <c r="E83" i="25"/>
  <c r="E91" i="25"/>
  <c r="E96" i="25"/>
  <c r="E105" i="25"/>
  <c r="E119" i="25"/>
  <c r="E121" i="25"/>
  <c r="E127" i="25"/>
  <c r="E144" i="25"/>
  <c r="E145" i="25"/>
  <c r="E146" i="25"/>
  <c r="E104" i="25"/>
  <c r="E120" i="25"/>
  <c r="E95" i="25"/>
  <c r="E93" i="25"/>
  <c r="E92" i="25"/>
  <c r="E94" i="25"/>
  <c r="K744" i="24"/>
  <c r="U562" i="24"/>
  <c r="U518" i="24"/>
  <c r="U480" i="24"/>
  <c r="U481" i="24"/>
  <c r="U403" i="24"/>
  <c r="U325" i="24"/>
  <c r="U266" i="24"/>
  <c r="U191" i="24"/>
  <c r="U138" i="24"/>
  <c r="U86" i="24"/>
  <c r="U44" i="24"/>
  <c r="W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U32" i="24"/>
  <c r="W32" i="24"/>
  <c r="W33" i="24"/>
  <c r="W34" i="24"/>
  <c r="W35" i="24"/>
  <c r="W36" i="24"/>
  <c r="W37" i="24"/>
  <c r="W38" i="24"/>
  <c r="W39" i="24"/>
  <c r="W40" i="24"/>
  <c r="W41" i="24"/>
  <c r="W42" i="24"/>
  <c r="W43" i="24"/>
  <c r="W44" i="24"/>
  <c r="U45"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U107" i="24"/>
  <c r="W107" i="24"/>
  <c r="W108" i="24"/>
  <c r="W109" i="24"/>
  <c r="W110" i="24"/>
  <c r="W111" i="24"/>
  <c r="W112" i="24"/>
  <c r="W113" i="24"/>
  <c r="W114" i="24"/>
  <c r="W115" i="24"/>
  <c r="W116" i="24"/>
  <c r="W117" i="24"/>
  <c r="W118" i="24"/>
  <c r="W119" i="24"/>
  <c r="W120" i="24"/>
  <c r="W121" i="24"/>
  <c r="W122" i="24"/>
  <c r="W123" i="24"/>
  <c r="W124" i="24"/>
  <c r="W125" i="24"/>
  <c r="W126" i="24"/>
  <c r="W127" i="24"/>
  <c r="W128" i="24"/>
  <c r="W129" i="24"/>
  <c r="W130" i="24"/>
  <c r="W131" i="24"/>
  <c r="W132" i="24"/>
  <c r="W133" i="24"/>
  <c r="W134" i="24"/>
  <c r="W135" i="24"/>
  <c r="W136" i="24"/>
  <c r="W137" i="24"/>
  <c r="W138" i="24"/>
  <c r="W139" i="24"/>
  <c r="W140" i="24"/>
  <c r="W141" i="24"/>
  <c r="W142" i="24"/>
  <c r="W143" i="24"/>
  <c r="W144" i="24"/>
  <c r="W145" i="24"/>
  <c r="U146" i="24"/>
  <c r="W146" i="24"/>
  <c r="U147" i="24"/>
  <c r="W147" i="24"/>
  <c r="W148" i="24"/>
  <c r="W149" i="24"/>
  <c r="W150" i="24"/>
  <c r="W151" i="24"/>
  <c r="W152" i="24"/>
  <c r="W153" i="24"/>
  <c r="W154" i="24"/>
  <c r="W155" i="24"/>
  <c r="W156" i="24"/>
  <c r="W157" i="24"/>
  <c r="W158" i="24"/>
  <c r="W159" i="24"/>
  <c r="W160" i="24"/>
  <c r="W161" i="24"/>
  <c r="W162" i="24"/>
  <c r="W163" i="24"/>
  <c r="W164" i="24"/>
  <c r="W165" i="24"/>
  <c r="W166" i="24"/>
  <c r="W167" i="24"/>
  <c r="W168" i="24"/>
  <c r="W169" i="24"/>
  <c r="W170" i="24"/>
  <c r="W171" i="24"/>
  <c r="W172" i="24"/>
  <c r="W173" i="24"/>
  <c r="W174" i="24"/>
  <c r="W175" i="24"/>
  <c r="W176" i="24"/>
  <c r="W177" i="24"/>
  <c r="W178" i="24"/>
  <c r="W179" i="24"/>
  <c r="W180" i="24"/>
  <c r="W181" i="24"/>
  <c r="W182" i="24"/>
  <c r="W183" i="24"/>
  <c r="W184" i="24"/>
  <c r="W185" i="24"/>
  <c r="W186" i="24"/>
  <c r="W187" i="24"/>
  <c r="W188" i="24"/>
  <c r="W189" i="24"/>
  <c r="W190" i="24"/>
  <c r="W191" i="24"/>
  <c r="W192" i="24"/>
  <c r="W193" i="24"/>
  <c r="W194" i="24"/>
  <c r="W195" i="24"/>
  <c r="W196" i="24"/>
  <c r="W197" i="24"/>
  <c r="W198" i="24"/>
  <c r="W199" i="24"/>
  <c r="U200" i="24"/>
  <c r="W200" i="24"/>
  <c r="W201" i="24"/>
  <c r="W202" i="24"/>
  <c r="W203" i="24"/>
  <c r="W204" i="24"/>
  <c r="W205" i="24"/>
  <c r="W206" i="24"/>
  <c r="W207" i="24"/>
  <c r="W208" i="24"/>
  <c r="W209" i="24"/>
  <c r="W210" i="24"/>
  <c r="W211" i="24"/>
  <c r="W212" i="24"/>
  <c r="W213" i="24"/>
  <c r="U214" i="24"/>
  <c r="W214" i="24"/>
  <c r="W215" i="24"/>
  <c r="W216" i="24"/>
  <c r="W217" i="24"/>
  <c r="W218" i="24"/>
  <c r="W219" i="24"/>
  <c r="W220" i="24"/>
  <c r="W221" i="24"/>
  <c r="W222" i="24"/>
  <c r="W223" i="24"/>
  <c r="W224" i="24"/>
  <c r="W225" i="24"/>
  <c r="W226" i="24"/>
  <c r="W227" i="24"/>
  <c r="W228" i="24"/>
  <c r="W229" i="24"/>
  <c r="W230" i="24"/>
  <c r="W231" i="24"/>
  <c r="W232" i="24"/>
  <c r="W233" i="24"/>
  <c r="W234" i="24"/>
  <c r="W235" i="24"/>
  <c r="W236" i="24"/>
  <c r="W237" i="24"/>
  <c r="W238" i="24"/>
  <c r="W239" i="24"/>
  <c r="W240" i="24"/>
  <c r="W241" i="24"/>
  <c r="W242" i="24"/>
  <c r="W243" i="24"/>
  <c r="U244" i="24"/>
  <c r="W244" i="24"/>
  <c r="U245" i="24"/>
  <c r="W245" i="24"/>
  <c r="W246" i="24"/>
  <c r="W247" i="24"/>
  <c r="W248" i="24"/>
  <c r="W249" i="24"/>
  <c r="W250" i="24"/>
  <c r="W251" i="24"/>
  <c r="W252" i="24"/>
  <c r="W253" i="24"/>
  <c r="W254" i="24"/>
  <c r="W255" i="24"/>
  <c r="W256" i="24"/>
  <c r="W257" i="24"/>
  <c r="W258" i="24"/>
  <c r="W259" i="24"/>
  <c r="W260" i="24"/>
  <c r="W261" i="24"/>
  <c r="W262" i="24"/>
  <c r="W263" i="24"/>
  <c r="U264" i="24"/>
  <c r="W264" i="24"/>
  <c r="W265" i="24"/>
  <c r="W266" i="24"/>
  <c r="W267" i="24"/>
  <c r="W268" i="24"/>
  <c r="W269" i="24"/>
  <c r="W270" i="24"/>
  <c r="W271" i="24"/>
  <c r="W272" i="24"/>
  <c r="W273" i="24"/>
  <c r="W274" i="24"/>
  <c r="W275" i="24"/>
  <c r="W276" i="24"/>
  <c r="W277" i="24"/>
  <c r="W278" i="24"/>
  <c r="W279" i="24"/>
  <c r="W280" i="24"/>
  <c r="W281" i="24"/>
  <c r="W282" i="24"/>
  <c r="W283" i="24"/>
  <c r="W284" i="24"/>
  <c r="W285" i="24"/>
  <c r="W286" i="24"/>
  <c r="W287" i="24"/>
  <c r="W288" i="24"/>
  <c r="W289" i="24"/>
  <c r="W290" i="24"/>
  <c r="W291" i="24"/>
  <c r="U292" i="24"/>
  <c r="W292" i="24"/>
  <c r="W293" i="24"/>
  <c r="W294" i="24"/>
  <c r="W295" i="24"/>
  <c r="W296" i="24"/>
  <c r="W297" i="24"/>
  <c r="W298" i="24"/>
  <c r="W299" i="24"/>
  <c r="W300" i="24"/>
  <c r="W301" i="24"/>
  <c r="W302" i="24"/>
  <c r="W303" i="24"/>
  <c r="W304" i="24"/>
  <c r="W305" i="24"/>
  <c r="W306" i="24"/>
  <c r="W307" i="24"/>
  <c r="W308" i="24"/>
  <c r="W309" i="24"/>
  <c r="W310" i="24"/>
  <c r="W311" i="24"/>
  <c r="W312" i="24"/>
  <c r="W313" i="24"/>
  <c r="W314" i="24"/>
  <c r="W315" i="24"/>
  <c r="W316" i="24"/>
  <c r="W317" i="24"/>
  <c r="W318" i="24"/>
  <c r="W319" i="24"/>
  <c r="W320" i="24"/>
  <c r="W321" i="24"/>
  <c r="W322" i="24"/>
  <c r="W323" i="24"/>
  <c r="W324" i="24"/>
  <c r="W325" i="24"/>
  <c r="W326" i="24"/>
  <c r="W327" i="24"/>
  <c r="W328" i="24"/>
  <c r="W329" i="24"/>
  <c r="W330" i="24"/>
  <c r="W331" i="24"/>
  <c r="W332" i="24"/>
  <c r="W333" i="24"/>
  <c r="W334" i="24"/>
  <c r="U335" i="24"/>
  <c r="W335" i="24"/>
  <c r="U336" i="24"/>
  <c r="W336" i="24"/>
  <c r="W337" i="24"/>
  <c r="W338" i="24"/>
  <c r="W339" i="24"/>
  <c r="W340" i="24"/>
  <c r="W341" i="24"/>
  <c r="W342" i="24"/>
  <c r="W343" i="24"/>
  <c r="W344" i="24"/>
  <c r="W345" i="24"/>
  <c r="W346" i="24"/>
  <c r="W347" i="24"/>
  <c r="W348" i="24"/>
  <c r="W349" i="24"/>
  <c r="W350" i="24"/>
  <c r="W351" i="24"/>
  <c r="W352" i="24"/>
  <c r="G1638" i="23"/>
  <c r="W353" i="24"/>
  <c r="W354" i="24"/>
  <c r="W355" i="24"/>
  <c r="W356" i="24"/>
  <c r="W357" i="24"/>
  <c r="U358" i="24"/>
  <c r="W358" i="24"/>
  <c r="W359" i="24"/>
  <c r="W360" i="24"/>
  <c r="W361" i="24"/>
  <c r="W362" i="24"/>
  <c r="W363" i="24"/>
  <c r="W364" i="24"/>
  <c r="W365" i="24"/>
  <c r="W366" i="24"/>
  <c r="W367" i="24"/>
  <c r="W368" i="24"/>
  <c r="W369" i="24"/>
  <c r="W370" i="24"/>
  <c r="W371" i="24"/>
  <c r="W372" i="24"/>
  <c r="W373" i="24"/>
  <c r="W374" i="24"/>
  <c r="W375" i="24"/>
  <c r="W376" i="24"/>
  <c r="W377" i="24"/>
  <c r="W378" i="24"/>
  <c r="W379" i="24"/>
  <c r="W380" i="24"/>
  <c r="W381" i="24"/>
  <c r="W382" i="24"/>
  <c r="W383" i="24"/>
  <c r="W384" i="24"/>
  <c r="W385" i="24"/>
  <c r="W386" i="24"/>
  <c r="W387" i="24"/>
  <c r="W388" i="24"/>
  <c r="W389" i="24"/>
  <c r="W390" i="24"/>
  <c r="W391" i="24"/>
  <c r="W392" i="24"/>
  <c r="W393" i="24"/>
  <c r="W394" i="24"/>
  <c r="W395" i="24"/>
  <c r="W396" i="24"/>
  <c r="W397" i="24"/>
  <c r="W398" i="24"/>
  <c r="W399" i="24"/>
  <c r="W400" i="24"/>
  <c r="W401" i="24"/>
  <c r="W402" i="24"/>
  <c r="W403" i="24"/>
  <c r="W404" i="24"/>
  <c r="W405" i="24"/>
  <c r="W406" i="24"/>
  <c r="W407" i="24"/>
  <c r="W408" i="24"/>
  <c r="W409" i="24"/>
  <c r="W410" i="24"/>
  <c r="W411" i="24"/>
  <c r="W412" i="24"/>
  <c r="W413" i="24"/>
  <c r="W414" i="24"/>
  <c r="W415" i="24"/>
  <c r="W416" i="24"/>
  <c r="W417" i="24"/>
  <c r="W418" i="24"/>
  <c r="W419" i="24"/>
  <c r="W420" i="24"/>
  <c r="W421" i="24"/>
  <c r="W422" i="24"/>
  <c r="U423" i="24"/>
  <c r="W423" i="24"/>
  <c r="W424" i="24"/>
  <c r="W425" i="24"/>
  <c r="W426" i="24"/>
  <c r="W427" i="24"/>
  <c r="W428" i="24"/>
  <c r="U429" i="24"/>
  <c r="W429" i="24"/>
  <c r="W430" i="24"/>
  <c r="W431" i="24"/>
  <c r="W432" i="24"/>
  <c r="W433" i="24"/>
  <c r="W434" i="24"/>
  <c r="W435" i="24"/>
  <c r="W436" i="24"/>
  <c r="W437" i="24"/>
  <c r="W438" i="24"/>
  <c r="W439" i="24"/>
  <c r="W440" i="24"/>
  <c r="W441" i="24"/>
  <c r="U442" i="24"/>
  <c r="W442" i="24"/>
  <c r="W443" i="24"/>
  <c r="W444" i="24"/>
  <c r="W445" i="24"/>
  <c r="W446" i="24"/>
  <c r="W447" i="24"/>
  <c r="W448" i="24"/>
  <c r="W449" i="24"/>
  <c r="W450" i="24"/>
  <c r="W451" i="24"/>
  <c r="W452" i="24"/>
  <c r="W453" i="24"/>
  <c r="W454" i="24"/>
  <c r="W455" i="24"/>
  <c r="W456" i="24"/>
  <c r="W457" i="24"/>
  <c r="W458" i="24"/>
  <c r="W459" i="24"/>
  <c r="W460" i="24"/>
  <c r="W461" i="24"/>
  <c r="W462" i="24"/>
  <c r="W463" i="24"/>
  <c r="W464" i="24"/>
  <c r="W465" i="24"/>
  <c r="W466" i="24"/>
  <c r="W467" i="24"/>
  <c r="W468" i="24"/>
  <c r="W469" i="24"/>
  <c r="W470" i="24"/>
  <c r="W471" i="24"/>
  <c r="W472" i="24"/>
  <c r="W473" i="24"/>
  <c r="W474" i="24"/>
  <c r="W475" i="24"/>
  <c r="W476" i="24"/>
  <c r="W477" i="24"/>
  <c r="W478" i="24"/>
  <c r="W479" i="24"/>
  <c r="W480" i="24"/>
  <c r="W481" i="24"/>
  <c r="W482" i="24"/>
  <c r="W483" i="24"/>
  <c r="W484" i="24"/>
  <c r="W485" i="24"/>
  <c r="W486" i="24"/>
  <c r="W487" i="24"/>
  <c r="W488" i="24"/>
  <c r="W489" i="24"/>
  <c r="W490" i="24"/>
  <c r="W491" i="24"/>
  <c r="W492" i="24"/>
  <c r="W493" i="24"/>
  <c r="W494" i="24"/>
  <c r="W495" i="24"/>
  <c r="W496" i="24"/>
  <c r="W497" i="24"/>
  <c r="W498" i="24"/>
  <c r="W499" i="24"/>
  <c r="W500" i="24"/>
  <c r="W501" i="24"/>
  <c r="U502" i="24"/>
  <c r="W502" i="24"/>
  <c r="W503" i="24"/>
  <c r="W504" i="24"/>
  <c r="W505" i="24"/>
  <c r="W506" i="24"/>
  <c r="W507" i="24"/>
  <c r="W508" i="24"/>
  <c r="W509" i="24"/>
  <c r="W510" i="24"/>
  <c r="W511" i="24"/>
  <c r="W512" i="24"/>
  <c r="W513" i="24"/>
  <c r="W514" i="24"/>
  <c r="W515" i="24"/>
  <c r="W516" i="24"/>
  <c r="W517" i="24"/>
  <c r="W518" i="24"/>
  <c r="U519" i="24"/>
  <c r="W519" i="24"/>
  <c r="W520" i="24"/>
  <c r="W521" i="24"/>
  <c r="W522" i="24"/>
  <c r="W523" i="24"/>
  <c r="W524" i="24"/>
  <c r="W525" i="24"/>
  <c r="W526" i="24"/>
  <c r="W527" i="24"/>
  <c r="W528" i="24"/>
  <c r="W529" i="24"/>
  <c r="W530" i="24"/>
  <c r="W531" i="24"/>
  <c r="W532" i="24"/>
  <c r="W533" i="24"/>
  <c r="W534" i="24"/>
  <c r="W535" i="24"/>
  <c r="W536" i="24"/>
  <c r="W537" i="24"/>
  <c r="W538" i="24"/>
  <c r="W539" i="24"/>
  <c r="W540" i="24"/>
  <c r="W541" i="24"/>
  <c r="W542" i="24"/>
  <c r="W543" i="24"/>
  <c r="W544" i="24"/>
  <c r="W545" i="24"/>
  <c r="W546" i="24"/>
  <c r="W547" i="24"/>
  <c r="W548" i="24"/>
  <c r="W549" i="24"/>
  <c r="U550" i="24"/>
  <c r="W550" i="24"/>
  <c r="W551" i="24"/>
  <c r="W552" i="24"/>
  <c r="W553" i="24"/>
  <c r="W554" i="24"/>
  <c r="W555" i="24"/>
  <c r="W556" i="24"/>
  <c r="W557" i="24"/>
  <c r="W558" i="24"/>
  <c r="W559" i="24"/>
  <c r="W560" i="24"/>
  <c r="W561" i="24"/>
  <c r="W562" i="24"/>
  <c r="W563" i="24"/>
  <c r="W564" i="24"/>
  <c r="W565" i="24"/>
  <c r="W566" i="24"/>
  <c r="W567" i="24"/>
  <c r="W568" i="24"/>
  <c r="W569" i="24"/>
  <c r="W570" i="24"/>
  <c r="W571" i="24"/>
  <c r="W572" i="24"/>
  <c r="W573" i="24"/>
  <c r="W574" i="24"/>
  <c r="W575" i="24"/>
  <c r="W576" i="24"/>
  <c r="W577" i="24"/>
  <c r="W578" i="24"/>
  <c r="W579" i="24"/>
  <c r="W580" i="24"/>
  <c r="W581" i="24"/>
  <c r="W582" i="24"/>
  <c r="W583" i="24"/>
  <c r="W584" i="24"/>
  <c r="W585" i="24"/>
  <c r="W586" i="24"/>
  <c r="W587" i="24"/>
  <c r="W588" i="24"/>
  <c r="W589" i="24"/>
  <c r="W590" i="24"/>
  <c r="W591" i="24"/>
  <c r="W592" i="24"/>
  <c r="W593" i="24"/>
  <c r="W594" i="24"/>
  <c r="W595" i="24"/>
  <c r="W596" i="24"/>
  <c r="W597" i="24"/>
  <c r="W598" i="24"/>
  <c r="W599" i="24"/>
  <c r="W600" i="24"/>
  <c r="W601" i="24"/>
  <c r="W602" i="24"/>
  <c r="W603" i="24"/>
  <c r="W604" i="24"/>
  <c r="W605" i="24"/>
  <c r="W606" i="24"/>
  <c r="W607" i="24"/>
  <c r="W608" i="24"/>
  <c r="W609" i="24"/>
  <c r="W610" i="24"/>
  <c r="W611" i="24"/>
  <c r="W612" i="24"/>
  <c r="W613" i="24"/>
  <c r="W614" i="24"/>
  <c r="W615" i="24"/>
  <c r="W616" i="24"/>
  <c r="W617" i="24"/>
  <c r="W618" i="24"/>
  <c r="W619" i="24"/>
  <c r="W620" i="24"/>
  <c r="W621" i="24"/>
  <c r="W622" i="24"/>
  <c r="W623" i="24"/>
  <c r="W624" i="24"/>
  <c r="W625" i="24"/>
  <c r="W626" i="24"/>
  <c r="W627" i="24"/>
  <c r="W628" i="24"/>
  <c r="W629" i="24"/>
  <c r="W630" i="24"/>
  <c r="W631" i="24"/>
  <c r="W632" i="24"/>
  <c r="W633" i="24"/>
  <c r="W634" i="24"/>
  <c r="W635" i="24"/>
  <c r="W636" i="24"/>
  <c r="W637" i="24"/>
  <c r="W638" i="24"/>
  <c r="W639" i="24"/>
  <c r="W640" i="24"/>
  <c r="W641" i="24"/>
  <c r="W642" i="24"/>
  <c r="W643" i="24"/>
  <c r="W644" i="24"/>
  <c r="W645" i="24"/>
  <c r="W646" i="24"/>
  <c r="W647" i="24"/>
  <c r="W648" i="24"/>
  <c r="W649" i="24"/>
  <c r="W650" i="24"/>
  <c r="W651" i="24"/>
  <c r="W652" i="24"/>
  <c r="W653" i="24"/>
  <c r="W654" i="24"/>
  <c r="W655" i="24"/>
  <c r="W656" i="24"/>
  <c r="W657" i="24"/>
  <c r="W658" i="24"/>
  <c r="W659" i="24"/>
  <c r="W660" i="24"/>
  <c r="W661" i="24"/>
  <c r="W662" i="24"/>
  <c r="W663" i="24"/>
  <c r="W664" i="24"/>
  <c r="W665" i="24"/>
  <c r="W666" i="24"/>
  <c r="W667" i="24"/>
  <c r="W668" i="24"/>
  <c r="W669" i="24"/>
  <c r="W670" i="24"/>
  <c r="W671" i="24"/>
  <c r="W672" i="24"/>
  <c r="W673" i="24"/>
  <c r="W674" i="24"/>
  <c r="W675" i="24"/>
  <c r="W676" i="24"/>
  <c r="W677" i="24"/>
  <c r="W678" i="24"/>
  <c r="W679" i="24"/>
  <c r="W680" i="24"/>
  <c r="W681" i="24"/>
  <c r="W682" i="24"/>
  <c r="W683" i="24"/>
  <c r="W684" i="24"/>
  <c r="W685" i="24"/>
  <c r="W686" i="24"/>
  <c r="W687" i="24"/>
  <c r="W688" i="24"/>
  <c r="W689" i="24"/>
  <c r="W690" i="24"/>
  <c r="W691" i="24"/>
  <c r="W692" i="24"/>
  <c r="W693" i="24"/>
  <c r="W694" i="24"/>
  <c r="W695" i="24"/>
  <c r="U696" i="24"/>
  <c r="W696" i="24"/>
  <c r="U697" i="24"/>
  <c r="W697" i="24"/>
  <c r="W698" i="24"/>
  <c r="W699" i="24"/>
  <c r="W700" i="24"/>
  <c r="W701" i="24"/>
  <c r="W702" i="24"/>
  <c r="W703" i="24"/>
  <c r="W704" i="24"/>
  <c r="W705" i="24"/>
  <c r="W706" i="24"/>
  <c r="W707" i="24"/>
  <c r="W708" i="24"/>
  <c r="W709" i="24"/>
  <c r="W710" i="24"/>
  <c r="W711" i="24"/>
  <c r="W712" i="24"/>
  <c r="W713" i="24"/>
  <c r="W714" i="24"/>
  <c r="W715" i="24"/>
  <c r="W716" i="24"/>
  <c r="W717" i="24"/>
  <c r="W718" i="24"/>
  <c r="W719" i="24"/>
  <c r="W720" i="24"/>
  <c r="W721" i="24"/>
  <c r="W722" i="24"/>
  <c r="W723" i="24"/>
  <c r="W724" i="24"/>
  <c r="W725" i="24"/>
  <c r="W726" i="24"/>
  <c r="W727" i="24"/>
  <c r="W728" i="24"/>
  <c r="W729" i="24"/>
  <c r="W730" i="24"/>
  <c r="W731" i="24"/>
  <c r="W732" i="24"/>
  <c r="W733" i="24"/>
  <c r="W734" i="24"/>
  <c r="W735" i="24"/>
  <c r="W736" i="24"/>
  <c r="W737" i="24"/>
  <c r="W738" i="24"/>
  <c r="W739" i="24"/>
  <c r="W740" i="24"/>
  <c r="W741" i="24"/>
  <c r="W742" i="24"/>
  <c r="W743" i="24"/>
  <c r="W2" i="24"/>
  <c r="B45" i="16"/>
  <c r="B44" i="16"/>
  <c r="D64" i="1"/>
  <c r="F46" i="16"/>
  <c r="E64" i="1"/>
  <c r="G46" i="16"/>
  <c r="F64" i="1"/>
  <c r="H46" i="16"/>
  <c r="G64" i="1"/>
  <c r="I46" i="16"/>
  <c r="H64" i="1"/>
  <c r="J46" i="16"/>
  <c r="I64" i="1"/>
  <c r="K46" i="16"/>
  <c r="J64" i="1"/>
  <c r="L46" i="16"/>
  <c r="K64" i="1"/>
  <c r="M46" i="16"/>
  <c r="L64" i="1"/>
  <c r="N46" i="16"/>
  <c r="M64" i="1"/>
  <c r="O46" i="16"/>
  <c r="C64" i="1"/>
  <c r="E46" i="16"/>
  <c r="Z226" i="4"/>
  <c r="Z222" i="4"/>
  <c r="Z219" i="4"/>
  <c r="Z220" i="4"/>
  <c r="Z221" i="4"/>
  <c r="Z223" i="4"/>
  <c r="Z224" i="4"/>
  <c r="Z225" i="4"/>
  <c r="Z227" i="4"/>
  <c r="Z228" i="4"/>
  <c r="Z218" i="4"/>
  <c r="B42" i="16"/>
  <c r="B41" i="16"/>
  <c r="G50" i="1"/>
  <c r="I41" i="16"/>
  <c r="K50" i="1"/>
  <c r="M41" i="16"/>
  <c r="D50" i="1"/>
  <c r="F41" i="16"/>
  <c r="H50" i="1"/>
  <c r="J41" i="16"/>
  <c r="L50" i="1"/>
  <c r="N41" i="16"/>
  <c r="E50" i="1"/>
  <c r="G41" i="16"/>
  <c r="I50" i="1"/>
  <c r="K41" i="16"/>
  <c r="M50" i="1"/>
  <c r="O41" i="16"/>
  <c r="C50" i="1"/>
  <c r="E41" i="16"/>
  <c r="F50" i="1"/>
  <c r="H41" i="16"/>
  <c r="J50" i="1"/>
  <c r="L41" i="16"/>
  <c r="E53" i="1"/>
  <c r="G42" i="16"/>
  <c r="I53" i="1"/>
  <c r="K42" i="16"/>
  <c r="M53" i="1"/>
  <c r="O42" i="16"/>
  <c r="F53" i="1"/>
  <c r="H42" i="16"/>
  <c r="J53" i="1"/>
  <c r="L42" i="16"/>
  <c r="C53" i="1"/>
  <c r="E42" i="16"/>
  <c r="G53" i="1"/>
  <c r="I42" i="16"/>
  <c r="K53" i="1"/>
  <c r="M42" i="16"/>
  <c r="D53" i="1"/>
  <c r="F42" i="16"/>
  <c r="H53" i="1"/>
  <c r="J42" i="16"/>
  <c r="L53" i="1"/>
  <c r="N42" i="16"/>
  <c r="B219" i="4"/>
  <c r="B220" i="4"/>
  <c r="B221" i="4"/>
  <c r="B222" i="4"/>
  <c r="B223" i="4"/>
  <c r="B224" i="4"/>
  <c r="B225" i="4"/>
  <c r="B226" i="4"/>
  <c r="B227" i="4"/>
  <c r="B228" i="4"/>
  <c r="D51" i="1"/>
  <c r="E51" i="1"/>
  <c r="F51" i="1"/>
  <c r="G51" i="1"/>
  <c r="H51" i="1"/>
  <c r="I51" i="1"/>
  <c r="J51" i="1"/>
  <c r="K51" i="1"/>
  <c r="L51" i="1"/>
  <c r="M51" i="1"/>
  <c r="C51" i="1"/>
  <c r="D54" i="1"/>
  <c r="E54" i="1"/>
  <c r="F54" i="1"/>
  <c r="G54" i="1"/>
  <c r="H54" i="1"/>
  <c r="I54" i="1"/>
  <c r="J54" i="1"/>
  <c r="K54" i="1"/>
  <c r="L54" i="1"/>
  <c r="M54" i="1"/>
  <c r="C54" i="1"/>
  <c r="F2" i="4"/>
  <c r="G2" i="4"/>
  <c r="H2" i="4"/>
  <c r="I2" i="4"/>
  <c r="J2" i="4"/>
  <c r="K2" i="4"/>
  <c r="L2" i="4"/>
  <c r="M2" i="4"/>
  <c r="N2" i="4"/>
  <c r="O2" i="4"/>
  <c r="P2" i="4"/>
  <c r="Q2" i="4"/>
  <c r="R2" i="4"/>
  <c r="S2" i="4"/>
  <c r="T2" i="4"/>
  <c r="U2" i="4"/>
  <c r="V2" i="4"/>
  <c r="W2" i="4"/>
  <c r="X2" i="4"/>
  <c r="Y2" i="4"/>
  <c r="D30" i="1"/>
  <c r="D31" i="1"/>
  <c r="H30" i="1"/>
  <c r="H31" i="1"/>
  <c r="L28" i="1"/>
  <c r="L30" i="1"/>
  <c r="L31" i="1"/>
  <c r="E30" i="1"/>
  <c r="E31" i="1"/>
  <c r="I30" i="1"/>
  <c r="I31" i="1"/>
  <c r="M30" i="1"/>
  <c r="M31" i="1"/>
  <c r="F30" i="1"/>
  <c r="F32" i="1"/>
  <c r="J30" i="1"/>
  <c r="J32" i="1"/>
  <c r="C30" i="1"/>
  <c r="C31" i="1"/>
  <c r="G30" i="1"/>
  <c r="G32" i="1"/>
  <c r="K30" i="1"/>
  <c r="K32" i="1"/>
  <c r="C79" i="1"/>
  <c r="C131" i="1"/>
  <c r="D131" i="1"/>
  <c r="E131" i="1"/>
  <c r="F131" i="1"/>
  <c r="G131" i="1"/>
  <c r="H131" i="1"/>
  <c r="I131" i="1"/>
  <c r="J131" i="1"/>
  <c r="K131" i="1"/>
  <c r="L131" i="1"/>
  <c r="M131" i="1"/>
  <c r="N131" i="1"/>
  <c r="O131" i="1"/>
  <c r="P131" i="1"/>
  <c r="Q131" i="1"/>
  <c r="R131" i="1"/>
  <c r="S131" i="1"/>
  <c r="T131" i="1"/>
  <c r="U131" i="1"/>
  <c r="V131" i="1"/>
  <c r="W131" i="1"/>
  <c r="B59" i="16"/>
  <c r="B65" i="16"/>
  <c r="B29" i="6"/>
  <c r="D105" i="1"/>
  <c r="E105" i="1"/>
  <c r="F105" i="1"/>
  <c r="G105" i="1"/>
  <c r="H105" i="1"/>
  <c r="I105" i="1"/>
  <c r="J105" i="1"/>
  <c r="K105" i="1"/>
  <c r="L105" i="1"/>
  <c r="M105" i="1"/>
  <c r="N105" i="1"/>
  <c r="O105" i="1"/>
  <c r="P105" i="1"/>
  <c r="Q105" i="1"/>
  <c r="R105" i="1"/>
  <c r="S105" i="1"/>
  <c r="T105" i="1"/>
  <c r="U105" i="1"/>
  <c r="V105" i="1"/>
  <c r="W105" i="1"/>
  <c r="D135" i="1"/>
  <c r="E135" i="1"/>
  <c r="F135" i="1"/>
  <c r="G135" i="1"/>
  <c r="H135" i="1"/>
  <c r="I135" i="1"/>
  <c r="J135" i="1"/>
  <c r="K135" i="1"/>
  <c r="L135" i="1"/>
  <c r="M135" i="1"/>
  <c r="N135" i="1"/>
  <c r="O135" i="1"/>
  <c r="P135" i="1"/>
  <c r="Q135" i="1"/>
  <c r="R135" i="1"/>
  <c r="S135" i="1"/>
  <c r="T135" i="1"/>
  <c r="U135" i="1"/>
  <c r="V135" i="1"/>
  <c r="W135" i="1"/>
  <c r="D136" i="1"/>
  <c r="E136" i="1"/>
  <c r="F136" i="1"/>
  <c r="G136" i="1"/>
  <c r="H136" i="1"/>
  <c r="I136" i="1"/>
  <c r="J136" i="1"/>
  <c r="K136" i="1"/>
  <c r="L136" i="1"/>
  <c r="M136" i="1"/>
  <c r="N136" i="1"/>
  <c r="O136" i="1"/>
  <c r="P136" i="1"/>
  <c r="Q136" i="1"/>
  <c r="R136" i="1"/>
  <c r="S136" i="1"/>
  <c r="T136" i="1"/>
  <c r="U136" i="1"/>
  <c r="V136" i="1"/>
  <c r="W136" i="1"/>
  <c r="C135" i="1"/>
  <c r="C136" i="1"/>
  <c r="D110" i="1"/>
  <c r="E110" i="1"/>
  <c r="F110" i="1"/>
  <c r="G110" i="1"/>
  <c r="H110" i="1"/>
  <c r="I110" i="1"/>
  <c r="J110" i="1"/>
  <c r="K110" i="1"/>
  <c r="L110" i="1"/>
  <c r="M110" i="1"/>
  <c r="N110" i="1"/>
  <c r="O110" i="1"/>
  <c r="P110" i="1"/>
  <c r="Q110" i="1"/>
  <c r="R110" i="1"/>
  <c r="S110" i="1"/>
  <c r="T110" i="1"/>
  <c r="U110" i="1"/>
  <c r="V110" i="1"/>
  <c r="W110" i="1"/>
  <c r="C110" i="1"/>
  <c r="L112" i="1"/>
  <c r="M112" i="1"/>
  <c r="N112" i="1"/>
  <c r="O112" i="1"/>
  <c r="P112" i="1"/>
  <c r="Q112" i="1"/>
  <c r="R112" i="1"/>
  <c r="S112" i="1"/>
  <c r="T112" i="1"/>
  <c r="U112" i="1"/>
  <c r="V112" i="1"/>
  <c r="W112" i="1"/>
  <c r="F1" i="16"/>
  <c r="G1" i="16"/>
  <c r="H1" i="16"/>
  <c r="I1" i="16"/>
  <c r="J1" i="16"/>
  <c r="K1" i="16"/>
  <c r="L1" i="16"/>
  <c r="M1" i="16"/>
  <c r="N1" i="16"/>
  <c r="O1" i="16"/>
  <c r="P1" i="16"/>
  <c r="Q1" i="16"/>
  <c r="R1" i="16"/>
  <c r="S1" i="16"/>
  <c r="T1" i="16"/>
  <c r="U1" i="16"/>
  <c r="V1" i="16"/>
  <c r="W1" i="16"/>
  <c r="X1" i="16"/>
  <c r="Y1" i="16"/>
  <c r="F112" i="1"/>
  <c r="G112" i="1"/>
  <c r="H112" i="1"/>
  <c r="I112" i="1"/>
  <c r="J112" i="1"/>
  <c r="K112" i="1"/>
  <c r="E112" i="1"/>
  <c r="D112" i="1"/>
  <c r="C112" i="1"/>
  <c r="D3" i="1"/>
  <c r="E3" i="1"/>
  <c r="F3" i="1"/>
  <c r="G3" i="1"/>
  <c r="H3" i="1"/>
  <c r="I3" i="1"/>
  <c r="J3" i="1"/>
  <c r="K3" i="1"/>
  <c r="L3" i="1"/>
  <c r="M3" i="1"/>
  <c r="N3" i="1"/>
  <c r="O3" i="1"/>
  <c r="P3" i="1"/>
  <c r="Q3" i="1"/>
  <c r="R3" i="1"/>
  <c r="S3" i="1"/>
  <c r="T3" i="1"/>
  <c r="U3" i="1"/>
  <c r="V3" i="1"/>
  <c r="W3" i="1"/>
  <c r="U29" i="6"/>
  <c r="P29" i="6"/>
  <c r="H29" i="6"/>
  <c r="E29" i="6"/>
  <c r="N29" i="6"/>
  <c r="F29" i="6"/>
  <c r="O29" i="6"/>
  <c r="G29" i="6"/>
  <c r="Q29" i="6"/>
  <c r="I29" i="6"/>
  <c r="T29" i="6"/>
  <c r="L29" i="6"/>
  <c r="R29" i="6"/>
  <c r="J29" i="6"/>
  <c r="S29" i="6"/>
  <c r="K29" i="6"/>
  <c r="M29" i="6"/>
  <c r="V29" i="6"/>
  <c r="W29" i="6"/>
  <c r="X29" i="6"/>
  <c r="Y29" i="6"/>
  <c r="G31" i="1"/>
  <c r="K31" i="1"/>
  <c r="I32" i="1"/>
  <c r="L32" i="1"/>
  <c r="D32" i="1"/>
  <c r="D28" i="1"/>
  <c r="H28" i="1"/>
  <c r="M28" i="1"/>
  <c r="E28" i="1"/>
  <c r="J28" i="1"/>
  <c r="G28" i="1"/>
  <c r="U91" i="1"/>
  <c r="C91" i="1"/>
  <c r="E178" i="4"/>
  <c r="C74" i="1"/>
  <c r="E52" i="6"/>
  <c r="J178" i="4"/>
  <c r="H74" i="1"/>
  <c r="V91" i="1"/>
  <c r="D91" i="1"/>
  <c r="C69" i="1"/>
  <c r="K178" i="4"/>
  <c r="I74" i="1"/>
  <c r="G178" i="4"/>
  <c r="E74" i="1"/>
  <c r="H178" i="4"/>
  <c r="F74" i="1"/>
  <c r="F178" i="4"/>
  <c r="D74" i="1"/>
  <c r="O178" i="4"/>
  <c r="M74" i="1"/>
  <c r="I178" i="4"/>
  <c r="G74" i="1"/>
  <c r="F52" i="6"/>
  <c r="K69" i="1"/>
  <c r="W91" i="1"/>
  <c r="E91" i="1"/>
  <c r="D69" i="1"/>
  <c r="L69" i="1"/>
  <c r="I69" i="1"/>
  <c r="M69" i="1"/>
  <c r="H69" i="1"/>
  <c r="G69" i="1"/>
  <c r="F69" i="1"/>
  <c r="E69" i="1"/>
  <c r="J69" i="1"/>
  <c r="L178" i="4"/>
  <c r="J74" i="1"/>
  <c r="G52" i="6"/>
  <c r="F91" i="1"/>
  <c r="H52" i="6"/>
  <c r="G91" i="1"/>
  <c r="I52" i="6"/>
  <c r="H91" i="1"/>
  <c r="K79" i="1"/>
  <c r="J52" i="6"/>
  <c r="I91" i="1"/>
  <c r="K52" i="6"/>
  <c r="J91" i="1"/>
  <c r="M79" i="1"/>
  <c r="L52" i="6"/>
  <c r="K91" i="1"/>
  <c r="M52" i="6"/>
  <c r="L91" i="1"/>
  <c r="N85" i="1"/>
  <c r="O79" i="1"/>
  <c r="N52" i="6"/>
  <c r="M91" i="1"/>
  <c r="O85" i="1"/>
  <c r="P84" i="1"/>
  <c r="O52" i="6"/>
  <c r="N91" i="1"/>
  <c r="P85" i="1"/>
  <c r="Q79" i="1"/>
  <c r="P52" i="6"/>
  <c r="O91" i="1"/>
  <c r="Q85" i="1"/>
  <c r="Q52" i="6"/>
  <c r="P91" i="1"/>
  <c r="S79" i="1"/>
  <c r="R52" i="6"/>
  <c r="Q91" i="1"/>
  <c r="S85" i="1"/>
  <c r="S52" i="6"/>
  <c r="R91" i="1"/>
  <c r="T52" i="6"/>
  <c r="S91" i="1"/>
  <c r="U52" i="6"/>
  <c r="T91" i="1"/>
  <c r="V52" i="6"/>
  <c r="W52" i="6"/>
  <c r="X52" i="6"/>
  <c r="Y52" i="6"/>
  <c r="F28" i="1"/>
  <c r="F84" i="1"/>
  <c r="N79" i="1"/>
  <c r="I28" i="1"/>
  <c r="K28" i="1"/>
  <c r="C28" i="1"/>
  <c r="E84" i="1"/>
  <c r="M178" i="4"/>
  <c r="K74" i="1"/>
  <c r="N178" i="4"/>
  <c r="L74" i="1"/>
  <c r="G84" i="1"/>
  <c r="H32" i="1"/>
  <c r="I84" i="1"/>
  <c r="M32" i="1"/>
  <c r="F31" i="1"/>
  <c r="P79" i="1"/>
  <c r="L84" i="1"/>
  <c r="H84" i="1"/>
  <c r="D84" i="1"/>
  <c r="C32" i="1"/>
  <c r="S84" i="1"/>
  <c r="J84" i="1"/>
  <c r="D79" i="1"/>
  <c r="C84" i="1"/>
  <c r="E32" i="1"/>
  <c r="J31" i="1"/>
  <c r="Q84" i="1"/>
  <c r="O84" i="1"/>
  <c r="M84" i="1"/>
  <c r="L79" i="1"/>
  <c r="H79" i="1"/>
  <c r="J79" i="1"/>
  <c r="G79" i="1"/>
  <c r="E79" i="1"/>
  <c r="R84" i="1"/>
  <c r="K84" i="1"/>
  <c r="I79" i="1"/>
  <c r="E47" i="16"/>
  <c r="M47" i="16"/>
  <c r="O47" i="16"/>
  <c r="K47" i="16"/>
  <c r="H47" i="16"/>
  <c r="I47" i="16"/>
  <c r="N47" i="16"/>
  <c r="J47" i="16"/>
  <c r="F47" i="16"/>
  <c r="G47" i="16"/>
  <c r="L47" i="16"/>
  <c r="O48" i="16"/>
  <c r="P47" i="16"/>
  <c r="Q47" i="16"/>
  <c r="R47" i="16"/>
  <c r="S47" i="16"/>
  <c r="T47" i="16"/>
  <c r="U47" i="16"/>
  <c r="V47" i="16"/>
  <c r="W47" i="16"/>
  <c r="X47" i="16"/>
  <c r="Y47" i="16"/>
  <c r="O39" i="16"/>
  <c r="P38" i="16"/>
  <c r="Q38" i="16"/>
  <c r="R38" i="16"/>
  <c r="S38" i="16"/>
  <c r="T38" i="16"/>
  <c r="U38" i="16"/>
  <c r="V38" i="16"/>
  <c r="W38" i="16"/>
  <c r="X38" i="16"/>
  <c r="Y38" i="16"/>
  <c r="E51" i="16"/>
  <c r="E50" i="16"/>
  <c r="O7" i="16"/>
  <c r="P6" i="16"/>
  <c r="Q6" i="16"/>
  <c r="R6" i="16"/>
  <c r="S6" i="16"/>
  <c r="T6" i="16"/>
  <c r="U6" i="16"/>
  <c r="V6" i="16"/>
  <c r="W6" i="16"/>
  <c r="X6" i="16"/>
  <c r="Y6" i="16"/>
  <c r="F50" i="16"/>
  <c r="G50" i="16"/>
  <c r="F51" i="16"/>
  <c r="G51" i="16"/>
  <c r="P36" i="6"/>
  <c r="Q36" i="6"/>
  <c r="R36" i="6"/>
  <c r="S36" i="6"/>
  <c r="T36" i="6"/>
  <c r="U36" i="6"/>
  <c r="V36" i="6"/>
  <c r="W36" i="6"/>
  <c r="X36" i="6"/>
  <c r="Y36" i="6"/>
  <c r="W97" i="1"/>
  <c r="V97" i="1"/>
  <c r="U97" i="1"/>
  <c r="T97" i="1"/>
  <c r="S97" i="1"/>
  <c r="R97" i="1"/>
  <c r="Q97" i="1"/>
  <c r="P97" i="1"/>
  <c r="O97" i="1"/>
  <c r="N97" i="1"/>
  <c r="M97" i="1"/>
  <c r="L97" i="1"/>
  <c r="K97" i="1"/>
  <c r="J97" i="1"/>
  <c r="I97" i="1"/>
  <c r="H97" i="1"/>
  <c r="G97" i="1"/>
  <c r="H36" i="6"/>
  <c r="F97" i="1"/>
  <c r="P35" i="6"/>
  <c r="Q35" i="6"/>
  <c r="R35" i="6"/>
  <c r="S35" i="6"/>
  <c r="T35" i="6"/>
  <c r="U35" i="6"/>
  <c r="V35" i="6"/>
  <c r="W35" i="6"/>
  <c r="X35" i="6"/>
  <c r="Y35" i="6"/>
  <c r="W96" i="1"/>
  <c r="V96" i="1"/>
  <c r="U96" i="1"/>
  <c r="T96" i="1"/>
  <c r="S96" i="1"/>
  <c r="R96" i="1"/>
  <c r="Q96" i="1"/>
  <c r="P96" i="1"/>
  <c r="O96" i="1"/>
  <c r="N96" i="1"/>
  <c r="M96" i="1"/>
  <c r="L96" i="1"/>
  <c r="K96" i="1"/>
  <c r="J96" i="1"/>
  <c r="I96" i="1"/>
  <c r="H96" i="1"/>
  <c r="G96" i="1"/>
  <c r="H35" i="6"/>
  <c r="F96" i="1"/>
  <c r="P34" i="6"/>
  <c r="Q34" i="6"/>
  <c r="R34" i="6"/>
  <c r="S34" i="6"/>
  <c r="T34" i="6"/>
  <c r="U34" i="6"/>
  <c r="V34" i="6"/>
  <c r="W34" i="6"/>
  <c r="X34" i="6"/>
  <c r="Y34" i="6"/>
  <c r="W95" i="1"/>
  <c r="Y22" i="16"/>
  <c r="Y31" i="16"/>
  <c r="Y51" i="16"/>
  <c r="Y50" i="16"/>
  <c r="V95" i="1"/>
  <c r="X22" i="16"/>
  <c r="X31" i="16"/>
  <c r="X51" i="16"/>
  <c r="X50" i="16"/>
  <c r="U95" i="1"/>
  <c r="W22" i="16"/>
  <c r="W31" i="16"/>
  <c r="W51" i="16"/>
  <c r="W50" i="16"/>
  <c r="T95" i="1"/>
  <c r="V22" i="16"/>
  <c r="V31" i="16"/>
  <c r="V50" i="16"/>
  <c r="V51" i="16"/>
  <c r="S95" i="1"/>
  <c r="U22" i="16"/>
  <c r="U31" i="16"/>
  <c r="U50" i="16"/>
  <c r="U51" i="16"/>
  <c r="R95" i="1"/>
  <c r="T22" i="16"/>
  <c r="T31" i="16"/>
  <c r="T51" i="16"/>
  <c r="T50" i="16"/>
  <c r="Q95" i="1"/>
  <c r="S22" i="16"/>
  <c r="S31" i="16"/>
  <c r="S50" i="16"/>
  <c r="S51" i="16"/>
  <c r="P95" i="1"/>
  <c r="R22" i="16"/>
  <c r="R31" i="16"/>
  <c r="R50" i="16"/>
  <c r="O95" i="1"/>
  <c r="Q22" i="16"/>
  <c r="Q31" i="16"/>
  <c r="Q51" i="16"/>
  <c r="R51" i="16"/>
  <c r="Q50" i="16"/>
  <c r="N95" i="1"/>
  <c r="P22" i="16"/>
  <c r="P31" i="16"/>
  <c r="P50" i="16"/>
  <c r="H34" i="6"/>
  <c r="F95" i="1"/>
  <c r="H22" i="16"/>
  <c r="H31" i="16"/>
  <c r="H50" i="16"/>
  <c r="J95" i="1"/>
  <c r="L22" i="16"/>
  <c r="L31" i="16"/>
  <c r="L51" i="16"/>
  <c r="H95" i="1"/>
  <c r="J22" i="16"/>
  <c r="J31" i="16"/>
  <c r="J51" i="16"/>
  <c r="L95" i="1"/>
  <c r="N22" i="16"/>
  <c r="N31" i="16"/>
  <c r="N50" i="16"/>
  <c r="I95" i="1"/>
  <c r="K22" i="16"/>
  <c r="K31" i="16"/>
  <c r="K51" i="16"/>
  <c r="M95" i="1"/>
  <c r="O22" i="16"/>
  <c r="O31" i="16"/>
  <c r="O50" i="16"/>
  <c r="K95" i="1"/>
  <c r="M22" i="16"/>
  <c r="M31" i="16"/>
  <c r="M50" i="16"/>
  <c r="G95" i="1"/>
  <c r="I22" i="16"/>
  <c r="I31" i="16"/>
  <c r="I50" i="16"/>
  <c r="P51" i="16"/>
  <c r="O51" i="16"/>
  <c r="M51" i="16"/>
  <c r="H51" i="16"/>
  <c r="J50" i="16"/>
  <c r="L50" i="16"/>
  <c r="N51" i="16"/>
  <c r="K50" i="16"/>
  <c r="I51" i="16"/>
</calcChain>
</file>

<file path=xl/comments1.xml><?xml version="1.0" encoding="utf-8"?>
<comments xmlns="http://schemas.openxmlformats.org/spreadsheetml/2006/main">
  <authors>
    <author>Guest</author>
  </authors>
  <commentList>
    <comment ref="P6" authorId="0">
      <text>
        <r>
          <rPr>
            <b/>
            <sz val="9"/>
            <color indexed="81"/>
            <rFont val="Calibri"/>
            <family val="2"/>
          </rPr>
          <t xml:space="preserve">The values from 2025 onward extrapolate using same average annual growth rate of years 2014-2024.
</t>
        </r>
      </text>
    </comment>
    <comment ref="O7" authorId="0">
      <text>
        <r>
          <rPr>
            <b/>
            <sz val="9"/>
            <color indexed="81"/>
            <rFont val="Calibri"/>
            <family val="2"/>
          </rPr>
          <t xml:space="preserve">Average annual growth rate of years 2014-2024
</t>
        </r>
      </text>
    </comment>
    <comment ref="P38" authorId="0">
      <text>
        <r>
          <rPr>
            <b/>
            <sz val="9"/>
            <color indexed="81"/>
            <rFont val="Calibri"/>
            <family val="2"/>
          </rPr>
          <t xml:space="preserve">The values from 2025 onward extrapolate using same average annual growth rate of years 2014-2024.
</t>
        </r>
      </text>
    </comment>
    <comment ref="O39" authorId="0">
      <text>
        <r>
          <rPr>
            <b/>
            <sz val="9"/>
            <color indexed="81"/>
            <rFont val="Calibri"/>
            <family val="2"/>
          </rPr>
          <t xml:space="preserve">Average annual growth rate of years 2014-2024
</t>
        </r>
      </text>
    </comment>
    <comment ref="P47" authorId="0">
      <text>
        <r>
          <rPr>
            <b/>
            <sz val="9"/>
            <color indexed="81"/>
            <rFont val="Calibri"/>
            <family val="2"/>
          </rPr>
          <t xml:space="preserve">The values from 2025 onward extrapolate using same average annual growth rate of years 2014-2024.
</t>
        </r>
      </text>
    </comment>
    <comment ref="O48" authorId="0">
      <text>
        <r>
          <rPr>
            <b/>
            <sz val="9"/>
            <color indexed="81"/>
            <rFont val="Calibri"/>
            <family val="2"/>
          </rPr>
          <t xml:space="preserve">Average annual growth rate of years 2014-2024
</t>
        </r>
      </text>
    </comment>
  </commentList>
</comments>
</file>

<file path=xl/comments2.xml><?xml version="1.0" encoding="utf-8"?>
<comments xmlns="http://schemas.openxmlformats.org/spreadsheetml/2006/main">
  <authors>
    <author>Young, Patrick</author>
  </authors>
  <commentList>
    <comment ref="D11" authorId="0">
      <text>
        <r>
          <rPr>
            <b/>
            <sz val="9"/>
            <color indexed="81"/>
            <rFont val="Tahoma"/>
            <family val="2"/>
          </rPr>
          <t>Young, Patrick:</t>
        </r>
        <r>
          <rPr>
            <sz val="9"/>
            <color indexed="81"/>
            <rFont val="Tahoma"/>
            <family val="2"/>
          </rPr>
          <t xml:space="preserve">
Imported directly from CEC Form 1.5 No AAEE</t>
        </r>
      </text>
    </comment>
    <comment ref="D12" authorId="0">
      <text>
        <r>
          <rPr>
            <b/>
            <sz val="9"/>
            <color indexed="81"/>
            <rFont val="Tahoma"/>
            <family val="2"/>
          </rPr>
          <t>Young, Patrick:</t>
        </r>
        <r>
          <rPr>
            <sz val="9"/>
            <color indexed="81"/>
            <rFont val="Tahoma"/>
            <family val="2"/>
          </rPr>
          <t xml:space="preserve">
Imported directly from CEC Form 1.5 - LowMid AAEE</t>
        </r>
      </text>
    </comment>
    <comment ref="D13" authorId="0">
      <text>
        <r>
          <rPr>
            <b/>
            <sz val="9"/>
            <color indexed="81"/>
            <rFont val="Tahoma"/>
            <family val="2"/>
          </rPr>
          <t>Young, Patrick:</t>
        </r>
        <r>
          <rPr>
            <sz val="9"/>
            <color indexed="81"/>
            <rFont val="Tahoma"/>
            <family val="2"/>
          </rPr>
          <t xml:space="preserve">
Imported directly from CEC Form 1.5 - Mid AAEE</t>
        </r>
      </text>
    </comment>
    <comment ref="D14" authorId="0">
      <text>
        <r>
          <rPr>
            <b/>
            <sz val="9"/>
            <color indexed="81"/>
            <rFont val="Tahoma"/>
            <family val="2"/>
          </rPr>
          <t>Young, Patrick:</t>
        </r>
        <r>
          <rPr>
            <sz val="9"/>
            <color indexed="81"/>
            <rFont val="Tahoma"/>
            <family val="2"/>
          </rPr>
          <t xml:space="preserve">
Imported directly from CEC Form 1.5 - HighMid AAEE</t>
        </r>
      </text>
    </comment>
    <comment ref="D23" authorId="0">
      <text>
        <r>
          <rPr>
            <b/>
            <sz val="9"/>
            <color indexed="81"/>
            <rFont val="Tahoma"/>
            <family val="2"/>
          </rPr>
          <t>Young, Patrick:</t>
        </r>
        <r>
          <rPr>
            <sz val="9"/>
            <color indexed="81"/>
            <rFont val="Tahoma"/>
            <family val="2"/>
          </rPr>
          <t xml:space="preserve">
Imported directly from CEC Form 1.5 No AAEE</t>
        </r>
      </text>
    </comment>
    <comment ref="D24" authorId="0">
      <text>
        <r>
          <rPr>
            <b/>
            <sz val="9"/>
            <color indexed="81"/>
            <rFont val="Tahoma"/>
            <family val="2"/>
          </rPr>
          <t>Young, Patrick:</t>
        </r>
        <r>
          <rPr>
            <sz val="9"/>
            <color indexed="81"/>
            <rFont val="Tahoma"/>
            <family val="2"/>
          </rPr>
          <t xml:space="preserve">
Imported directly from CEC Form 1.5 - LowMid AAEE</t>
        </r>
      </text>
    </comment>
    <comment ref="D25" authorId="0">
      <text>
        <r>
          <rPr>
            <b/>
            <sz val="9"/>
            <color indexed="81"/>
            <rFont val="Tahoma"/>
            <family val="2"/>
          </rPr>
          <t>Young, Patrick:</t>
        </r>
        <r>
          <rPr>
            <sz val="9"/>
            <color indexed="81"/>
            <rFont val="Tahoma"/>
            <family val="2"/>
          </rPr>
          <t xml:space="preserve">
Imported directly from CEC Form 1.5 - Mid AAEE</t>
        </r>
      </text>
    </comment>
    <comment ref="D26" authorId="0">
      <text>
        <r>
          <rPr>
            <b/>
            <sz val="9"/>
            <color indexed="81"/>
            <rFont val="Tahoma"/>
            <family val="2"/>
          </rPr>
          <t>Young, Patrick:</t>
        </r>
        <r>
          <rPr>
            <sz val="9"/>
            <color indexed="81"/>
            <rFont val="Tahoma"/>
            <family val="2"/>
          </rPr>
          <t xml:space="preserve">
Imported directly from CEC Form 1.5 - HighMid AAEE</t>
        </r>
      </text>
    </comment>
    <comment ref="D35" authorId="0">
      <text>
        <r>
          <rPr>
            <b/>
            <sz val="9"/>
            <color indexed="81"/>
            <rFont val="Tahoma"/>
            <family val="2"/>
          </rPr>
          <t>Young, Patrick:</t>
        </r>
        <r>
          <rPr>
            <sz val="9"/>
            <color indexed="81"/>
            <rFont val="Tahoma"/>
            <family val="2"/>
          </rPr>
          <t xml:space="preserve">
Imported directly from CEC Form 1.5 No AAEE</t>
        </r>
      </text>
    </comment>
    <comment ref="D36" authorId="0">
      <text>
        <r>
          <rPr>
            <b/>
            <sz val="9"/>
            <color indexed="81"/>
            <rFont val="Tahoma"/>
            <family val="2"/>
          </rPr>
          <t>Young, Patrick:</t>
        </r>
        <r>
          <rPr>
            <sz val="9"/>
            <color indexed="81"/>
            <rFont val="Tahoma"/>
            <family val="2"/>
          </rPr>
          <t xml:space="preserve">
Imported directly from CEC Form 1.5 - LowMid AAEE</t>
        </r>
      </text>
    </comment>
    <comment ref="D37" authorId="0">
      <text>
        <r>
          <rPr>
            <b/>
            <sz val="9"/>
            <color indexed="81"/>
            <rFont val="Tahoma"/>
            <family val="2"/>
          </rPr>
          <t>Young, Patrick:</t>
        </r>
        <r>
          <rPr>
            <sz val="9"/>
            <color indexed="81"/>
            <rFont val="Tahoma"/>
            <family val="2"/>
          </rPr>
          <t xml:space="preserve">
Imported directly from CEC Form 1.5 - Mid AAEE</t>
        </r>
      </text>
    </comment>
    <comment ref="D38" authorId="0">
      <text>
        <r>
          <rPr>
            <b/>
            <sz val="9"/>
            <color indexed="81"/>
            <rFont val="Tahoma"/>
            <family val="2"/>
          </rPr>
          <t>Young, Patrick:</t>
        </r>
        <r>
          <rPr>
            <sz val="9"/>
            <color indexed="81"/>
            <rFont val="Tahoma"/>
            <family val="2"/>
          </rPr>
          <t xml:space="preserve">
Imported directly from CEC Form 1.5 - HighMid AAEE</t>
        </r>
      </text>
    </comment>
    <comment ref="D48" authorId="0">
      <text>
        <r>
          <rPr>
            <b/>
            <sz val="9"/>
            <color indexed="81"/>
            <rFont val="Tahoma"/>
            <family val="2"/>
          </rPr>
          <t>Young, Patrick:</t>
        </r>
        <r>
          <rPr>
            <sz val="9"/>
            <color indexed="81"/>
            <rFont val="Tahoma"/>
            <family val="2"/>
          </rPr>
          <t xml:space="preserve">
Imported directly from CEC Form 1.5 No AAEE</t>
        </r>
      </text>
    </comment>
    <comment ref="D49" authorId="0">
      <text>
        <r>
          <rPr>
            <b/>
            <sz val="9"/>
            <color indexed="81"/>
            <rFont val="Tahoma"/>
            <family val="2"/>
          </rPr>
          <t>Young, Patrick:</t>
        </r>
        <r>
          <rPr>
            <sz val="9"/>
            <color indexed="81"/>
            <rFont val="Tahoma"/>
            <family val="2"/>
          </rPr>
          <t xml:space="preserve">
Imported directly from CEC Form 1.5 - Mid AAEE</t>
        </r>
      </text>
    </comment>
    <comment ref="D58" authorId="0">
      <text>
        <r>
          <rPr>
            <b/>
            <sz val="9"/>
            <color indexed="81"/>
            <rFont val="Tahoma"/>
            <family val="2"/>
          </rPr>
          <t>Young, Patrick:</t>
        </r>
        <r>
          <rPr>
            <sz val="9"/>
            <color indexed="81"/>
            <rFont val="Tahoma"/>
            <family val="2"/>
          </rPr>
          <t xml:space="preserve">
Imported directly from CEC Form 1.5 No AAEE</t>
        </r>
      </text>
    </comment>
    <comment ref="D59" authorId="0">
      <text>
        <r>
          <rPr>
            <b/>
            <sz val="9"/>
            <color indexed="81"/>
            <rFont val="Tahoma"/>
            <family val="2"/>
          </rPr>
          <t>Young, Patrick:</t>
        </r>
        <r>
          <rPr>
            <sz val="9"/>
            <color indexed="81"/>
            <rFont val="Tahoma"/>
            <family val="2"/>
          </rPr>
          <t xml:space="preserve">
Imported directly from CEC Form 1.5 - Mid AAEE</t>
        </r>
      </text>
    </comment>
    <comment ref="D68" authorId="0">
      <text>
        <r>
          <rPr>
            <b/>
            <sz val="9"/>
            <color indexed="81"/>
            <rFont val="Tahoma"/>
            <family val="2"/>
          </rPr>
          <t>Young, Patrick:</t>
        </r>
        <r>
          <rPr>
            <sz val="9"/>
            <color indexed="81"/>
            <rFont val="Tahoma"/>
            <family val="2"/>
          </rPr>
          <t xml:space="preserve">
Imported directly from CEC Form 1.5 No AAEE</t>
        </r>
      </text>
    </comment>
    <comment ref="D69" authorId="0">
      <text>
        <r>
          <rPr>
            <b/>
            <sz val="9"/>
            <color indexed="81"/>
            <rFont val="Tahoma"/>
            <family val="2"/>
          </rPr>
          <t>Young, Patrick:</t>
        </r>
        <r>
          <rPr>
            <sz val="9"/>
            <color indexed="81"/>
            <rFont val="Tahoma"/>
            <family val="2"/>
          </rPr>
          <t xml:space="preserve">
Imported directly from CEC Form 1.5 - Mid AAEE</t>
        </r>
      </text>
    </comment>
    <comment ref="D80" authorId="0">
      <text>
        <r>
          <rPr>
            <b/>
            <sz val="9"/>
            <color indexed="81"/>
            <rFont val="Tahoma"/>
            <family val="2"/>
          </rPr>
          <t>Young, Patrick:</t>
        </r>
        <r>
          <rPr>
            <sz val="9"/>
            <color indexed="81"/>
            <rFont val="Tahoma"/>
            <family val="2"/>
          </rPr>
          <t xml:space="preserve">
Imported directly from CEC Form 1.5 - LowMid AAEE</t>
        </r>
      </text>
    </comment>
    <comment ref="D81" authorId="0">
      <text>
        <r>
          <rPr>
            <b/>
            <sz val="9"/>
            <color indexed="81"/>
            <rFont val="Tahoma"/>
            <family val="2"/>
          </rPr>
          <t>Young, Patrick:</t>
        </r>
        <r>
          <rPr>
            <sz val="9"/>
            <color indexed="81"/>
            <rFont val="Tahoma"/>
            <family val="2"/>
          </rPr>
          <t xml:space="preserve">
Imported directly from CEC Form 1.5 - Mid AAEE</t>
        </r>
      </text>
    </comment>
    <comment ref="D82" authorId="0">
      <text>
        <r>
          <rPr>
            <b/>
            <sz val="9"/>
            <color indexed="81"/>
            <rFont val="Tahoma"/>
            <family val="2"/>
          </rPr>
          <t>Young, Patrick:</t>
        </r>
        <r>
          <rPr>
            <sz val="9"/>
            <color indexed="81"/>
            <rFont val="Tahoma"/>
            <family val="2"/>
          </rPr>
          <t xml:space="preserve">
Imported directly from CEC Form 1.5 - HighMid AAEE</t>
        </r>
      </text>
    </comment>
    <comment ref="D91" authorId="0">
      <text>
        <r>
          <rPr>
            <b/>
            <sz val="9"/>
            <color indexed="81"/>
            <rFont val="Tahoma"/>
            <family val="2"/>
          </rPr>
          <t>Young, Patrick:</t>
        </r>
        <r>
          <rPr>
            <sz val="9"/>
            <color indexed="81"/>
            <rFont val="Tahoma"/>
            <family val="2"/>
          </rPr>
          <t xml:space="preserve">
Imported directly from CEC Form 1.5 - Mid AAEE</t>
        </r>
      </text>
    </comment>
    <comment ref="A186" authorId="0">
      <text>
        <r>
          <rPr>
            <b/>
            <sz val="9"/>
            <color indexed="81"/>
            <rFont val="Tahoma"/>
            <family val="2"/>
          </rPr>
          <t>Young, Patrick:</t>
        </r>
        <r>
          <rPr>
            <sz val="9"/>
            <color indexed="81"/>
            <rFont val="Tahoma"/>
            <family val="2"/>
          </rPr>
          <t xml:space="preserve">
Share of capacity in PGE out of Statewide, derived from CEC spreadsheet ICF Base</t>
        </r>
      </text>
    </comment>
    <comment ref="A187" authorId="0">
      <text>
        <r>
          <rPr>
            <b/>
            <sz val="9"/>
            <color indexed="81"/>
            <rFont val="Tahoma"/>
            <family val="2"/>
          </rPr>
          <t>Young, Patrick:</t>
        </r>
        <r>
          <rPr>
            <sz val="9"/>
            <color indexed="81"/>
            <rFont val="Tahoma"/>
            <family val="2"/>
          </rPr>
          <t xml:space="preserve">
Share of capacity in PGE out of Statewide, derived from CEC spreadsheet ICF High</t>
        </r>
      </text>
    </comment>
    <comment ref="A188" authorId="0">
      <text>
        <r>
          <rPr>
            <b/>
            <sz val="9"/>
            <color indexed="81"/>
            <rFont val="Tahoma"/>
            <family val="2"/>
          </rPr>
          <t>Young, Patrick:</t>
        </r>
        <r>
          <rPr>
            <sz val="9"/>
            <color indexed="81"/>
            <rFont val="Tahoma"/>
            <family val="2"/>
          </rPr>
          <t xml:space="preserve">
Share of capacity in SCE out of Statewide, derived from CEC spreadsheet ICF Base</t>
        </r>
      </text>
    </comment>
    <comment ref="A189" authorId="0">
      <text>
        <r>
          <rPr>
            <b/>
            <sz val="9"/>
            <color indexed="81"/>
            <rFont val="Tahoma"/>
            <family val="2"/>
          </rPr>
          <t>Young, Patrick:</t>
        </r>
        <r>
          <rPr>
            <sz val="9"/>
            <color indexed="81"/>
            <rFont val="Tahoma"/>
            <family val="2"/>
          </rPr>
          <t xml:space="preserve">
Share of capacity in SCE out of Statewide, derived from CEC spreadsheet ICF High</t>
        </r>
      </text>
    </comment>
    <comment ref="A190" authorId="0">
      <text>
        <r>
          <rPr>
            <b/>
            <sz val="9"/>
            <color indexed="81"/>
            <rFont val="Tahoma"/>
            <family val="2"/>
          </rPr>
          <t>Young, Patrick:</t>
        </r>
        <r>
          <rPr>
            <sz val="9"/>
            <color indexed="81"/>
            <rFont val="Tahoma"/>
            <family val="2"/>
          </rPr>
          <t xml:space="preserve">
Share of capacity in SDGE out of Statewide, derived from CEC spreadsheet ICF Base</t>
        </r>
      </text>
    </comment>
    <comment ref="A191" authorId="0">
      <text>
        <r>
          <rPr>
            <b/>
            <sz val="9"/>
            <color indexed="81"/>
            <rFont val="Tahoma"/>
            <family val="2"/>
          </rPr>
          <t>Young, Patrick:</t>
        </r>
        <r>
          <rPr>
            <sz val="9"/>
            <color indexed="81"/>
            <rFont val="Tahoma"/>
            <family val="2"/>
          </rPr>
          <t xml:space="preserve">
Share of capacity in SDGE out of Statewide, derived from CEC spreadsheet ICF High</t>
        </r>
      </text>
    </comment>
  </commentList>
</comments>
</file>

<file path=xl/comments3.xml><?xml version="1.0" encoding="utf-8"?>
<comments xmlns="http://schemas.openxmlformats.org/spreadsheetml/2006/main">
  <authors>
    <author>Young, Patrick</author>
  </authors>
  <commentList>
    <comment ref="D61" authorId="0">
      <text>
        <r>
          <rPr>
            <b/>
            <sz val="9"/>
            <color indexed="81"/>
            <rFont val="Tahoma"/>
            <family val="2"/>
          </rPr>
          <t>Young, Patrick:</t>
        </r>
        <r>
          <rPr>
            <sz val="9"/>
            <color indexed="81"/>
            <rFont val="Tahoma"/>
            <family val="2"/>
          </rPr>
          <t xml:space="preserve">
According to 2013 version of NQC List, most of these facilities were identified as "pumping plant"
</t>
        </r>
      </text>
    </comment>
  </commentList>
</comments>
</file>

<file path=xl/comments4.xml><?xml version="1.0" encoding="utf-8"?>
<comments xmlns="http://schemas.openxmlformats.org/spreadsheetml/2006/main">
  <authors>
    <author>Young, Patrick</author>
  </authors>
  <commentList>
    <comment ref="V45" authorId="0">
      <text>
        <r>
          <rPr>
            <b/>
            <sz val="9"/>
            <color indexed="81"/>
            <rFont val="Tahoma"/>
            <family val="2"/>
          </rPr>
          <t>Young, Patrick:</t>
        </r>
        <r>
          <rPr>
            <sz val="9"/>
            <color indexed="81"/>
            <rFont val="Tahoma"/>
            <family val="2"/>
          </rPr>
          <t xml:space="preserve">
According to 2013 version of NQC List, this facility is a pumping plant
</t>
        </r>
      </text>
    </comment>
    <comment ref="V107" authorId="0">
      <text>
        <r>
          <rPr>
            <b/>
            <sz val="9"/>
            <color indexed="81"/>
            <rFont val="Tahoma"/>
            <family val="2"/>
          </rPr>
          <t>Young, Patrick:</t>
        </r>
        <r>
          <rPr>
            <sz val="9"/>
            <color indexed="81"/>
            <rFont val="Tahoma"/>
            <family val="2"/>
          </rPr>
          <t xml:space="preserve">
Resource type unknown, assuming pumping plant</t>
        </r>
      </text>
    </comment>
    <comment ref="V200" authorId="0">
      <text>
        <r>
          <rPr>
            <b/>
            <sz val="9"/>
            <color indexed="81"/>
            <rFont val="Tahoma"/>
            <family val="2"/>
          </rPr>
          <t>Young, Patrick:</t>
        </r>
        <r>
          <rPr>
            <sz val="9"/>
            <color indexed="81"/>
            <rFont val="Tahoma"/>
            <family val="2"/>
          </rPr>
          <t xml:space="preserve">
According to 2013 version of NQC List, this facility is a pumping plant
</t>
        </r>
      </text>
    </comment>
    <comment ref="V214" authorId="0">
      <text>
        <r>
          <rPr>
            <b/>
            <sz val="9"/>
            <color indexed="81"/>
            <rFont val="Tahoma"/>
            <family val="2"/>
          </rPr>
          <t>Young, Patrick:</t>
        </r>
        <r>
          <rPr>
            <sz val="9"/>
            <color indexed="81"/>
            <rFont val="Tahoma"/>
            <family val="2"/>
          </rPr>
          <t xml:space="preserve">
According to 2013 version of NQC List, this facility is a pumping plant
</t>
        </r>
      </text>
    </comment>
    <comment ref="X234" authorId="0">
      <text>
        <r>
          <rPr>
            <b/>
            <sz val="12"/>
            <color indexed="81"/>
            <rFont val="Tahoma"/>
            <family val="2"/>
          </rPr>
          <t>Young, Patrick:</t>
        </r>
        <r>
          <rPr>
            <sz val="12"/>
            <color indexed="81"/>
            <rFont val="Tahoma"/>
            <family val="2"/>
          </rPr>
          <t xml:space="preserve">
Non-OTC unit whose retirement is linked to adjacent OTC units</t>
        </r>
      </text>
    </comment>
    <comment ref="X442" authorId="0">
      <text>
        <r>
          <rPr>
            <b/>
            <sz val="12"/>
            <color indexed="81"/>
            <rFont val="Tahoma"/>
            <family val="2"/>
          </rPr>
          <t>Young, Patrick:</t>
        </r>
        <r>
          <rPr>
            <sz val="12"/>
            <color indexed="81"/>
            <rFont val="Tahoma"/>
            <family val="2"/>
          </rPr>
          <t xml:space="preserve">
Non-OTC unit whose retirement is linked to adjacent OTC units</t>
        </r>
      </text>
    </comment>
    <comment ref="Y450"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Y451"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V502" authorId="0">
      <text>
        <r>
          <rPr>
            <b/>
            <sz val="9"/>
            <color indexed="81"/>
            <rFont val="Tahoma"/>
            <family val="2"/>
          </rPr>
          <t>Young, Patrick:</t>
        </r>
        <r>
          <rPr>
            <sz val="9"/>
            <color indexed="81"/>
            <rFont val="Tahoma"/>
            <family val="2"/>
          </rPr>
          <t xml:space="preserve">
According to 2013 version of NQC List, this facility is a pumping plant
</t>
        </r>
      </text>
    </comment>
    <comment ref="V519" authorId="0">
      <text>
        <r>
          <rPr>
            <b/>
            <sz val="9"/>
            <color indexed="81"/>
            <rFont val="Tahoma"/>
            <family val="2"/>
          </rPr>
          <t>Young, Patrick:</t>
        </r>
        <r>
          <rPr>
            <sz val="9"/>
            <color indexed="81"/>
            <rFont val="Tahoma"/>
            <family val="2"/>
          </rPr>
          <t xml:space="preserve">
According to 2013 version of NQC List, this facility is a pumping plant
</t>
        </r>
      </text>
    </comment>
    <comment ref="X535" authorId="0">
      <text>
        <r>
          <rPr>
            <b/>
            <sz val="12"/>
            <color indexed="81"/>
            <rFont val="Tahoma"/>
            <family val="2"/>
          </rPr>
          <t>Young, Patrick:</t>
        </r>
        <r>
          <rPr>
            <sz val="12"/>
            <color indexed="81"/>
            <rFont val="Tahoma"/>
            <family val="2"/>
          </rPr>
          <t xml:space="preserve">
Non-OTC unit whose retirement is linked to adjacent OTC units</t>
        </r>
      </text>
    </comment>
  </commentList>
</comments>
</file>

<file path=xl/sharedStrings.xml><?xml version="1.0" encoding="utf-8"?>
<sst xmlns="http://schemas.openxmlformats.org/spreadsheetml/2006/main" count="28284" uniqueCount="5542">
  <si>
    <t>Low</t>
  </si>
  <si>
    <t>High</t>
  </si>
  <si>
    <t>Load (MW)</t>
  </si>
  <si>
    <t>Load (GWh)</t>
  </si>
  <si>
    <t>PG&amp;E</t>
  </si>
  <si>
    <t>SCE</t>
  </si>
  <si>
    <t>SDG&amp;E</t>
  </si>
  <si>
    <t>Mid</t>
  </si>
  <si>
    <t>Mid (1-in-5)</t>
  </si>
  <si>
    <t>Mid (1-in-10)</t>
  </si>
  <si>
    <t>Inc Small PV (MW)</t>
  </si>
  <si>
    <t>Imports</t>
  </si>
  <si>
    <t>OTC</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</si>
  <si>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</si>
  <si>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</si>
  <si>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</si>
  <si>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</si>
  <si>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</si>
  <si>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</si>
  <si>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</si>
  <si>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</si>
  <si>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</si>
  <si>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</si>
  <si>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</si>
  <si>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</si>
  <si>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</si>
  <si>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</si>
  <si>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</si>
  <si>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</si>
  <si>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</si>
  <si>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</si>
  <si>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</si>
  <si>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</si>
  <si>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</si>
  <si>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</si>
  <si>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</si>
  <si>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</si>
  <si>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</si>
  <si>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</si>
  <si>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</si>
  <si>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</si>
  <si>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</si>
  <si>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</si>
  <si>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</si>
  <si>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</si>
  <si>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</si>
  <si>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</si>
  <si>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</si>
  <si>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</si>
  <si>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</si>
  <si>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</si>
  <si>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</si>
  <si>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</si>
  <si>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</si>
  <si>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</si>
  <si>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</si>
  <si>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</si>
  <si>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</si>
  <si>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</si>
  <si>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</si>
  <si>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</si>
  <si>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</si>
  <si>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</si>
  <si>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</si>
  <si>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</si>
  <si>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</si>
  <si>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</si>
  <si>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</si>
  <si>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</si>
  <si>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</si>
  <si>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</si>
  <si>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</si>
  <si>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</si>
  <si>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</si>
  <si>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</si>
  <si>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</si>
  <si>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</si>
  <si>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</si>
  <si>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</si>
  <si>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</si>
  <si>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</si>
  <si>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</si>
  <si>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</si>
  <si>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</si>
  <si>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</si>
  <si>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</si>
  <si>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</si>
  <si>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</si>
  <si>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</si>
  <si>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</si>
  <si>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</si>
  <si>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</si>
  <si>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</si>
  <si>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</si>
  <si>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</si>
  <si>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</si>
  <si>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</si>
  <si>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</si>
  <si>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</si>
  <si>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</si>
  <si>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</si>
  <si>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</si>
  <si>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</si>
  <si>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</si>
  <si>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</si>
  <si>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</si>
  <si>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</si>
  <si>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</si>
  <si>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</si>
  <si>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</si>
  <si>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</si>
  <si>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</si>
  <si>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</si>
  <si>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</si>
  <si>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</si>
  <si>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</si>
  <si>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</si>
  <si>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</si>
  <si>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</si>
  <si>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</si>
  <si>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</si>
  <si>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</si>
  <si>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</si>
  <si>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</si>
  <si>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</si>
  <si>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</si>
  <si>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</si>
  <si>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</si>
  <si>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</si>
  <si>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</si>
  <si>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</si>
  <si>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</si>
  <si>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</si>
  <si>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</si>
  <si>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</si>
  <si>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</si>
  <si>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</si>
  <si>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</si>
  <si>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</si>
  <si>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</si>
  <si>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</si>
  <si>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</si>
  <si>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</si>
  <si>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</si>
  <si>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</si>
  <si>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</si>
  <si>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</si>
  <si>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</si>
  <si>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</si>
  <si>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</si>
  <si>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</si>
  <si>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</si>
  <si>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</si>
  <si>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</si>
  <si>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</si>
  <si>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</si>
  <si>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</si>
  <si>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</si>
  <si>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</si>
  <si>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</si>
  <si>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</si>
  <si>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</si>
  <si>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</si>
  <si>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</si>
  <si>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</si>
  <si>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</si>
  <si>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</si>
  <si>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</si>
  <si>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</si>
  <si>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</si>
  <si>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</si>
  <si>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</si>
  <si>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</si>
  <si>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</si>
  <si>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</si>
  <si>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</si>
  <si>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</si>
  <si>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</si>
  <si>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</si>
  <si>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</si>
  <si>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</si>
  <si>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</si>
  <si>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</si>
  <si>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</si>
  <si>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</si>
  <si>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</si>
  <si>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</si>
  <si>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</si>
  <si>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</si>
  <si>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</si>
  <si>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</si>
  <si>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</si>
  <si>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</si>
  <si>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</si>
  <si>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</si>
  <si>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</si>
  <si>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</si>
  <si>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</si>
  <si>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</si>
  <si>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</si>
  <si>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</si>
  <si>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</si>
  <si>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</si>
  <si>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</si>
  <si>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</si>
  <si>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</si>
  <si>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</si>
  <si>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</si>
  <si>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</si>
  <si>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</si>
  <si>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</si>
  <si>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</si>
  <si>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</si>
  <si>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</si>
  <si>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</si>
  <si>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</si>
  <si>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</si>
  <si>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</si>
  <si>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</si>
  <si>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</si>
  <si>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</si>
  <si>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</si>
  <si>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</si>
  <si>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</si>
  <si>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</si>
  <si>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</si>
  <si>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</si>
  <si>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</si>
  <si>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</si>
  <si>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</si>
  <si>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</si>
  <si>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</si>
  <si>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</si>
  <si>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</si>
  <si>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</si>
  <si>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</si>
  <si>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</si>
  <si>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</si>
  <si>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</si>
  <si>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</si>
  <si>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</si>
  <si>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</si>
  <si>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</si>
  <si>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</si>
  <si>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</si>
  <si>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</si>
  <si>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</si>
  <si>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</si>
  <si>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</si>
  <si>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</si>
  <si>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</si>
  <si>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</si>
  <si>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</si>
  <si>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</si>
  <si>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</si>
  <si>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</si>
  <si>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</si>
  <si>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</si>
  <si>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</si>
  <si>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</si>
  <si>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</si>
  <si>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</si>
  <si>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</si>
  <si>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</si>
  <si>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</si>
  <si>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</si>
  <si>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</si>
  <si>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</si>
  <si>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</si>
  <si>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</si>
  <si>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</si>
  <si>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</si>
  <si>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</si>
  <si>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</si>
  <si>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</si>
  <si>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</si>
  <si>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</si>
  <si>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</si>
  <si>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</si>
  <si>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</si>
  <si>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</si>
  <si>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</si>
  <si>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</si>
  <si>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</si>
  <si>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</si>
  <si>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</si>
  <si>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</si>
  <si>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</si>
  <si>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</si>
  <si>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</si>
  <si>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</si>
  <si>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</si>
  <si>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</si>
  <si>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</si>
  <si>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</si>
  <si>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</si>
  <si>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</si>
  <si>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</si>
  <si>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</si>
  <si>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</si>
  <si>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</si>
  <si>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</si>
  <si>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</si>
  <si>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</si>
  <si>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</si>
  <si>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</si>
  <si>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</si>
  <si>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</si>
  <si>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</si>
  <si>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</si>
  <si>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</si>
  <si>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</si>
  <si>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</si>
  <si>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</si>
  <si>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</si>
  <si>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</si>
  <si>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</si>
  <si>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</si>
  <si>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</si>
  <si>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</si>
  <si>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</si>
  <si>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</si>
  <si>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</si>
  <si>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</si>
  <si>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</si>
  <si>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</si>
  <si>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</si>
  <si>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</si>
  <si>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</si>
  <si>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</si>
  <si>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</si>
  <si>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</si>
  <si>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</si>
  <si>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</si>
  <si>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</si>
  <si>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</si>
  <si>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</si>
  <si>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</si>
  <si>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</si>
  <si>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</si>
  <si>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</si>
  <si>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</si>
  <si>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</si>
  <si>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</si>
  <si>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</si>
  <si>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</si>
  <si>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</si>
  <si>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</si>
  <si>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</si>
  <si>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</si>
  <si>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</si>
  <si>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</si>
  <si>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</si>
  <si>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</si>
  <si>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</si>
  <si>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</si>
  <si>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</si>
  <si>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</si>
  <si>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</si>
  <si>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</si>
  <si>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</si>
  <si>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</si>
  <si>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</si>
  <si>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</si>
  <si>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</si>
  <si>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</si>
  <si>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</si>
  <si>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</si>
  <si>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</si>
  <si>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</si>
  <si>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</si>
  <si>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</si>
  <si>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</si>
  <si>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</si>
  <si>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</si>
  <si>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</si>
  <si>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</si>
  <si>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</si>
  <si>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</si>
  <si>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</si>
  <si>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</si>
  <si>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</si>
  <si>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</si>
  <si>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</si>
  <si>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</si>
  <si>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</si>
  <si>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</si>
  <si>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</si>
  <si>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</si>
  <si>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</si>
  <si>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</si>
  <si>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</si>
  <si>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</si>
  <si>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</si>
  <si>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</si>
  <si>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</si>
  <si>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</si>
  <si>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</si>
  <si>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</si>
  <si>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</si>
  <si>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</si>
  <si>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</si>
  <si>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</si>
  <si>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</si>
  <si>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</si>
  <si>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</si>
  <si>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</si>
  <si>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</si>
  <si>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</si>
  <si>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</si>
  <si>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</si>
  <si>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</si>
  <si>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</si>
  <si>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</si>
  <si>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</si>
  <si>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</si>
  <si>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</si>
  <si>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</si>
  <si>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</si>
  <si>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</si>
  <si>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</si>
  <si>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</si>
  <si>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</si>
  <si>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</si>
  <si>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</si>
  <si>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</si>
  <si>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</si>
  <si>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</si>
  <si>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</si>
  <si>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</si>
  <si>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</si>
  <si>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</si>
  <si>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</si>
  <si>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</si>
  <si>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</si>
  <si>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</si>
  <si>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</si>
  <si>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</si>
  <si>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</si>
  <si>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</si>
  <si>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</si>
  <si>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</si>
  <si>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</si>
  <si>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</si>
  <si>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</si>
  <si>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</si>
  <si>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</si>
  <si>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</si>
  <si>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</si>
  <si>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</si>
  <si>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</si>
  <si>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</si>
  <si>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</si>
  <si>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</si>
  <si>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</si>
  <si>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</si>
  <si>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</si>
  <si>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</si>
  <si>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</si>
  <si>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</si>
  <si>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</si>
  <si>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</si>
  <si>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</si>
  <si>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</si>
  <si>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</si>
  <si>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</si>
  <si>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</si>
  <si>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</si>
  <si>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</si>
  <si>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</si>
  <si>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</si>
  <si>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</si>
  <si>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</si>
  <si>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</si>
  <si>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</si>
  <si>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</si>
  <si>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</si>
  <si>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</si>
  <si>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</si>
  <si>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</si>
  <si>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</si>
  <si>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</si>
  <si>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</si>
  <si>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</si>
  <si>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</si>
  <si>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</si>
  <si>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</si>
  <si>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</si>
  <si>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</si>
  <si>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</si>
  <si>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</si>
  <si>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</si>
  <si>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</si>
  <si>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</si>
  <si>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</si>
  <si>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</si>
  <si>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</si>
  <si>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</si>
  <si>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</si>
  <si>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</si>
  <si>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</si>
  <si>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</si>
  <si>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</si>
  <si>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</si>
  <si>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</si>
  <si>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</si>
  <si>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</si>
  <si>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</si>
  <si>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</si>
  <si>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</si>
  <si>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</si>
  <si>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</si>
  <si>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</si>
  <si>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</si>
  <si>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</si>
  <si>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</si>
  <si>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</si>
  <si>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</si>
  <si>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</si>
  <si>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</si>
  <si>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</si>
  <si>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</si>
  <si>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</si>
  <si>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</si>
  <si>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</si>
  <si>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</si>
  <si>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</si>
  <si>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</si>
  <si>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</si>
  <si>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</si>
  <si>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</si>
  <si>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</si>
  <si>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</si>
  <si>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</si>
  <si>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</si>
  <si>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</si>
  <si>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</si>
  <si>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</si>
  <si>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</si>
  <si>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</si>
  <si>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</si>
  <si>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</si>
  <si>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</si>
  <si>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</si>
  <si>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</si>
  <si>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</si>
  <si>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</si>
  <si>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</si>
  <si>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</si>
  <si>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</si>
  <si>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</si>
  <si>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</si>
  <si>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</si>
  <si>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</si>
  <si>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</si>
  <si>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</si>
  <si>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</si>
  <si>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</si>
  <si>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</si>
  <si>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</si>
  <si>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</si>
  <si>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</si>
  <si>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</si>
  <si>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</si>
  <si>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</si>
  <si>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</si>
  <si>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</si>
  <si>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</si>
  <si>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</si>
  <si>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</si>
  <si>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</si>
  <si>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</si>
  <si>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</si>
  <si>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</si>
  <si>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</si>
  <si>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</si>
  <si>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</si>
  <si>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</si>
  <si>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</si>
  <si>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</si>
  <si>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</si>
  <si>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</si>
  <si>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</si>
  <si>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</si>
  <si>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</si>
  <si>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</si>
  <si>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</si>
  <si>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</si>
  <si>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</si>
  <si>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</si>
  <si>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</si>
  <si>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</si>
  <si>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</si>
  <si>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</si>
  <si>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</si>
  <si>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</si>
  <si>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</si>
  <si>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</si>
  <si>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</si>
  <si>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</si>
  <si>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</si>
  <si>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</si>
  <si>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</si>
  <si>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</si>
  <si>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</si>
  <si>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</si>
  <si>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</si>
  <si>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</si>
  <si>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</si>
  <si>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</si>
  <si>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</si>
  <si>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</si>
  <si>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</si>
  <si>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</si>
  <si>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</si>
  <si>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</si>
  <si>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</si>
  <si>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</si>
  <si>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</si>
  <si>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</si>
  <si>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</si>
  <si>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</si>
  <si>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</si>
  <si>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</si>
  <si>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</si>
  <si>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</si>
  <si>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</si>
  <si>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</si>
  <si>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</si>
  <si>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</si>
  <si>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</si>
  <si>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</si>
  <si>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</si>
  <si>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</si>
  <si>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</si>
  <si>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</si>
  <si>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</si>
  <si>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</si>
  <si>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</si>
  <si>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</si>
  <si>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</si>
  <si>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</si>
  <si>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</si>
  <si>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</si>
  <si>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</si>
  <si>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</si>
  <si>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</si>
  <si>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</si>
  <si>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</si>
  <si>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</si>
  <si>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</si>
  <si>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</si>
  <si>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</si>
  <si>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</si>
  <si>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</si>
  <si>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</si>
  <si>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</si>
  <si>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</si>
  <si>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</si>
  <si>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</si>
  <si>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</si>
  <si>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</si>
  <si>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</si>
  <si>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</si>
  <si>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</si>
  <si>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</si>
  <si>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</si>
  <si>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</si>
  <si>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</si>
  <si>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</si>
  <si>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</si>
  <si>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</si>
  <si>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</si>
  <si>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</si>
  <si>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</si>
  <si>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</si>
  <si>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</si>
  <si>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</si>
  <si>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</si>
  <si>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</si>
  <si>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</si>
  <si>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</si>
  <si>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</si>
  <si>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</si>
  <si>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</si>
  <si>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</si>
  <si>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</si>
  <si>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</si>
  <si>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</si>
  <si>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</si>
  <si>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</si>
  <si>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</si>
  <si>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</si>
  <si>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</si>
  <si>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</si>
  <si>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</si>
  <si>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</si>
  <si>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</si>
  <si>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</si>
  <si>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</si>
  <si>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</si>
  <si>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</si>
  <si>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</si>
  <si>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</si>
  <si>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</si>
  <si>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</si>
  <si>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</si>
  <si>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</si>
  <si>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</si>
  <si>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</si>
  <si>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</si>
  <si>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</si>
  <si>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</si>
  <si>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</si>
  <si>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</si>
  <si>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</si>
  <si>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</si>
  <si>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</si>
  <si>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</si>
  <si>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</si>
  <si>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</si>
  <si>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</si>
  <si>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</si>
  <si>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</si>
  <si>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</si>
  <si>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</si>
  <si>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</si>
  <si>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</si>
  <si>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</si>
  <si>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</si>
  <si>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</si>
  <si>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</si>
  <si>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</si>
  <si>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</si>
  <si>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</si>
  <si>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</si>
  <si>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</si>
  <si>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</si>
  <si>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</si>
  <si>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</si>
  <si>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</si>
  <si>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</si>
  <si>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</si>
  <si>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</si>
  <si>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</si>
  <si>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</si>
  <si>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</si>
  <si>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</si>
  <si>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</si>
  <si>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</si>
  <si>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</si>
  <si>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</si>
  <si>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</si>
  <si>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</si>
  <si>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</si>
  <si>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</si>
  <si>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</si>
  <si>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</si>
  <si>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</si>
  <si>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</si>
  <si>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</si>
  <si>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</si>
  <si>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</si>
  <si>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</si>
  <si>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</si>
  <si>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</si>
  <si>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</si>
  <si>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</si>
  <si>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</si>
  <si>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</si>
  <si>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</si>
  <si>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</si>
  <si>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</si>
  <si>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</si>
  <si>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</si>
  <si>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</si>
  <si>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</si>
  <si>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</si>
  <si>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</si>
  <si>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</si>
  <si>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</si>
  <si>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</si>
  <si>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</si>
  <si>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</si>
  <si>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</si>
  <si>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</si>
  <si>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</si>
  <si>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</si>
  <si>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</si>
  <si>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</si>
  <si>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</si>
  <si>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</si>
  <si>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</si>
  <si>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</si>
  <si>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</si>
  <si>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</si>
  <si>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</si>
  <si>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</si>
  <si>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</si>
  <si>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</si>
  <si>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</si>
  <si>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</si>
  <si>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</si>
  <si>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</si>
  <si>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</si>
  <si>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</si>
  <si>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</si>
  <si>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</si>
  <si>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</si>
  <si>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</si>
  <si>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</si>
  <si>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</si>
  <si>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</si>
  <si>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</si>
  <si>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</si>
  <si>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</si>
  <si>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</si>
  <si>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</si>
  <si>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</si>
  <si>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</si>
  <si>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</si>
  <si>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</si>
  <si>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</si>
  <si>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</si>
  <si>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</si>
  <si>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</si>
  <si>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</si>
  <si>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</si>
  <si>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</si>
  <si>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</si>
  <si>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</si>
  <si>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</si>
  <si>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</si>
  <si>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</si>
  <si>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</si>
  <si>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</si>
  <si>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</si>
  <si>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</si>
  <si>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</si>
  <si>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</si>
  <si>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</si>
  <si>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</si>
  <si>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</si>
  <si>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</si>
  <si>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</si>
  <si>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</si>
  <si>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</si>
  <si>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</si>
  <si>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</si>
  <si>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</si>
  <si>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</si>
  <si>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</si>
  <si>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</si>
  <si>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</si>
  <si>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</si>
  <si>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</si>
  <si>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</si>
  <si>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</si>
  <si>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</si>
  <si>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</si>
  <si>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</si>
  <si>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</si>
  <si>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</si>
  <si>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</si>
  <si>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</si>
  <si>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</si>
  <si>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</si>
  <si>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</si>
  <si>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NUCLEAR</t>
  </si>
  <si>
    <t>URANIUM</t>
  </si>
  <si>
    <t>SLYCRK_1_UNIT 1</t>
  </si>
  <si>
    <t>Sly Creek PH</t>
  </si>
  <si>
    <t>WARNE_2_UNIT 2</t>
  </si>
  <si>
    <t>Warne Unit 2</t>
  </si>
  <si>
    <t>FAYETT_1_UNIT</t>
  </si>
  <si>
    <t>ARCADIAN RENEWABLE POWER CORP. - highly inactive</t>
  </si>
  <si>
    <t>16W020</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</si>
  <si>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</si>
  <si>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</si>
  <si>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</si>
  <si>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</si>
  <si>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</si>
  <si>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</si>
  <si>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</si>
  <si>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</si>
  <si>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</si>
  <si>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</si>
  <si>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</si>
  <si>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</si>
  <si>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</si>
  <si>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</si>
  <si>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</si>
  <si>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</si>
  <si>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</si>
  <si>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</si>
  <si>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</si>
  <si>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</si>
  <si>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</si>
  <si>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</si>
  <si>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</si>
  <si>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</si>
  <si>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</si>
  <si>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</si>
  <si>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</si>
  <si>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</si>
  <si>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</si>
  <si>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</si>
  <si>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</si>
  <si>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</si>
  <si>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</si>
  <si>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</si>
  <si>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</si>
  <si>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</si>
  <si>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</si>
  <si>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</si>
  <si>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</si>
  <si>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</si>
  <si>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</si>
  <si>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</si>
  <si>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</si>
  <si>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</si>
  <si>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</si>
  <si>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</si>
  <si>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</si>
  <si>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</si>
  <si>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</si>
  <si>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</si>
  <si>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</si>
  <si>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</si>
  <si>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</si>
  <si>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</si>
  <si>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</si>
  <si>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</si>
  <si>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</si>
  <si>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</si>
  <si>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</si>
  <si>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</si>
  <si>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</si>
  <si>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</si>
  <si>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</si>
  <si>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</si>
  <si>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</si>
  <si>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</si>
  <si>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</si>
  <si>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</si>
  <si>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</si>
  <si>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</si>
  <si>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</si>
  <si>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</si>
  <si>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</si>
  <si>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</si>
  <si>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</si>
  <si>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</si>
  <si>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</si>
  <si>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</si>
  <si>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</si>
  <si>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</si>
  <si>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</si>
  <si>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</si>
  <si>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</si>
  <si>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</si>
  <si>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</si>
  <si>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</si>
  <si>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</si>
  <si>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</si>
  <si>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</si>
  <si>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</si>
  <si>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</si>
  <si>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</si>
  <si>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</si>
  <si>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</si>
  <si>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</si>
  <si>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</si>
  <si>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</si>
  <si>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</si>
  <si>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</si>
  <si>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</si>
  <si>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</si>
  <si>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</si>
  <si>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</si>
  <si>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</si>
  <si>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</si>
  <si>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</si>
  <si>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</si>
  <si>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</si>
  <si>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</si>
  <si>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</si>
  <si>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</si>
  <si>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</si>
  <si>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</si>
  <si>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</si>
  <si>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</si>
  <si>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</si>
  <si>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</si>
  <si>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</si>
  <si>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</si>
  <si>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</si>
  <si>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</si>
  <si>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</si>
  <si>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</si>
  <si>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</si>
  <si>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</si>
  <si>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</si>
  <si>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</si>
  <si>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</si>
  <si>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</si>
  <si>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</si>
  <si>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</si>
  <si>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</si>
  <si>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</si>
  <si>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</si>
  <si>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</si>
  <si>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</si>
  <si>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</si>
  <si>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</si>
  <si>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</si>
  <si>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</si>
  <si>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</si>
  <si>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</si>
  <si>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</si>
  <si>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</si>
  <si>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</si>
  <si>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</si>
  <si>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</si>
  <si>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</si>
  <si>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</si>
  <si>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</si>
  <si>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</si>
  <si>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</si>
  <si>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</si>
  <si>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</si>
  <si>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</si>
  <si>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</si>
  <si>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</si>
  <si>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</si>
  <si>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</si>
  <si>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</si>
  <si>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</si>
  <si>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</si>
  <si>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</si>
  <si>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</si>
  <si>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</si>
  <si>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</si>
  <si>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</si>
  <si>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</si>
  <si>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</si>
  <si>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</si>
  <si>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</si>
  <si>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</si>
  <si>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</si>
  <si>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</si>
  <si>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</si>
  <si>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</si>
  <si>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</si>
  <si>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</si>
  <si>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</si>
  <si>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</si>
  <si>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</si>
  <si>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</si>
  <si>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</si>
  <si>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</si>
  <si>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</si>
  <si>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</si>
  <si>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</si>
  <si>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</si>
  <si>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</si>
  <si>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</si>
  <si>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</si>
  <si>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</si>
  <si>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</si>
  <si>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</si>
  <si>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</si>
  <si>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</si>
  <si>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</si>
  <si>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</si>
  <si>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</si>
  <si>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</si>
  <si>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</si>
  <si>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</si>
  <si>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</si>
  <si>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</si>
  <si>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</si>
  <si>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</si>
  <si>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</si>
  <si>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</si>
  <si>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</si>
  <si>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</si>
  <si>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</si>
  <si>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</si>
  <si>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</si>
  <si>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</si>
  <si>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</si>
  <si>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</si>
  <si>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</si>
  <si>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</si>
  <si>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</si>
  <si>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</si>
  <si>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</si>
  <si>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</si>
  <si>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</si>
  <si>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</si>
  <si>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</si>
  <si>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</si>
  <si>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</si>
  <si>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</si>
  <si>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</si>
  <si>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</si>
  <si>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</si>
  <si>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</si>
  <si>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</si>
  <si>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</si>
  <si>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</si>
  <si>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</si>
  <si>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</si>
  <si>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</si>
  <si>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</si>
  <si>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</si>
  <si>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</si>
  <si>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</si>
  <si>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</si>
  <si>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</si>
  <si>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</si>
  <si>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</si>
  <si>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</si>
  <si>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</si>
  <si>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</si>
  <si>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</si>
  <si>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</si>
  <si>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</si>
  <si>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</si>
  <si>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</si>
  <si>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</si>
  <si>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</si>
  <si>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</si>
  <si>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</si>
  <si>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</si>
  <si>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</si>
  <si>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</si>
  <si>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</si>
  <si>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</si>
  <si>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</si>
  <si>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</si>
  <si>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</si>
  <si>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</si>
  <si>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</si>
  <si>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</si>
  <si>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</si>
  <si>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</si>
  <si>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</si>
  <si>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</si>
  <si>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</si>
  <si>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</si>
  <si>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</si>
  <si>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</si>
  <si>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</si>
  <si>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</si>
  <si>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</si>
  <si>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</si>
  <si>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</si>
  <si>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</si>
  <si>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</si>
  <si>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</si>
  <si>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</si>
  <si>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</si>
  <si>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</si>
  <si>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</si>
  <si>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</si>
  <si>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</si>
  <si>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</si>
  <si>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</si>
  <si>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</si>
  <si>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</si>
  <si>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</si>
  <si>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</si>
  <si>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</si>
  <si>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</si>
  <si>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</si>
  <si>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</si>
  <si>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</si>
  <si>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</si>
  <si>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</si>
  <si>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</si>
  <si>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</si>
  <si>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</si>
  <si>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</si>
  <si>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</si>
  <si>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</si>
  <si>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</si>
  <si>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</si>
  <si>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</si>
  <si>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</si>
  <si>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</si>
  <si>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</si>
  <si>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</si>
  <si>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</si>
  <si>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</si>
  <si>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</si>
  <si>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</si>
  <si>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</si>
  <si>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</si>
  <si>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</si>
  <si>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</si>
  <si>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</si>
  <si>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</si>
  <si>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</si>
  <si>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</si>
  <si>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</si>
  <si>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</si>
  <si>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</si>
  <si>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</si>
  <si>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</si>
  <si>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</si>
  <si>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</si>
  <si>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</si>
  <si>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</si>
  <si>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</si>
  <si>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</si>
  <si>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</si>
  <si>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</si>
  <si>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</si>
  <si>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</si>
  <si>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</si>
  <si>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</si>
  <si>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</si>
  <si>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</si>
  <si>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</si>
  <si>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</si>
  <si>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</si>
  <si>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</si>
  <si>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</si>
  <si>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</si>
  <si>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</si>
  <si>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</si>
  <si>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</si>
  <si>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</si>
  <si>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</si>
  <si>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</si>
  <si>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</si>
  <si>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</si>
  <si>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</si>
  <si>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</si>
  <si>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</si>
  <si>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</si>
  <si>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</si>
  <si>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</si>
  <si>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</si>
  <si>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</si>
  <si>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</si>
  <si>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</si>
  <si>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</si>
  <si>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</si>
  <si>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</si>
  <si>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</si>
  <si>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</si>
  <si>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</si>
  <si>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</si>
  <si>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</si>
  <si>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</si>
  <si>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</si>
  <si>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</si>
  <si>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</si>
  <si>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</si>
  <si>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</si>
  <si>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</si>
  <si>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</si>
  <si>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</si>
  <si>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</si>
  <si>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</si>
  <si>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</si>
  <si>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</si>
  <si>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</si>
  <si>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</si>
  <si>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</si>
  <si>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</si>
  <si>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</si>
  <si>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</si>
  <si>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</si>
  <si>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</si>
  <si>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</si>
  <si>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</si>
  <si>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</si>
  <si>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</si>
  <si>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</si>
  <si>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</si>
  <si>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</si>
  <si>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</si>
  <si>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</si>
  <si>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</si>
  <si>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</si>
  <si>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</si>
  <si>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</si>
  <si>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</si>
  <si>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</si>
  <si>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</si>
  <si>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</si>
  <si>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</si>
  <si>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</si>
  <si>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</si>
  <si>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</si>
  <si>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</si>
  <si>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</si>
  <si>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</si>
  <si>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</si>
  <si>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</si>
  <si>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</si>
  <si>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</si>
  <si>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</si>
  <si>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</si>
  <si>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</si>
  <si>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</si>
  <si>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</si>
  <si>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</si>
  <si>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</si>
  <si>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</si>
  <si>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</si>
  <si>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</si>
  <si>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</si>
  <si>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</si>
  <si>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</si>
  <si>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</si>
  <si>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</si>
  <si>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</si>
  <si>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</si>
  <si>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</si>
  <si>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</si>
  <si>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</si>
  <si>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</si>
  <si>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</si>
  <si>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</si>
  <si>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</si>
  <si>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</si>
  <si>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</si>
  <si>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</si>
  <si>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</si>
  <si>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</si>
  <si>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</si>
  <si>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</si>
  <si>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</si>
  <si>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</si>
  <si>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</si>
  <si>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</si>
  <si>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</si>
  <si>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</si>
  <si>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</si>
  <si>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</si>
  <si>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</si>
  <si>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</si>
  <si>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</si>
  <si>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</si>
  <si>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</si>
  <si>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</si>
  <si>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</si>
  <si>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</si>
  <si>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</si>
  <si>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</si>
  <si>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</si>
  <si>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</si>
  <si>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</si>
  <si>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</si>
  <si>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</si>
  <si>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</si>
  <si>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</si>
  <si>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</si>
  <si>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</si>
  <si>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</si>
  <si>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</si>
  <si>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</si>
  <si>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</si>
  <si>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</si>
  <si>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</si>
  <si>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</si>
  <si>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</si>
  <si>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</si>
  <si>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</si>
  <si>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</si>
  <si>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</si>
  <si>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</si>
  <si>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</si>
  <si>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</si>
  <si>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</si>
  <si>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</si>
  <si>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</si>
  <si>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</si>
  <si>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</si>
  <si>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</si>
  <si>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</si>
  <si>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</si>
  <si>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</si>
  <si>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</si>
  <si>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</si>
  <si>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</si>
  <si>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</si>
  <si>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</si>
  <si>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</si>
  <si>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</si>
  <si>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</si>
  <si>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</si>
  <si>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</si>
  <si>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</si>
  <si>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</si>
  <si>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</si>
  <si>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</si>
  <si>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</si>
  <si>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</si>
  <si>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</si>
  <si>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</si>
  <si>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</si>
  <si>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</si>
  <si>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</si>
  <si>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</si>
  <si>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</si>
  <si>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</si>
  <si>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</si>
  <si>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</si>
  <si>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</si>
  <si>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</si>
  <si>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</si>
  <si>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</si>
  <si>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</si>
  <si>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</si>
  <si>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</si>
  <si>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</si>
  <si>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</si>
  <si>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</si>
  <si>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</si>
  <si>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</si>
  <si>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</si>
  <si>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</si>
  <si>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</si>
  <si>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</si>
  <si>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</si>
  <si>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</si>
  <si>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</si>
  <si>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</si>
  <si>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</si>
  <si>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</si>
  <si>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</si>
  <si>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</si>
  <si>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</si>
  <si>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</si>
  <si>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</si>
  <si>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</si>
  <si>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</si>
  <si>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</si>
  <si>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</si>
  <si>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</si>
  <si>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</si>
  <si>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</si>
  <si>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</si>
  <si>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</si>
  <si>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</si>
  <si>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</si>
  <si>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</si>
  <si>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</si>
  <si>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</si>
  <si>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</si>
  <si>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</si>
  <si>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</si>
  <si>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</si>
  <si>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</si>
  <si>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</si>
  <si>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</si>
  <si>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</si>
  <si>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</si>
  <si>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</si>
  <si>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</si>
  <si>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</si>
  <si>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</si>
  <si>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</si>
  <si>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</si>
  <si>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</si>
  <si>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</si>
  <si>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</si>
  <si>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</si>
  <si>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</si>
  <si>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</si>
  <si>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</si>
  <si>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</si>
  <si>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</si>
  <si>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</si>
  <si>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</si>
  <si>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</si>
  <si>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</si>
  <si>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</si>
  <si>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</si>
  <si>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</si>
  <si>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</si>
  <si>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</si>
  <si>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</si>
  <si>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</si>
  <si>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</si>
  <si>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</si>
  <si>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</si>
  <si>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</si>
  <si>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</si>
  <si>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</si>
  <si>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</si>
  <si>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</si>
  <si>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</si>
  <si>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</si>
  <si>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</si>
  <si>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</si>
  <si>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</si>
  <si>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</si>
  <si>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</si>
  <si>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</si>
  <si>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</si>
  <si>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</si>
  <si>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</si>
  <si>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</si>
  <si>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</si>
  <si>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</si>
  <si>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</si>
  <si>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</si>
  <si>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</si>
  <si>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</si>
  <si>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</si>
  <si>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</si>
  <si>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</si>
  <si>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</si>
  <si>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</si>
  <si>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</si>
  <si>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</si>
  <si>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</si>
  <si>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</si>
  <si>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</si>
  <si>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</si>
  <si>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</si>
  <si>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</si>
  <si>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</si>
  <si>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</si>
  <si>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</si>
  <si>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</si>
  <si>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</si>
  <si>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</si>
  <si>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</si>
  <si>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</si>
  <si>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</si>
  <si>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</si>
  <si>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</si>
  <si>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</si>
  <si>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</si>
  <si>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</si>
  <si>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</si>
  <si>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</si>
  <si>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</si>
  <si>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</si>
  <si>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</si>
  <si>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</si>
  <si>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</si>
  <si>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</si>
  <si>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</si>
  <si>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</si>
  <si>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</si>
  <si>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</si>
  <si>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</si>
  <si>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</si>
  <si>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</si>
  <si>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</si>
  <si>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</si>
  <si>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</si>
  <si>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</si>
  <si>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</si>
  <si>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</si>
  <si>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</si>
  <si>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</si>
  <si>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</si>
  <si>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</si>
  <si>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</si>
  <si>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</si>
  <si>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</si>
  <si>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</si>
  <si>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</si>
  <si>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</si>
  <si>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</si>
  <si>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</si>
  <si>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</si>
  <si>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</si>
  <si>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</si>
  <si>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</si>
  <si>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</si>
  <si>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</si>
  <si>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</si>
  <si>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</si>
  <si>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</si>
  <si>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</si>
  <si>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</si>
  <si>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</si>
  <si>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</si>
  <si>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</si>
  <si>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</si>
  <si>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</si>
  <si>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</si>
  <si>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</si>
  <si>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</si>
  <si>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</si>
  <si>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</si>
  <si>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</si>
  <si>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</si>
  <si>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</si>
  <si>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</si>
  <si>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</si>
  <si>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</si>
  <si>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</si>
  <si>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</si>
  <si>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</si>
  <si>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</si>
  <si>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</si>
  <si>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</si>
  <si>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</si>
  <si>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</si>
  <si>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</si>
  <si>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</si>
  <si>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</si>
  <si>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</si>
  <si>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</si>
  <si>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</si>
  <si>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</si>
  <si>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</si>
  <si>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</si>
  <si>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</si>
  <si>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</si>
  <si>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</si>
  <si>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</si>
  <si>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</si>
  <si>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</si>
  <si>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</si>
  <si>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</si>
  <si>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</si>
  <si>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</si>
  <si>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</si>
  <si>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</si>
  <si>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</si>
  <si>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</si>
  <si>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</si>
  <si>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</si>
  <si>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</si>
  <si>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</si>
  <si>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</si>
  <si>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</si>
  <si>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</si>
  <si>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</si>
  <si>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</si>
  <si>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</si>
  <si>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</si>
  <si>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</si>
  <si>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</si>
  <si>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</si>
  <si>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</si>
  <si>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</si>
  <si>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</si>
  <si>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</si>
  <si>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</si>
  <si>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</si>
  <si>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</si>
  <si>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</si>
  <si>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</si>
  <si>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</si>
  <si>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</si>
  <si>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</si>
  <si>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</si>
  <si>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</si>
  <si>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</si>
  <si>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</si>
  <si>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</si>
  <si>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</si>
  <si>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</si>
  <si>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</si>
  <si>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</si>
  <si>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</si>
  <si>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</si>
  <si>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</si>
  <si>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</si>
  <si>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</si>
  <si>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</si>
  <si>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</si>
  <si>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</si>
  <si>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</si>
  <si>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</si>
  <si>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</si>
  <si>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</si>
  <si>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</si>
  <si>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</si>
  <si>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</si>
  <si>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</si>
  <si>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</si>
  <si>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</si>
  <si>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</si>
  <si>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</si>
  <si>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</si>
  <si>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</si>
  <si>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</si>
  <si>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</si>
  <si>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</si>
  <si>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</si>
  <si>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</si>
  <si>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</si>
  <si>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</si>
  <si>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</si>
  <si>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</si>
  <si>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</si>
  <si>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</si>
  <si>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</si>
  <si>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</si>
  <si>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</si>
  <si>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</si>
  <si>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</si>
  <si>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</si>
  <si>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</si>
  <si>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</si>
  <si>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</si>
  <si>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</si>
  <si>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</si>
  <si>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</si>
  <si>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</si>
  <si>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</si>
  <si>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</si>
  <si>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</si>
  <si>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</si>
  <si>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</si>
  <si>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</si>
  <si>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</si>
  <si>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</si>
  <si>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</si>
  <si>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</si>
  <si>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</si>
  <si>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</si>
  <si>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</si>
  <si>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</si>
  <si>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</si>
  <si>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</si>
  <si>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</si>
  <si>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</si>
  <si>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</si>
  <si>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</si>
  <si>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</si>
  <si>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</si>
  <si>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</si>
  <si>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</si>
  <si>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</si>
  <si>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</si>
  <si>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</si>
  <si>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</si>
  <si>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</si>
  <si>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</si>
  <si>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</si>
  <si>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</si>
  <si>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</si>
  <si>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</si>
  <si>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</si>
  <si>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</si>
  <si>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</si>
  <si>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</si>
  <si>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</si>
  <si>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</si>
  <si>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</si>
  <si>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</si>
  <si>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</si>
  <si>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</si>
  <si>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</si>
  <si>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</si>
  <si>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</si>
  <si>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</si>
  <si>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</si>
  <si>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</si>
  <si>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</si>
  <si>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</si>
  <si>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</si>
  <si>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</si>
  <si>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</si>
  <si>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</si>
  <si>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</si>
  <si>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</si>
  <si>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</si>
  <si>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</si>
  <si>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</si>
  <si>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</si>
  <si>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</si>
  <si>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</si>
  <si>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</si>
  <si>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</si>
  <si>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</si>
  <si>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</si>
  <si>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</si>
  <si>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</si>
  <si>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</si>
  <si>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</si>
  <si>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</si>
  <si>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</si>
  <si>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</si>
  <si>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</si>
  <si>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</si>
  <si>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</si>
  <si>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</si>
  <si>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</si>
  <si>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</si>
  <si>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</si>
  <si>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</si>
  <si>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</si>
  <si>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</si>
  <si>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</si>
  <si>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</si>
  <si>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</si>
  <si>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</si>
  <si>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</si>
  <si>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</si>
  <si>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</si>
  <si>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</si>
  <si>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</si>
  <si>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</si>
  <si>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</si>
  <si>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</si>
  <si>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</si>
  <si>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</si>
  <si>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</si>
  <si>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</si>
  <si>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</si>
  <si>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</si>
  <si>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</si>
  <si>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</si>
  <si>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</si>
  <si>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</si>
  <si>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</si>
  <si>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</si>
  <si>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</si>
  <si>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</si>
  <si>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</si>
  <si>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</si>
  <si>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</si>
  <si>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</si>
  <si>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</si>
  <si>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</si>
  <si>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</si>
  <si>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</si>
  <si>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</si>
  <si>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</si>
  <si>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</si>
  <si>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</si>
  <si>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</si>
  <si>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</si>
  <si>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</si>
  <si>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</si>
  <si>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</si>
  <si>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</si>
  <si>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</si>
  <si>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</si>
  <si>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</si>
  <si>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</si>
  <si>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</si>
  <si>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</si>
  <si>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</si>
  <si>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</si>
  <si>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</si>
  <si>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</si>
  <si>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</si>
  <si>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</si>
  <si>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</si>
  <si>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</si>
  <si>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</si>
  <si>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</si>
  <si>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</si>
  <si>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</si>
  <si>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</si>
  <si>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</si>
  <si>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</si>
  <si>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</si>
  <si>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</si>
  <si>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</si>
  <si>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</si>
  <si>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</si>
  <si>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</si>
  <si>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</si>
  <si>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</si>
  <si>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</si>
  <si>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</si>
  <si>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</si>
  <si>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</si>
  <si>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</si>
  <si>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</si>
  <si>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</si>
  <si>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</si>
  <si>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</si>
  <si>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</si>
  <si>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</si>
  <si>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</si>
  <si>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</si>
  <si>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</si>
  <si>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</si>
  <si>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</si>
  <si>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</si>
  <si>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</si>
  <si>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</si>
  <si>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</si>
  <si>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</si>
  <si>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</si>
  <si>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</si>
  <si>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</si>
  <si>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</si>
  <si>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</si>
  <si>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</si>
  <si>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</si>
  <si>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</si>
  <si>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</si>
  <si>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</si>
  <si>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</si>
  <si>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</si>
  <si>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</si>
  <si>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</si>
  <si>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</si>
  <si>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</si>
  <si>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</si>
  <si>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</si>
  <si>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</si>
  <si>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</si>
  <si>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</si>
  <si>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</si>
  <si>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</si>
  <si>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</si>
  <si>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</si>
  <si>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</si>
  <si>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</si>
  <si>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</si>
  <si>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</si>
  <si>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</si>
  <si>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</si>
  <si>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</si>
  <si>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</si>
  <si>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</si>
  <si>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</si>
  <si>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</si>
  <si>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</si>
  <si>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</si>
  <si>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</si>
  <si>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</si>
  <si>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</si>
  <si>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</si>
  <si>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</si>
  <si>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</si>
  <si>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</si>
  <si>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</si>
  <si>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</si>
  <si>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</si>
  <si>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</si>
  <si>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</si>
  <si>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</si>
  <si>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</si>
  <si>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</si>
  <si>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</si>
  <si>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</si>
  <si>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</si>
  <si>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</si>
  <si>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</si>
  <si>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</si>
  <si>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</si>
  <si>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</si>
  <si>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</si>
  <si>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</si>
  <si>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</si>
  <si>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</si>
  <si>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</si>
  <si>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</si>
  <si>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</si>
  <si>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</si>
  <si>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</si>
  <si>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</si>
  <si>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</si>
  <si>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</si>
  <si>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</si>
  <si>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</si>
  <si>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</si>
  <si>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</si>
  <si>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</si>
  <si>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</si>
  <si>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</si>
  <si>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</si>
  <si>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</si>
  <si>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</si>
  <si>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</si>
  <si>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</si>
  <si>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</si>
  <si>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</si>
  <si>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</si>
  <si>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</si>
  <si>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</si>
  <si>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</si>
  <si>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</si>
  <si>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</si>
  <si>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</si>
  <si>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</si>
  <si>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</si>
  <si>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</si>
  <si>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</si>
  <si>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</si>
  <si>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</si>
  <si>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</si>
  <si>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</si>
  <si>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</si>
  <si>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</si>
  <si>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</si>
  <si>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</si>
  <si>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</si>
  <si>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</si>
  <si>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</si>
  <si>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</si>
  <si>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</si>
  <si>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</si>
  <si>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</si>
  <si>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</si>
  <si>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</si>
  <si>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</si>
  <si>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</si>
  <si>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</si>
  <si>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</si>
  <si>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</si>
  <si>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</si>
  <si>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</si>
  <si>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</si>
  <si>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</si>
  <si>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</si>
  <si>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</si>
  <si>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</si>
  <si>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</si>
  <si>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</si>
  <si>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</si>
  <si>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</si>
  <si>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</si>
  <si>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</si>
  <si>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</si>
  <si>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</si>
  <si>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</si>
  <si>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</si>
  <si>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</si>
  <si>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</si>
  <si>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</si>
  <si>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</si>
  <si>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</si>
  <si>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</si>
  <si>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</si>
  <si>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</si>
  <si>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</si>
  <si>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</si>
  <si>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</si>
  <si>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</si>
  <si>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</si>
  <si>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</si>
  <si>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</si>
  <si>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</si>
  <si>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</si>
  <si>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</si>
  <si>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</si>
  <si>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</si>
  <si>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</si>
  <si>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</si>
  <si>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</si>
  <si>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</si>
  <si>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</si>
  <si>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</si>
  <si>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</si>
  <si>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</si>
  <si>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</si>
  <si>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</si>
  <si>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</si>
  <si>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</si>
  <si>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</si>
  <si>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</si>
  <si>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</si>
  <si>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</si>
  <si>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</si>
  <si>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</si>
  <si>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</si>
  <si>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</si>
  <si>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</si>
  <si>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</si>
  <si>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</si>
  <si>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</si>
  <si>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</si>
  <si>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</si>
  <si>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</si>
  <si>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</si>
  <si>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</si>
  <si>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</si>
  <si>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</si>
  <si>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</si>
  <si>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</si>
  <si>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</si>
  <si>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</si>
  <si>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</si>
  <si>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</si>
  <si>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</si>
  <si>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</si>
  <si>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</si>
  <si>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</si>
  <si>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</si>
  <si>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</si>
  <si>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</si>
  <si>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</si>
  <si>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</si>
  <si>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</si>
  <si>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</si>
  <si>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</si>
  <si>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</si>
  <si>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</si>
  <si>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</si>
  <si>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</si>
  <si>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</si>
  <si>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</si>
  <si>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</si>
  <si>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</si>
  <si>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</si>
  <si>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</si>
  <si>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</si>
  <si>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</si>
  <si>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</si>
  <si>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</si>
  <si>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</si>
  <si>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</si>
  <si>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</si>
  <si>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</si>
  <si>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</si>
  <si>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</si>
  <si>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</si>
  <si>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</si>
  <si>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</si>
  <si>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</si>
  <si>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</si>
  <si>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</si>
  <si>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</si>
  <si>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</si>
  <si>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</si>
  <si>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</si>
  <si>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</si>
  <si>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</si>
  <si>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</si>
  <si>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</si>
  <si>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</si>
  <si>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</si>
  <si>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</si>
  <si>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</si>
  <si>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</si>
  <si>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</si>
  <si>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</si>
  <si>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</si>
  <si>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</si>
  <si>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</si>
  <si>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</si>
  <si>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</si>
  <si>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</si>
  <si>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</si>
  <si>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</si>
  <si>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</si>
  <si>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</si>
  <si>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</si>
  <si>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</si>
  <si>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</si>
  <si>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</si>
  <si>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</si>
  <si>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</si>
  <si>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</si>
  <si>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</si>
  <si>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</si>
  <si>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</si>
  <si>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</si>
  <si>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</si>
  <si>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</si>
  <si>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</si>
  <si>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</si>
  <si>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</si>
  <si>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</si>
  <si>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</si>
  <si>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</si>
  <si>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</si>
  <si>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</si>
  <si>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</si>
  <si>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</si>
  <si>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</si>
  <si>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</si>
  <si>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</si>
  <si>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</si>
  <si>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</si>
  <si>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</si>
  <si>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</si>
  <si>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</si>
  <si>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</si>
  <si>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</si>
  <si>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</si>
  <si>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</si>
  <si>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</si>
  <si>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</si>
  <si>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</si>
  <si>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</si>
  <si>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</si>
  <si>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</si>
  <si>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</si>
  <si>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</si>
  <si>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</si>
  <si>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</si>
  <si>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</si>
  <si>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</si>
  <si>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</si>
  <si>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</si>
  <si>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</si>
  <si>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</si>
  <si>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</si>
  <si>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</si>
  <si>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</si>
  <si>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</si>
  <si>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</si>
  <si>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</si>
  <si>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</si>
  <si>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</si>
  <si>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</si>
  <si>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</si>
  <si>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</si>
  <si>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</si>
  <si>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</si>
  <si>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</si>
  <si>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</si>
  <si>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</si>
  <si>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</si>
  <si>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</si>
  <si>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</si>
  <si>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</si>
  <si>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</si>
  <si>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</si>
  <si>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</si>
  <si>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</si>
  <si>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</si>
  <si>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</si>
  <si>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</si>
  <si>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</si>
  <si>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</si>
  <si>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</si>
  <si>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</si>
  <si>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</si>
  <si>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</si>
  <si>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</si>
  <si>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</si>
  <si>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</si>
  <si>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</si>
  <si>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</si>
  <si>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</si>
  <si>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</si>
  <si>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</si>
  <si>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</si>
  <si>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</si>
  <si>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</si>
  <si>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</si>
  <si>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</si>
  <si>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</si>
  <si>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</si>
  <si>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</si>
  <si>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</si>
  <si>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</si>
  <si>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</si>
  <si>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</si>
  <si>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</si>
  <si>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</si>
  <si>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</si>
  <si>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</si>
  <si>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</si>
  <si>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</si>
  <si>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</si>
  <si>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</si>
  <si>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</si>
  <si>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</si>
  <si>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</si>
  <si>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</si>
  <si>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</si>
  <si>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</si>
  <si>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</si>
  <si>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</si>
  <si>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</si>
  <si>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</si>
  <si>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</si>
  <si>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</si>
  <si>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</si>
  <si>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</si>
  <si>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</si>
  <si>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</si>
  <si>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</si>
  <si>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</si>
  <si>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</si>
  <si>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</si>
  <si>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</si>
  <si>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</si>
  <si>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</si>
  <si>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</si>
  <si>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</si>
  <si>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</si>
  <si>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</si>
  <si>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</si>
  <si>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</si>
  <si>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</si>
  <si>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</si>
  <si>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</si>
  <si>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</si>
  <si>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</si>
  <si>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</si>
  <si>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</si>
  <si>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</si>
  <si>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</si>
  <si>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</si>
  <si>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</si>
  <si>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</si>
  <si>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</si>
  <si>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</si>
  <si>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</si>
  <si>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</si>
  <si>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</si>
  <si>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</si>
  <si>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</si>
  <si>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</si>
  <si>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</si>
  <si>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</si>
  <si>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</si>
  <si>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</si>
  <si>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</si>
  <si>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</si>
  <si>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</si>
  <si>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</si>
  <si>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</si>
  <si>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</si>
  <si>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</si>
  <si>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</si>
  <si>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</si>
  <si>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</si>
  <si>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</si>
  <si>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</si>
  <si>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</si>
  <si>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</si>
  <si>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</si>
  <si>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</si>
  <si>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</si>
  <si>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</si>
  <si>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</si>
  <si>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</si>
  <si>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</si>
  <si>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</si>
  <si>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</si>
  <si>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</si>
  <si>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</si>
  <si>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</si>
  <si>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</si>
  <si>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</si>
  <si>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</si>
  <si>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</si>
  <si>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</si>
  <si>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</si>
  <si>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</si>
  <si>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</si>
  <si>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</si>
  <si>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</si>
  <si>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</si>
  <si>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</si>
  <si>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</si>
  <si>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</si>
  <si>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</si>
  <si>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</si>
  <si>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</si>
  <si>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</si>
  <si>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</si>
  <si>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</si>
  <si>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</si>
  <si>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</si>
  <si>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</si>
  <si>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</si>
  <si>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</si>
  <si>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</si>
  <si>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</si>
  <si>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</si>
  <si>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</si>
  <si>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</si>
  <si>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</si>
  <si>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</si>
  <si>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</si>
  <si>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</si>
  <si>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</si>
  <si>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</si>
  <si>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</si>
  <si>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</si>
  <si>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</si>
  <si>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</si>
  <si>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</si>
  <si>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</si>
  <si>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</si>
  <si>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</si>
  <si>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</si>
  <si>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</si>
  <si>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</si>
  <si>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</si>
  <si>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</si>
  <si>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</si>
  <si>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</si>
  <si>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</si>
  <si>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</si>
  <si>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</si>
  <si>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</si>
  <si>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</si>
  <si>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</si>
  <si>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</si>
  <si>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</si>
  <si>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</si>
  <si>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</si>
  <si>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</si>
  <si>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</si>
  <si>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</si>
  <si>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</si>
  <si>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</si>
  <si>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</si>
  <si>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</si>
  <si>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</si>
  <si>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</si>
  <si>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</si>
  <si>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</si>
  <si>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</si>
  <si>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</si>
  <si>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</si>
  <si>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</si>
  <si>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</si>
  <si>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</si>
  <si>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</si>
  <si>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</si>
  <si>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</si>
  <si>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</si>
  <si>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</si>
  <si>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</si>
  <si>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</si>
  <si>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</si>
  <si>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</si>
  <si>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</si>
  <si>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</si>
  <si>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</si>
  <si>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</si>
  <si>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</si>
  <si>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</si>
  <si>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</si>
  <si>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</si>
  <si>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</si>
  <si>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</si>
  <si>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</si>
  <si>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</si>
  <si>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</si>
  <si>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</si>
  <si>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</si>
  <si>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</si>
  <si>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</si>
  <si>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</si>
  <si>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</si>
  <si>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</si>
  <si>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</si>
  <si>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</si>
  <si>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</si>
  <si>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</si>
  <si>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</si>
  <si>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</si>
  <si>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</si>
  <si>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</si>
  <si>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</si>
  <si>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</si>
  <si>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</si>
  <si>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</si>
  <si>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</si>
  <si>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</si>
  <si>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</si>
  <si>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</si>
  <si>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</si>
  <si>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</si>
  <si>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</si>
  <si>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</si>
  <si>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</si>
  <si>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</si>
  <si>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</si>
  <si>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</si>
  <si>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</si>
  <si>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</si>
  <si>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</si>
  <si>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</si>
  <si>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</si>
  <si>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</si>
  <si>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</si>
  <si>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</si>
  <si>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</si>
  <si>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</si>
  <si>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</si>
  <si>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</si>
  <si>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</si>
  <si>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</si>
  <si>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</si>
  <si>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</si>
  <si>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</si>
  <si>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</si>
  <si>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</si>
  <si>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</si>
  <si>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</si>
  <si>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</si>
  <si>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</si>
  <si>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</si>
  <si>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</si>
  <si>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</si>
  <si>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</si>
  <si>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</si>
  <si>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</si>
  <si>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</si>
  <si>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</si>
  <si>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</si>
  <si>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</si>
  <si>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</si>
  <si>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</si>
  <si>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</si>
  <si>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</si>
  <si>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</si>
  <si>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</si>
  <si>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</si>
  <si>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</si>
  <si>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</si>
  <si>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</si>
  <si>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</si>
  <si>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</si>
  <si>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</si>
  <si>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</si>
  <si>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</si>
  <si>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</si>
  <si>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</si>
  <si>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</si>
  <si>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</si>
  <si>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</si>
  <si>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</si>
  <si>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</si>
  <si>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</si>
  <si>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</si>
  <si>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</si>
  <si>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</si>
  <si>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</si>
  <si>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</si>
  <si>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</si>
  <si>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</si>
  <si>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</si>
  <si>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</si>
  <si>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</si>
  <si>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</si>
  <si>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</si>
  <si>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</si>
  <si>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</si>
  <si>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</si>
  <si>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</si>
  <si>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</si>
  <si>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</si>
  <si>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</si>
  <si>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</si>
  <si>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</si>
  <si>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</si>
  <si>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</si>
  <si>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</si>
  <si>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</si>
  <si>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</si>
  <si>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</si>
  <si>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</si>
  <si>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</si>
  <si>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</si>
  <si>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</si>
  <si>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</si>
  <si>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</si>
  <si>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</si>
  <si>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</si>
  <si>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</si>
  <si>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</si>
  <si>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</si>
  <si>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</si>
  <si>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</si>
  <si>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</si>
  <si>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</si>
  <si>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</si>
  <si>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</si>
  <si>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</si>
  <si>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</si>
  <si>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</si>
  <si>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</si>
  <si>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</si>
  <si>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</si>
  <si>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</si>
  <si>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</si>
  <si>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</si>
  <si>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</si>
  <si>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</si>
  <si>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</si>
  <si>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</si>
  <si>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</si>
  <si>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</si>
  <si>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</si>
  <si>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</si>
  <si>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</si>
  <si>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</si>
  <si>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</si>
  <si>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</si>
  <si>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</si>
  <si>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</si>
  <si>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</si>
  <si>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</si>
  <si>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</si>
  <si>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</si>
  <si>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</si>
  <si>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</si>
  <si>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</si>
  <si>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</si>
  <si>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</si>
  <si>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</si>
  <si>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</si>
  <si>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</si>
  <si>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</si>
  <si>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</si>
  <si>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</si>
  <si>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</si>
  <si>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</si>
  <si>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</si>
  <si>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</si>
  <si>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</si>
  <si>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</si>
  <si>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</si>
  <si>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</si>
  <si>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</si>
  <si>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</si>
  <si>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</si>
  <si>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</si>
  <si>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</si>
  <si>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</si>
  <si>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</si>
  <si>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</si>
  <si>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</si>
  <si>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</si>
  <si>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</si>
  <si>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</si>
  <si>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</si>
  <si>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</si>
  <si>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</si>
  <si>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</si>
  <si>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</si>
  <si>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</si>
  <si>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</si>
  <si>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</si>
  <si>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</si>
  <si>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</si>
  <si>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</si>
  <si>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</si>
  <si>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</si>
  <si>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</si>
  <si>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</si>
  <si>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</si>
  <si>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</si>
  <si>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</si>
  <si>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</si>
  <si>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</si>
  <si>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</si>
  <si>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</si>
  <si>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</si>
  <si>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</si>
  <si>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</si>
  <si>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</si>
  <si>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</si>
  <si>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</si>
  <si>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</si>
  <si>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</si>
  <si>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</si>
  <si>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</si>
  <si>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</si>
  <si>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</si>
  <si>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</si>
  <si>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</si>
  <si>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</si>
  <si>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</si>
  <si>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</si>
  <si>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</si>
  <si>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</si>
  <si>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</si>
  <si>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</si>
  <si>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</si>
  <si>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</si>
  <si>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</si>
  <si>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</si>
  <si>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</si>
  <si>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</si>
  <si>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</si>
  <si>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</si>
  <si>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</si>
  <si>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</si>
  <si>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</si>
  <si>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</si>
  <si>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</si>
  <si>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</si>
  <si>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</si>
  <si>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</si>
  <si>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</si>
  <si>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</si>
  <si>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</si>
  <si>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</si>
  <si>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</si>
  <si>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</si>
  <si>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</si>
  <si>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</si>
  <si>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</si>
  <si>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</si>
  <si>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</si>
  <si>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</si>
  <si>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</si>
  <si>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</si>
  <si>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</si>
  <si>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</si>
  <si>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</si>
  <si>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</si>
  <si>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</si>
  <si>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</si>
  <si>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</si>
  <si>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</si>
  <si>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</si>
  <si>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</si>
  <si>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</si>
  <si>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</si>
  <si>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</si>
  <si>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</si>
  <si>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</si>
  <si>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</si>
  <si>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</si>
  <si>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</si>
  <si>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</si>
  <si>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</si>
  <si>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</si>
  <si>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</si>
  <si>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</si>
  <si>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</si>
  <si>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</si>
  <si>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</si>
  <si>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</si>
  <si>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</si>
  <si>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</si>
  <si>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</si>
  <si>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</si>
  <si>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</si>
  <si>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</si>
  <si>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</si>
  <si>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</si>
  <si>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</si>
  <si>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</si>
  <si>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</si>
  <si>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</si>
  <si>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</si>
  <si>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</si>
  <si>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</si>
  <si>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</si>
  <si>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</si>
  <si>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</si>
  <si>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</si>
  <si>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</si>
  <si>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</si>
  <si>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</si>
  <si>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</si>
  <si>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</si>
  <si>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</si>
  <si>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</si>
  <si>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</si>
  <si>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</si>
  <si>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</si>
  <si>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</si>
  <si>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</si>
  <si>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</si>
  <si>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</si>
  <si>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</si>
  <si>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</si>
  <si>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</si>
  <si>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</si>
  <si>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</si>
  <si>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</si>
  <si>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</si>
  <si>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</si>
  <si>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</si>
  <si>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</si>
  <si>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</si>
  <si>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</si>
  <si>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</si>
  <si>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</si>
  <si>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</si>
  <si>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</si>
  <si>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</si>
  <si>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</si>
  <si>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</si>
  <si>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</si>
  <si>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</si>
  <si>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</si>
  <si>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</si>
  <si>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</si>
  <si>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</si>
  <si>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</si>
  <si>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</si>
  <si>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</si>
  <si>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</si>
  <si>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</si>
  <si>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</si>
  <si>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</si>
  <si>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</si>
  <si>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</si>
  <si>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</si>
  <si>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</si>
  <si>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</si>
  <si>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</si>
  <si>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</si>
  <si>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</si>
  <si>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</si>
  <si>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</si>
  <si>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</si>
  <si>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</si>
  <si>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</si>
  <si>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</si>
  <si>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</si>
  <si>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</si>
  <si>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</si>
  <si>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</si>
  <si>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</si>
  <si>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</si>
  <si>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</si>
  <si>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</si>
  <si>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</si>
  <si>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</si>
  <si>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</si>
  <si>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</si>
  <si>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</si>
  <si>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</si>
  <si>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</si>
  <si>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</si>
  <si>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</si>
  <si>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</si>
  <si>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</si>
  <si>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</si>
  <si>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</si>
  <si>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</si>
  <si>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</si>
  <si>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</si>
  <si>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</si>
  <si>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</si>
  <si>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</si>
  <si>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</si>
  <si>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</si>
  <si>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</si>
  <si>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</si>
  <si>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</si>
  <si>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</si>
  <si>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</si>
  <si>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</si>
  <si>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</si>
  <si>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</si>
  <si>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</si>
  <si>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</si>
  <si>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</si>
  <si>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</si>
  <si>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</si>
  <si>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</si>
  <si>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</si>
  <si>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</si>
  <si>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</si>
  <si>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</si>
  <si>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</si>
  <si>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</si>
  <si>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</si>
  <si>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</si>
  <si>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</si>
  <si>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</si>
  <si>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</si>
  <si>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</si>
  <si>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</si>
  <si>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</si>
  <si>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</si>
  <si>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</si>
  <si>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</si>
  <si>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</si>
  <si>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</si>
  <si>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</si>
  <si>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</si>
  <si>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</si>
  <si>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</si>
  <si>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</si>
  <si>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</si>
  <si>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</si>
  <si>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</si>
  <si>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</si>
  <si>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</si>
  <si>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</si>
  <si>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</si>
  <si>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</si>
  <si>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</si>
  <si>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</si>
  <si>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</si>
  <si>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</si>
  <si>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</si>
  <si>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</si>
  <si>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</si>
  <si>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</si>
  <si>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</si>
  <si>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</si>
  <si>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</si>
  <si>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</si>
  <si>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</si>
  <si>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</si>
  <si>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</si>
  <si>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</si>
  <si>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</si>
  <si>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</si>
  <si>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</si>
  <si>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</si>
  <si>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</si>
  <si>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</si>
  <si>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</si>
  <si>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</si>
  <si>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</si>
  <si>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</si>
  <si>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</si>
  <si>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</si>
  <si>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</si>
  <si>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</si>
  <si>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</si>
  <si>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</si>
  <si>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</si>
  <si>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</si>
  <si>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</si>
  <si>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</si>
  <si>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</si>
  <si>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</si>
  <si>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</si>
  <si>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</si>
  <si>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</si>
  <si>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</si>
  <si>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</si>
  <si>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</si>
  <si>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</si>
  <si>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</si>
  <si>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</si>
  <si>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</si>
  <si>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</si>
  <si>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</si>
  <si>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</si>
  <si>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</si>
  <si>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</si>
  <si>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</si>
  <si>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</si>
  <si>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</si>
  <si>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</si>
  <si>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</si>
  <si>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</si>
  <si>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</si>
  <si>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</si>
  <si>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</si>
  <si>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</si>
  <si>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</si>
  <si>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</si>
  <si>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</si>
  <si>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</si>
  <si>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</si>
  <si>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</si>
  <si>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</si>
  <si>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</si>
  <si>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</si>
  <si>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</si>
  <si>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</si>
  <si>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</si>
  <si>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</si>
  <si>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</si>
  <si>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</si>
  <si>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</si>
  <si>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</si>
  <si>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</si>
  <si>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</si>
  <si>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</si>
  <si>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</si>
  <si>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</si>
  <si>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</si>
  <si>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</si>
  <si>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</si>
  <si>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</si>
  <si>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</si>
  <si>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</si>
  <si>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</si>
  <si>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</si>
  <si>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</si>
  <si>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</si>
  <si>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</si>
  <si>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</si>
  <si>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</si>
  <si>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</si>
  <si>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</si>
  <si>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</si>
  <si>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</si>
  <si>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</si>
  <si>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</si>
  <si>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</si>
  <si>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</si>
  <si>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</si>
  <si>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</si>
  <si>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</si>
  <si>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</si>
  <si>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</si>
  <si>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</si>
  <si>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</si>
  <si>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</si>
  <si>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</si>
  <si>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</si>
  <si>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</si>
  <si>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</si>
  <si>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</si>
  <si>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</si>
  <si>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</si>
  <si>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</si>
  <si>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</si>
  <si>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</si>
  <si>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</si>
  <si>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</si>
  <si>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</si>
  <si>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</si>
  <si>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</si>
  <si>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</si>
  <si>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</si>
  <si>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</si>
  <si>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</si>
  <si>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</si>
  <si>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</si>
  <si>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</si>
  <si>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</si>
  <si>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</si>
  <si>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</si>
  <si>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</si>
  <si>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</si>
  <si>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</si>
  <si>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</si>
  <si>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</si>
  <si>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</si>
  <si>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</si>
  <si>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</si>
  <si>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</si>
  <si>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</si>
  <si>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</si>
  <si>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</si>
  <si>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</si>
  <si>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</si>
  <si>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</si>
  <si>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</si>
  <si>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</si>
  <si>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</si>
  <si>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</si>
  <si>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</si>
  <si>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</si>
  <si>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</si>
  <si>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</si>
  <si>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</si>
  <si>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</si>
  <si>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</si>
  <si>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</si>
  <si>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</si>
  <si>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</si>
  <si>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</si>
  <si>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</si>
  <si>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</si>
  <si>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</si>
  <si>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</si>
  <si>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</si>
  <si>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</si>
  <si>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</si>
  <si>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</si>
  <si>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</si>
  <si>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</si>
  <si>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</si>
  <si>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</si>
  <si>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</si>
  <si>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</si>
  <si>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</si>
  <si>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</si>
  <si>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</si>
  <si>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</si>
  <si>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</si>
  <si>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</si>
  <si>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</si>
  <si>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</si>
  <si>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</si>
  <si>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</si>
  <si>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</si>
  <si>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</si>
  <si>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</si>
  <si>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</si>
  <si>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</si>
  <si>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</si>
  <si>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</si>
  <si>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</si>
  <si>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</si>
  <si>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</si>
  <si>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</si>
  <si>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</si>
  <si>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</si>
  <si>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</si>
  <si>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</si>
  <si>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</si>
  <si>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</si>
  <si>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</si>
  <si>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</si>
  <si>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</si>
  <si>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</si>
  <si>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</si>
  <si>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</si>
  <si>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</si>
  <si>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</si>
  <si>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</si>
  <si>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</si>
  <si>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</si>
  <si>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</si>
  <si>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</si>
  <si>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</si>
  <si>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</si>
  <si>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</si>
  <si>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</si>
  <si>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</si>
  <si>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</si>
  <si>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</si>
  <si>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</si>
  <si>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</si>
  <si>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</si>
  <si>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</si>
  <si>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</si>
  <si>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</si>
  <si>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</si>
  <si>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</si>
  <si>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</si>
  <si>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</si>
  <si>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</si>
  <si>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</si>
  <si>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</si>
  <si>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</si>
  <si>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</si>
  <si>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</si>
  <si>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</si>
  <si>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</si>
  <si>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</si>
  <si>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</si>
  <si>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</si>
  <si>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</si>
  <si>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</si>
  <si>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</si>
  <si>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</si>
  <si>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</si>
  <si>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</si>
  <si>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</si>
  <si>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</si>
  <si>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</si>
  <si>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</si>
  <si>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</si>
  <si>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</si>
  <si>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</si>
  <si>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</si>
  <si>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</si>
  <si>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</si>
  <si>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</si>
  <si>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</si>
  <si>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</si>
  <si>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</si>
  <si>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</si>
  <si>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</si>
  <si>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</si>
  <si>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</si>
  <si>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</si>
  <si>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</si>
  <si>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</si>
  <si>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</si>
  <si>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</si>
  <si>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</si>
  <si>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</si>
  <si>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</si>
  <si>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</si>
  <si>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</si>
  <si>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</si>
  <si>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</si>
  <si>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</si>
  <si>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</si>
  <si>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</si>
  <si>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</si>
  <si>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</si>
  <si>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</si>
  <si>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</si>
  <si>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</si>
  <si>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</si>
  <si>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</si>
  <si>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</si>
  <si>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</si>
  <si>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</si>
  <si>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</si>
  <si>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</si>
  <si>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</si>
  <si>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</si>
  <si>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</si>
  <si>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</si>
  <si>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</si>
  <si>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</si>
  <si>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</si>
  <si>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</si>
  <si>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</si>
  <si>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</si>
  <si>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</si>
  <si>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</si>
  <si>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</si>
  <si>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</si>
  <si>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</si>
  <si>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</si>
  <si>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</si>
  <si>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</si>
  <si>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</si>
  <si>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</si>
  <si>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</si>
  <si>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</si>
  <si>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</si>
  <si>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</si>
  <si>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</si>
  <si>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</si>
  <si>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</si>
  <si>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</si>
  <si>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</si>
  <si>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</si>
  <si>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</si>
  <si>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</si>
  <si>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</si>
  <si>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</si>
  <si>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</si>
  <si>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</si>
  <si>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</si>
  <si>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</si>
  <si>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</si>
  <si>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</si>
  <si>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</si>
  <si>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</si>
  <si>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</si>
  <si>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</si>
  <si>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</si>
  <si>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</si>
  <si>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</si>
  <si>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</si>
  <si>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</si>
  <si>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</si>
  <si>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</si>
  <si>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</si>
  <si>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</si>
  <si>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</si>
  <si>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</si>
  <si>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</si>
  <si>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</si>
  <si>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</si>
  <si>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</si>
  <si>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</si>
  <si>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</si>
  <si>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</si>
  <si>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</si>
  <si>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</si>
  <si>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</si>
  <si>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</si>
  <si>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</si>
  <si>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</si>
  <si>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</si>
  <si>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</si>
  <si>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</si>
  <si>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</si>
  <si>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</si>
  <si>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</si>
  <si>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</si>
  <si>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</si>
  <si>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</si>
  <si>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</si>
  <si>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</si>
  <si>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</si>
  <si>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</si>
  <si>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</si>
  <si>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</si>
  <si>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</si>
  <si>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</si>
  <si>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</si>
  <si>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</si>
  <si>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</si>
  <si>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</si>
  <si>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</si>
  <si>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</si>
  <si>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</si>
  <si>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</si>
  <si>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</si>
  <si>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</si>
  <si>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</si>
  <si>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</si>
  <si>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</si>
  <si>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</si>
  <si>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</si>
  <si>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</si>
  <si>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</si>
  <si>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</si>
  <si>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</si>
  <si>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</si>
  <si>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</si>
  <si>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</si>
  <si>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</si>
  <si>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</si>
  <si>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</si>
  <si>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</si>
  <si>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</si>
  <si>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</si>
  <si>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</si>
  <si>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</si>
  <si>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</si>
  <si>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</si>
  <si>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</si>
  <si>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</si>
  <si>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</si>
  <si>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</si>
  <si>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</si>
  <si>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</si>
  <si>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</si>
  <si>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</si>
  <si>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</si>
  <si>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</si>
  <si>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</si>
  <si>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</si>
  <si>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</si>
  <si>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</si>
  <si>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</si>
  <si>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</si>
  <si>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</si>
  <si>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</si>
  <si>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</si>
  <si>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</si>
  <si>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Bay Area</t>
  </si>
  <si>
    <t>NP26</t>
  </si>
  <si>
    <t>San Diego</t>
  </si>
  <si>
    <t>LA Basin</t>
  </si>
  <si>
    <t>Big Creek-Ventura</t>
  </si>
  <si>
    <t>Notes</t>
  </si>
  <si>
    <t>Inc Small PV (GWh)</t>
  </si>
  <si>
    <t>Incremental CHP (GWh)</t>
  </si>
  <si>
    <t>Wind</t>
  </si>
  <si>
    <t>RPS</t>
  </si>
  <si>
    <t>PGE</t>
  </si>
  <si>
    <t>Mid demand</t>
  </si>
  <si>
    <t>Installed</t>
  </si>
  <si>
    <t>impact MW</t>
  </si>
  <si>
    <t>impact GWh</t>
  </si>
  <si>
    <t>capacity MW</t>
  </si>
  <si>
    <t>This average forecasted capacity factor for PV was calculated from mid case forecasted energy and installed capacity for the 3 IOUs aggregated together.</t>
  </si>
  <si>
    <t>Demand side resources</t>
  </si>
  <si>
    <t>Supply side resources</t>
  </si>
  <si>
    <t>Path 26</t>
  </si>
  <si>
    <t>GEYSERS AIDLIN AGGREGATE</t>
  </si>
  <si>
    <t>North</t>
  </si>
  <si>
    <t>NCNB</t>
  </si>
  <si>
    <t>FC</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</si>
  <si>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</si>
  <si>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</si>
  <si>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</si>
  <si>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</si>
  <si>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</si>
  <si>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</si>
  <si>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</si>
  <si>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</si>
  <si>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</si>
  <si>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</si>
  <si>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</si>
  <si>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ALAMEDA GT UNIT 1</t>
  </si>
  <si>
    <t>ALAMEDA GT UNIT 2</t>
  </si>
  <si>
    <t>CAISO System</t>
  </si>
  <si>
    <t>ANAHEIM COMBUSTION TURBINE</t>
  </si>
  <si>
    <t>ANTELOPE QFS</t>
  </si>
  <si>
    <t>BALCH 1 PH UNIT 1</t>
  </si>
  <si>
    <t>BALCH 2 PH UNIT 2</t>
  </si>
  <si>
    <t>BALCH 2 PH UNIT 3</t>
  </si>
  <si>
    <t>BANKPP_2_NSPIN</t>
  </si>
  <si>
    <t>BARRE QFS</t>
  </si>
  <si>
    <t>CALPINE  AMERICAN  I COGEN.</t>
  </si>
  <si>
    <t>Kern</t>
  </si>
  <si>
    <t>GEYSERS BEAR CANYON AGGREGATE</t>
  </si>
  <si>
    <t>BEARDSLEY HYDRO</t>
  </si>
  <si>
    <t>Stockton</t>
  </si>
  <si>
    <t>BELDEN HYDRO</t>
  </si>
  <si>
    <t>Sierra</t>
  </si>
  <si>
    <t>BISHOP CREEK PLANT 2  AND  6</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</si>
  <si>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</si>
  <si>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</si>
  <si>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</si>
  <si>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</si>
  <si>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</si>
  <si>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</si>
  <si>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</si>
  <si>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</si>
  <si>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</si>
  <si>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</si>
  <si>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</si>
  <si>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</si>
  <si>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</si>
  <si>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</si>
  <si>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</si>
  <si>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</si>
  <si>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</si>
  <si>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</si>
  <si>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</si>
  <si>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</si>
  <si>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</si>
  <si>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</si>
  <si>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</si>
  <si>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</si>
  <si>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</si>
  <si>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</si>
  <si>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</si>
  <si>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</si>
  <si>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</si>
  <si>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</si>
  <si>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</si>
  <si>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</si>
  <si>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</si>
  <si>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</si>
  <si>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</si>
  <si>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</si>
  <si>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</si>
  <si>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</si>
  <si>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</si>
  <si>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</si>
  <si>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</si>
  <si>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</si>
  <si>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</si>
  <si>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</si>
  <si>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Lime Saddle Hydro</t>
  </si>
  <si>
    <t>SMALL QF AGGREGATION - OAKLAND</t>
  </si>
  <si>
    <t>Centerville</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</si>
  <si>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</si>
  <si>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</si>
  <si>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</si>
  <si>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</si>
  <si>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</si>
  <si>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</si>
  <si>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</si>
  <si>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</si>
  <si>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</si>
  <si>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</si>
  <si>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</si>
  <si>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</si>
  <si>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</si>
  <si>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</si>
  <si>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</si>
  <si>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</si>
  <si>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</si>
  <si>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</si>
  <si>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</si>
  <si>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</si>
  <si>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</si>
  <si>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</si>
  <si>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</si>
  <si>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</si>
  <si>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</si>
  <si>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</si>
  <si>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</si>
  <si>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</si>
  <si>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</si>
  <si>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</si>
  <si>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</si>
  <si>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</si>
  <si>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</si>
  <si>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</si>
  <si>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</si>
  <si>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</si>
  <si>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</si>
  <si>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</si>
  <si>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</si>
  <si>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</si>
  <si>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</si>
  <si>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</si>
  <si>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</si>
  <si>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</si>
  <si>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</si>
  <si>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</si>
  <si>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</si>
  <si>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</si>
  <si>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</si>
  <si>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</si>
  <si>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</si>
  <si>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</si>
  <si>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</si>
  <si>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</si>
  <si>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EL CAJON</t>
  </si>
  <si>
    <t>El Dorado Unit 1</t>
  </si>
  <si>
    <t>El Dorado Unit 2</t>
  </si>
  <si>
    <t>ELECTRA PH UNIT 1 &amp; 2 AGGREGATE</t>
  </si>
  <si>
    <t>STONEY GORGE HYDRO AGGREGATE</t>
  </si>
  <si>
    <t>ELK HILLS COMBINED CYCLE (AGGREGATE)</t>
  </si>
  <si>
    <t>ELLIS QFS</t>
  </si>
  <si>
    <t>EL SEGUNDO GEN STA. UNIT 4</t>
  </si>
  <si>
    <t>ENCINA UNIT 1</t>
  </si>
  <si>
    <t>ENCINA UNIT 2</t>
  </si>
  <si>
    <t>ENCINA UNIT 3</t>
  </si>
  <si>
    <t>ENCINA UNIT 4</t>
  </si>
  <si>
    <t>ENCINA UNIT 5</t>
  </si>
  <si>
    <t>ENCINA GAS TURBINE UNIT 1</t>
  </si>
  <si>
    <t>MMC Escondido Aggregate</t>
  </si>
  <si>
    <t>FONTANALYTLE CREEK POWERHOUSE P</t>
  </si>
  <si>
    <t>ETIWANDA QFS</t>
  </si>
  <si>
    <t>ETIWANDA RECOVERY HYDRO</t>
  </si>
  <si>
    <t>MN Mid Valley Genco  LLC</t>
  </si>
  <si>
    <t>ETIWANDA GEN STA. UNIT 3</t>
  </si>
  <si>
    <t>ETIWANDA GEN STA. UNIT 4</t>
  </si>
  <si>
    <t>EXCHEQUER HYDRO</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</si>
  <si>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</si>
  <si>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</si>
  <si>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</si>
  <si>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</si>
  <si>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</si>
  <si>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</si>
  <si>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</si>
  <si>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</si>
  <si>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</si>
  <si>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</si>
  <si>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</si>
  <si>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</si>
  <si>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</si>
  <si>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</si>
  <si>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</si>
  <si>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</si>
  <si>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</si>
  <si>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</si>
  <si>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</si>
  <si>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</si>
  <si>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</si>
  <si>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</si>
  <si>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</si>
  <si>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</si>
  <si>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</si>
  <si>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</si>
  <si>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</si>
  <si>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</si>
  <si>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</si>
  <si>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</si>
  <si>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</si>
  <si>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</si>
  <si>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</si>
  <si>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</si>
  <si>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</si>
  <si>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</si>
  <si>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</si>
  <si>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</si>
  <si>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</si>
  <si>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</si>
  <si>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</si>
  <si>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</si>
  <si>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</si>
  <si>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</si>
  <si>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</si>
  <si>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</si>
  <si>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</si>
  <si>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</si>
  <si>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</si>
  <si>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</si>
  <si>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</si>
  <si>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</si>
  <si>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</si>
  <si>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</si>
  <si>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</si>
  <si>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</si>
  <si>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</si>
  <si>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</si>
  <si>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</si>
  <si>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</si>
  <si>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</si>
  <si>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</si>
  <si>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</si>
  <si>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</si>
  <si>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</si>
  <si>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JOHANNA QF</t>
  </si>
  <si>
    <t>TRES VAQUEROS WIND QF UNITS</t>
  </si>
  <si>
    <t>KANAKA</t>
  </si>
  <si>
    <t>KEARNY GAS TURBINE UNIT 1</t>
  </si>
  <si>
    <t>KEARNY GT2 AGGREGATE</t>
  </si>
  <si>
    <t>KEARNY GT3 AGGREGATE</t>
  </si>
  <si>
    <t>KELLY RIDGE HYDRO</t>
  </si>
  <si>
    <t>KERKHOFF PH 1 UNIT #1</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</si>
  <si>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</si>
  <si>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</si>
  <si>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</si>
  <si>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</si>
  <si>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</si>
  <si>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</si>
  <si>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</si>
  <si>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</si>
  <si>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 FRESA QFS</t>
  </si>
  <si>
    <t>LAGUNA BELL QFS</t>
  </si>
  <si>
    <t>La Paloma Generating Plant Unit #1</t>
  </si>
  <si>
    <t>La Paloma Generating Plant Unit #2</t>
  </si>
  <si>
    <t>La Paloma Generating Plant Unit #3</t>
  </si>
  <si>
    <t>LA PALOMA GENERATING PLANT, UNIT #4</t>
  </si>
  <si>
    <t>LARKSPUR PEAKER UNIT 1</t>
  </si>
  <si>
    <t>LARKSPUR PEAKER UNIT 2</t>
  </si>
  <si>
    <t>City of Sunnyvale Unit 1 and 2</t>
  </si>
  <si>
    <t>Pastoria Energy Facility</t>
  </si>
  <si>
    <t>LIGHTHIPE QFS</t>
  </si>
  <si>
    <t>Lambie Energy Center, Unit #1</t>
  </si>
  <si>
    <t>Creed Energy Center, Unit #1</t>
  </si>
  <si>
    <t>Goose Haven Energy Center, Unit #1</t>
  </si>
  <si>
    <t>Los Medanos Energy Center AGGREGATE</t>
  </si>
  <si>
    <t>LODI GAS TURBINE</t>
  </si>
  <si>
    <t>KRCD Malaga Peaking Plant</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</si>
  <si>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</si>
  <si>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</si>
  <si>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</si>
  <si>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</si>
  <si>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</si>
  <si>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</si>
  <si>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</si>
  <si>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</si>
  <si>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</si>
  <si>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</si>
  <si>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</si>
  <si>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</si>
  <si>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</si>
  <si>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</si>
  <si>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</si>
  <si>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</si>
  <si>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</si>
  <si>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</si>
  <si>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</si>
  <si>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</si>
  <si>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</si>
  <si>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</si>
  <si>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</si>
  <si>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</si>
  <si>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</si>
  <si>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</si>
  <si>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</si>
  <si>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</si>
  <si>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</si>
  <si>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</si>
  <si>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</si>
  <si>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</si>
  <si>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</si>
  <si>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</si>
  <si>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</si>
  <si>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</si>
  <si>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</si>
  <si>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</si>
  <si>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</si>
  <si>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</si>
  <si>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NARROWS PH 1 UNIT</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</si>
  <si>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</si>
  <si>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</si>
  <si>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</si>
  <si>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</si>
  <si>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</si>
  <si>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</si>
  <si>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</si>
  <si>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</si>
  <si>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</si>
  <si>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</si>
  <si>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</si>
  <si>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</si>
  <si>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</si>
  <si>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</si>
  <si>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</si>
  <si>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</si>
  <si>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</si>
  <si>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</si>
  <si>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</si>
  <si>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</si>
  <si>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</si>
  <si>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</si>
  <si>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</si>
  <si>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</si>
  <si>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</si>
  <si>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</si>
  <si>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</si>
  <si>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</si>
  <si>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</si>
  <si>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</si>
  <si>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</si>
  <si>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</si>
  <si>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</si>
  <si>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</si>
  <si>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</si>
  <si>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</si>
  <si>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</si>
  <si>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</si>
  <si>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</si>
  <si>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</si>
  <si>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</si>
  <si>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</si>
  <si>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</si>
  <si>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</si>
  <si>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</si>
  <si>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</si>
  <si>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</si>
  <si>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</si>
  <si>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</si>
  <si>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</si>
  <si>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</si>
  <si>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</si>
  <si>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</si>
  <si>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</si>
  <si>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</si>
  <si>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</si>
  <si>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</si>
  <si>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</si>
  <si>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</si>
  <si>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</si>
  <si>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</si>
  <si>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</si>
  <si>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</si>
  <si>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</si>
  <si>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</si>
  <si>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</si>
  <si>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</si>
  <si>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</si>
  <si>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</si>
  <si>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</si>
  <si>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</si>
  <si>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</si>
  <si>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</si>
  <si>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</si>
  <si>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</si>
  <si>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</si>
  <si>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</si>
  <si>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</si>
  <si>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</si>
  <si>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</si>
  <si>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</si>
  <si>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</si>
  <si>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</si>
  <si>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</si>
  <si>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</si>
  <si>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</si>
  <si>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</si>
  <si>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</si>
  <si>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</si>
  <si>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</si>
  <si>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</si>
  <si>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</si>
  <si>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</si>
  <si>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</si>
  <si>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</si>
  <si>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NORTH AMERICAN ARGUS</t>
  </si>
  <si>
    <t>NORTH AMERICAN WESTEND</t>
  </si>
  <si>
    <t>SEA WEST WIND QF AGGREGATION</t>
  </si>
  <si>
    <t>DYNAMIS COGEN</t>
  </si>
  <si>
    <t>SAN LUIS (GIANELLI) PUMP-GEN (AGGREGATE)</t>
  </si>
  <si>
    <t>SLY CREEK HYDRO</t>
  </si>
  <si>
    <t>SONOMA POWER PLANT</t>
  </si>
  <si>
    <t>E.F. OXNARD INCORPORATED</t>
  </si>
  <si>
    <t>PROCTER  AND  GAMBLE OXNARD II</t>
  </si>
  <si>
    <t>SANTA CLARA QFS</t>
  </si>
  <si>
    <t>WILLIAMETTE</t>
  </si>
  <si>
    <t>SAND BAR HYDRO</t>
  </si>
  <si>
    <t>Sonoma County Landfill</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</si>
  <si>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</si>
  <si>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</si>
  <si>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</si>
  <si>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</si>
  <si>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</si>
  <si>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</si>
  <si>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</si>
  <si>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</si>
  <si>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</si>
  <si>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</si>
  <si>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</si>
  <si>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</si>
  <si>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</si>
  <si>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</si>
  <si>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</si>
  <si>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</si>
  <si>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Sunrise Power Project AGGREGATE II</t>
  </si>
  <si>
    <t>MIDWAY SUNSET COGENERATION PLANT</t>
  </si>
  <si>
    <t>SUTTER POWER PLANT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</si>
  <si>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</si>
  <si>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</si>
  <si>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</si>
  <si>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</si>
  <si>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</si>
  <si>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</si>
  <si>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</si>
  <si>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</si>
  <si>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</si>
  <si>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</si>
  <si>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</si>
  <si>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</si>
  <si>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</si>
  <si>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</si>
  <si>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</si>
  <si>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</si>
  <si>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</si>
  <si>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</si>
  <si>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</si>
  <si>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</si>
  <si>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</si>
  <si>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SMALL QF AGGREGATION - VACAVILLE</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</si>
  <si>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</si>
  <si>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</si>
  <si>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</si>
  <si>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</si>
  <si>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</si>
  <si>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</si>
  <si>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</si>
  <si>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</si>
  <si>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</si>
  <si>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</si>
  <si>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</si>
  <si>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</si>
  <si>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</si>
  <si>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</si>
  <si>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</si>
  <si>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</si>
  <si>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</si>
  <si>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</si>
  <si>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</si>
  <si>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</si>
  <si>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</si>
  <si>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</si>
  <si>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</si>
  <si>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</si>
  <si>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</si>
  <si>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</si>
  <si>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</si>
  <si>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</si>
  <si>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</si>
  <si>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</si>
  <si>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</si>
  <si>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ALTA4B_2_CPCW6</t>
  </si>
  <si>
    <t>CPC West - Alta Wind 6</t>
  </si>
  <si>
    <t>Alta Wind VI, LLC</t>
  </si>
  <si>
    <t>BLAST_1_WIND</t>
  </si>
  <si>
    <t>Mountain View IV Wind</t>
  </si>
  <si>
    <t>Mountain View Power Partners IV, LLC</t>
  </si>
  <si>
    <t>LNCSTR_6_SOLAR</t>
  </si>
  <si>
    <t>Sierra Sun Tower Unit #1</t>
  </si>
  <si>
    <t>Sierra Sun Tower, LLC</t>
  </si>
  <si>
    <r>
      <t xml:space="preserve">CALIFORNIA ENERGY COMMISSION - ENERGY FACILITY STATUS
</t>
    </r>
    <r>
      <rPr>
        <b/>
        <sz val="14"/>
        <rFont val="Verdana"/>
        <family val="2"/>
      </rPr>
      <t>Updated 10/15/2008</t>
    </r>
  </si>
  <si>
    <t>Color Key</t>
  </si>
  <si>
    <t xml:space="preserve"> Operational Status</t>
  </si>
  <si>
    <t xml:space="preserve"> Approved</t>
  </si>
  <si>
    <t xml:space="preserve"> In Review</t>
  </si>
  <si>
    <t xml:space="preserve"> On hold, suspended. According to developers, the new on-line date</t>
  </si>
  <si>
    <t xml:space="preserve"> On-line date is expected to be delayed beyond the date shown</t>
  </si>
  <si>
    <t xml:space="preserve"> Not Approved/Denied</t>
  </si>
  <si>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</si>
  <si>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</si>
  <si>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</si>
  <si>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</si>
  <si>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</si>
  <si>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</si>
  <si>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</si>
  <si>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</si>
  <si>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</si>
  <si>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</si>
  <si>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</si>
  <si>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</si>
  <si>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</si>
  <si>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</si>
  <si>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</si>
  <si>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</si>
  <si>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</si>
  <si>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</si>
  <si>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</si>
  <si>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</si>
  <si>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</si>
  <si>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</si>
  <si>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</si>
  <si>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</si>
  <si>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</si>
  <si>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</si>
  <si>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</si>
  <si>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</si>
  <si>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</si>
  <si>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</si>
  <si>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</si>
  <si>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</si>
  <si>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</si>
  <si>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</si>
  <si>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</si>
  <si>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</si>
  <si>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</si>
  <si>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</si>
  <si>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</si>
  <si>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</si>
  <si>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</si>
  <si>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</si>
  <si>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</si>
  <si>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</si>
  <si>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</si>
  <si>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</si>
  <si>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</si>
  <si>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</si>
  <si>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</si>
  <si>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</si>
  <si>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</si>
  <si>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</si>
  <si>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</si>
  <si>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</si>
  <si>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</si>
  <si>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</si>
  <si>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</si>
  <si>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</si>
  <si>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</si>
  <si>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</si>
  <si>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</si>
  <si>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</si>
  <si>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</si>
  <si>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</si>
  <si>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</si>
  <si>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</si>
  <si>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</si>
  <si>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</si>
  <si>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</si>
  <si>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</si>
  <si>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</si>
  <si>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</si>
  <si>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</si>
  <si>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</si>
  <si>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</si>
  <si>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</si>
  <si>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</si>
  <si>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</si>
  <si>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</si>
  <si>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</si>
  <si>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</si>
  <si>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</si>
  <si>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</si>
  <si>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</si>
  <si>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</si>
  <si>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</si>
  <si>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</si>
  <si>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</si>
  <si>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</si>
  <si>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</si>
  <si>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</si>
  <si>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</si>
  <si>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</si>
  <si>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</si>
  <si>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</si>
  <si>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</si>
  <si>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</si>
  <si>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</si>
  <si>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</si>
  <si>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</si>
  <si>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</si>
  <si>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</si>
  <si>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</si>
  <si>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</si>
  <si>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</si>
  <si>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</si>
  <si>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</si>
  <si>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</si>
  <si>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</si>
  <si>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</si>
  <si>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</si>
  <si>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</si>
  <si>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</si>
  <si>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</si>
  <si>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</si>
  <si>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</si>
  <si>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</si>
  <si>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</si>
  <si>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</si>
  <si>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</si>
  <si>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</si>
  <si>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</si>
  <si>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</si>
  <si>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</si>
  <si>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</si>
  <si>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</si>
  <si>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</si>
  <si>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</si>
  <si>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</si>
  <si>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</si>
  <si>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</si>
  <si>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</si>
  <si>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</si>
  <si>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</si>
  <si>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Sunrise Comb. Cycle Amendment - Texaco &amp; Edison Mission E.</t>
  </si>
  <si>
    <t>1998-AFC-04C</t>
  </si>
  <si>
    <t>11/19/2001</t>
  </si>
  <si>
    <t>12/21/2001</t>
  </si>
  <si>
    <t>06/03</t>
  </si>
  <si>
    <t>Woodland II - Modesto Irrigation District</t>
  </si>
  <si>
    <t>2001-SPPE-01</t>
  </si>
  <si>
    <t>Stanislaus</t>
  </si>
  <si>
    <t>09/19/2001</t>
  </si>
  <si>
    <t>02/21/2002</t>
  </si>
  <si>
    <t>06/06/2003</t>
  </si>
  <si>
    <t>1999-AFC-08</t>
  </si>
  <si>
    <t>03/21/2001</t>
  </si>
  <si>
    <t>04/27/2001</t>
  </si>
  <si>
    <t>07/15/2003</t>
  </si>
  <si>
    <t>Elk Hills - Sempra &amp; Oxy</t>
  </si>
  <si>
    <t>1999-AFC-01</t>
  </si>
  <si>
    <t>06/08/2001</t>
  </si>
  <si>
    <t>12/02</t>
  </si>
  <si>
    <t>07/24/2003</t>
  </si>
  <si>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</si>
  <si>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</si>
  <si>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</si>
  <si>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</si>
  <si>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</si>
  <si>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</si>
  <si>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</si>
  <si>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</si>
  <si>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</si>
  <si>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</si>
  <si>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</si>
  <si>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</si>
  <si>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</si>
  <si>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</si>
  <si>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</si>
  <si>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</si>
  <si>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</si>
  <si>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</si>
  <si>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</si>
  <si>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</si>
  <si>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</si>
  <si>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</si>
  <si>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</si>
  <si>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</si>
  <si>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</si>
  <si>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</si>
  <si>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</si>
  <si>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</si>
  <si>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</si>
  <si>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</si>
  <si>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</si>
  <si>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</si>
  <si>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</si>
  <si>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</si>
  <si>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</si>
  <si>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</si>
  <si>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</si>
  <si>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</si>
  <si>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</si>
  <si>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</si>
  <si>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</si>
  <si>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</si>
  <si>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</si>
  <si>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</si>
  <si>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</si>
  <si>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</si>
  <si>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</si>
  <si>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</si>
  <si>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</si>
  <si>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</si>
  <si>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</si>
  <si>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</si>
  <si>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</si>
  <si>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</si>
  <si>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</si>
  <si>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</si>
  <si>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</si>
  <si>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</si>
  <si>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</si>
  <si>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</si>
  <si>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</si>
  <si>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</si>
  <si>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</si>
  <si>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</si>
  <si>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</si>
  <si>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</si>
  <si>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</si>
  <si>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</si>
  <si>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</si>
  <si>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</si>
  <si>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</si>
  <si>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</si>
  <si>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</si>
  <si>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</si>
  <si>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</si>
  <si>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</si>
  <si>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</si>
  <si>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</si>
  <si>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</si>
  <si>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</si>
  <si>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</si>
  <si>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</si>
  <si>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</si>
  <si>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</si>
  <si>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</si>
  <si>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</si>
  <si>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</si>
  <si>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</si>
  <si>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</si>
  <si>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</si>
  <si>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</si>
  <si>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</si>
  <si>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</si>
  <si>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</si>
  <si>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</si>
  <si>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</si>
  <si>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</si>
  <si>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</si>
  <si>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</si>
  <si>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</si>
  <si>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</si>
  <si>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</si>
  <si>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2001-AFC-17</t>
  </si>
  <si>
    <t>12/17/2003</t>
  </si>
  <si>
    <t>8/26/2005</t>
  </si>
  <si>
    <t>12/05</t>
  </si>
  <si>
    <t>Starwood Midway - Starwood Power</t>
  </si>
  <si>
    <t>2006-AFC-10</t>
  </si>
  <si>
    <t>1/16/2008</t>
  </si>
  <si>
    <t>9/23/2008</t>
  </si>
  <si>
    <t>06/09</t>
  </si>
  <si>
    <t>EIF Panoche - Energy Investors Fund</t>
  </si>
  <si>
    <t>2006-AFC-5</t>
  </si>
  <si>
    <t>12/19/2007</t>
  </si>
  <si>
    <t>2/15/2008</t>
  </si>
  <si>
    <t>11/09</t>
  </si>
  <si>
    <t>Otay Mesa - Calpine</t>
  </si>
  <si>
    <t>1999-AFC-05</t>
  </si>
  <si>
    <t>4/18/2001</t>
  </si>
  <si>
    <t>Orange Grove AFC - J Power USA</t>
  </si>
  <si>
    <t>2008-AFC-4</t>
  </si>
  <si>
    <t>1999-AFC-8C</t>
  </si>
  <si>
    <t>na</t>
  </si>
  <si>
    <t>10/11/2006</t>
  </si>
  <si>
    <t>2/23/2009</t>
  </si>
  <si>
    <t>Humboldt Power Plant - PG&amp;E</t>
  </si>
  <si>
    <t>2006-AFC-7</t>
  </si>
  <si>
    <t>10/11/2008</t>
  </si>
  <si>
    <t>2006-AFC-9</t>
  </si>
  <si>
    <t>Colusa</t>
  </si>
  <si>
    <t>4/23/2008</t>
  </si>
  <si>
    <t>7/28/2008</t>
  </si>
  <si>
    <t>2008-SPPE-1</t>
  </si>
  <si>
    <t>2/25/2009</t>
  </si>
  <si>
    <t>Canyon Power Plant - City of Anaheim</t>
  </si>
  <si>
    <t>Mariposa Peaker Project - Diamond Energy</t>
  </si>
  <si>
    <t>Alameda</t>
  </si>
  <si>
    <r>
      <t>Approved and/or Under Construction</t>
    </r>
    <r>
      <rPr>
        <sz val="9"/>
        <rFont val="Verdana"/>
        <family val="2"/>
      </rPr>
      <t xml:space="preserve">
(Arranged By Date Approved)</t>
    </r>
  </si>
  <si>
    <t>Los Esteros Combined Cycle - Calpine</t>
  </si>
  <si>
    <t>El Centro Unit 3 Repower - IID</t>
  </si>
  <si>
    <t>N/A</t>
  </si>
  <si>
    <t>Russell City - Calpine &amp; GE</t>
  </si>
  <si>
    <t>10/03/2007</t>
  </si>
  <si>
    <t>Walnut Creek Peaker - Edison Mission E.</t>
  </si>
  <si>
    <t>Tracy Combined Cycle - GWF</t>
  </si>
  <si>
    <t>Lodi Energy Center - NCPA</t>
  </si>
  <si>
    <t>Marsh Landing Generating Station</t>
  </si>
  <si>
    <t>Sentinel Peaker - CPV</t>
  </si>
  <si>
    <t>Oakley Generating Station (formerly Contra Costa)</t>
  </si>
  <si>
    <r>
      <t>Approved</t>
    </r>
    <r>
      <rPr>
        <b/>
        <sz val="9"/>
        <rFont val="Verdana"/>
        <family val="2"/>
      </rPr>
      <t xml:space="preserve"> (Large Solar) </t>
    </r>
  </si>
  <si>
    <r>
      <t>Approved and/or Under Pre-Construction</t>
    </r>
    <r>
      <rPr>
        <sz val="9"/>
        <rFont val="Verdana"/>
        <family val="2"/>
      </rPr>
      <t xml:space="preserve">
(Arranged By Date Approved)</t>
    </r>
  </si>
  <si>
    <t>Pre-
Construction</t>
  </si>
  <si>
    <t>Avenal Energy - Avenal Power Center, LLC</t>
  </si>
  <si>
    <t>Hanford Combined-Cycle Power Plant (Hanford Energy Peaker Project Expansion) - GWF Energy LLC</t>
  </si>
  <si>
    <t>Beacon Solar Energy Project - Beacon Solar LLC</t>
  </si>
  <si>
    <t>Watson Cogeneration Steam and Electric Reliability Project</t>
  </si>
  <si>
    <t>Carlsbad - NRG</t>
  </si>
  <si>
    <t>2007-AFC-6</t>
  </si>
  <si>
    <r>
      <t xml:space="preserve">Approved and On Hold - Not Under Construction
</t>
    </r>
    <r>
      <rPr>
        <sz val="9"/>
        <rFont val="Verdana"/>
        <family val="2"/>
      </rPr>
      <t>(Arranged By Online Date)</t>
    </r>
  </si>
  <si>
    <t>Morro Bay - L.S. Power</t>
  </si>
  <si>
    <t>On Hold</t>
  </si>
  <si>
    <t>San Luis Obispo</t>
  </si>
  <si>
    <r>
      <t>08/02/2004
Note:</t>
    </r>
    <r>
      <rPr>
        <sz val="8"/>
        <rFont val="Verdana"/>
        <family val="2"/>
      </rPr>
      <t>Commission decision not finalized pending NPDS permit</t>
    </r>
  </si>
  <si>
    <t>Pastoria Simple Cycle Addition - Calpine</t>
  </si>
  <si>
    <t/>
  </si>
  <si>
    <t>12/18/2006</t>
  </si>
  <si>
    <t>01/06</t>
  </si>
  <si>
    <t>Blythe II - Caithness</t>
  </si>
  <si>
    <t>12/14/2005</t>
  </si>
  <si>
    <t>Approved and available for construction.</t>
  </si>
  <si>
    <t>Tesla - FPL</t>
  </si>
  <si>
    <t>06/16/2004</t>
  </si>
  <si>
    <t>San Joaquin Valley - Calpine</t>
  </si>
  <si>
    <t>01/14/2004</t>
  </si>
  <si>
    <t>Cancelled</t>
  </si>
  <si>
    <t>Not Built and License Expired</t>
  </si>
  <si>
    <t>Three Mountain - Covanta</t>
  </si>
  <si>
    <t>Shasta</t>
  </si>
  <si>
    <t>05/16/2001</t>
  </si>
  <si>
    <t>Western Midway Sunset - Edison Mission Energy</t>
  </si>
  <si>
    <t>United Golden Gate - El Paso</t>
  </si>
  <si>
    <t>San Mateo</t>
  </si>
  <si>
    <t>03/07/2001</t>
  </si>
  <si>
    <t>Pegasus Energy - Delta Power</t>
  </si>
  <si>
    <t>Chula Vista 2 - Ramco</t>
  </si>
  <si>
    <t>06/13/2001</t>
  </si>
  <si>
    <t>Hanford Energy Park - GWF</t>
  </si>
  <si>
    <t>04/11/2001</t>
  </si>
  <si>
    <t>Valero Cogen (Unit 2) - Valero</t>
  </si>
  <si>
    <t>02/01/2007</t>
  </si>
  <si>
    <t>San Francisco</t>
  </si>
  <si>
    <t>10/03/2006</t>
  </si>
  <si>
    <t>East Altamont - Calpine</t>
  </si>
  <si>
    <t>08/20/2003</t>
  </si>
  <si>
    <t>8/11</t>
  </si>
  <si>
    <t>07/05</t>
  </si>
  <si>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</si>
  <si>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</si>
  <si>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</si>
  <si>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</si>
  <si>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</si>
  <si>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</si>
  <si>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</si>
  <si>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</si>
  <si>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</si>
  <si>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</si>
  <si>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</si>
  <si>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</si>
  <si>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</si>
  <si>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MMC Chula Vista Replacement -
MMC Energy, Inc.</t>
  </si>
  <si>
    <t>2007-AFC-4</t>
  </si>
  <si>
    <t>Replacement</t>
  </si>
  <si>
    <t>8/10/2007</t>
  </si>
  <si>
    <t>NOT APPROVED TOTAL</t>
  </si>
  <si>
    <r>
      <t xml:space="preserve">Projects In Review
</t>
    </r>
    <r>
      <rPr>
        <sz val="9"/>
        <rFont val="Verdana"/>
        <family val="2"/>
      </rPr>
      <t>(Arranged In Alphabetical Order)</t>
    </r>
  </si>
  <si>
    <t>Estimated Decision Date</t>
  </si>
  <si>
    <t xml:space="preserve">Kern </t>
  </si>
  <si>
    <t>CPV Vaca-Station - Competitive Power Ventures Inc.</t>
  </si>
  <si>
    <t>2008-AFC-11</t>
  </si>
  <si>
    <t>Greenfield</t>
  </si>
  <si>
    <t>Rio Mesa Solar Electric Generating Facility                     BrightSource Energy</t>
  </si>
  <si>
    <t>12-mon-AFC</t>
  </si>
  <si>
    <t>Riverside Co.</t>
  </si>
  <si>
    <t>Expansion</t>
  </si>
  <si>
    <t>4/13/2007</t>
  </si>
  <si>
    <t>Suspended 
During Review</t>
  </si>
  <si>
    <t xml:space="preserve">Sun Valley Peaker - Edison Mission </t>
  </si>
  <si>
    <t>2005-AFC-03</t>
  </si>
  <si>
    <t>12/01/2005</t>
  </si>
  <si>
    <t>Willow Pass - Mirant</t>
  </si>
  <si>
    <t>6/30/2008</t>
  </si>
  <si>
    <t>Capacity 
(MW)</t>
  </si>
  <si>
    <t>Estimated Filing Date</t>
  </si>
  <si>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</si>
  <si>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</si>
  <si>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</si>
  <si>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</si>
  <si>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</si>
  <si>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</si>
  <si>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</si>
  <si>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</si>
  <si>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</si>
  <si>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</si>
  <si>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</si>
  <si>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</si>
  <si>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</si>
  <si>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</si>
  <si>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</si>
  <si>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</si>
  <si>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</si>
  <si>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</si>
  <si>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</si>
  <si>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</si>
  <si>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</si>
  <si>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Resource Additions (MW)</t>
  </si>
  <si>
    <t>retire at</t>
  </si>
  <si>
    <t>Imports (MW)</t>
  </si>
  <si>
    <t>Total</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</si>
  <si>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</si>
  <si>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</si>
  <si>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</si>
  <si>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</si>
  <si>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</si>
  <si>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</si>
  <si>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Nuclear</t>
  </si>
  <si>
    <t>Solar+Wind</t>
  </si>
  <si>
    <t>http://energy.ca.gov/sitingcases/all_projects.html</t>
  </si>
  <si>
    <t>http://www.caiso.com/Documents/GeneratingCapabilityList.xls</t>
  </si>
  <si>
    <t>Tabs:</t>
  </si>
  <si>
    <t>Demand Individual Assumptions</t>
  </si>
  <si>
    <t>Supply Individual Assumptions</t>
  </si>
  <si>
    <t>Assumptions</t>
  </si>
  <si>
    <t>Scenarios</t>
  </si>
  <si>
    <t>Control Panel</t>
  </si>
  <si>
    <t>Load</t>
  </si>
  <si>
    <t>Supply (MW)</t>
  </si>
  <si>
    <t>This tab.</t>
  </si>
  <si>
    <t>Demand</t>
  </si>
  <si>
    <t>Supply</t>
  </si>
  <si>
    <t>Existing</t>
  </si>
  <si>
    <t>Nuclear Retirement</t>
  </si>
  <si>
    <t>None</t>
  </si>
  <si>
    <t>High DG</t>
  </si>
  <si>
    <t>* Peak demand on the CAISO system assuming 1-in-2 weather year unless otherwise selected.</t>
  </si>
  <si>
    <t>Demand (MW) *</t>
  </si>
  <si>
    <t>Existing Resources</t>
  </si>
  <si>
    <t>Non-RPS</t>
  </si>
  <si>
    <t>Other User Options</t>
  </si>
  <si>
    <t>Indicates User Option</t>
  </si>
  <si>
    <t>http://www.energy.ca.gov/2012publications/CEC-200-2012-003/CEC-200-2012-003.pdf</t>
  </si>
  <si>
    <t>Solar + Wind</t>
  </si>
  <si>
    <t>If Resource ID not found or missing COD, use this value (mm/dd/yyyy)</t>
  </si>
  <si>
    <t>Revisions</t>
  </si>
  <si>
    <t>Editor</t>
  </si>
  <si>
    <t>Description of change</t>
  </si>
  <si>
    <t>Date</t>
  </si>
  <si>
    <t>This tool was created using MS Excel 2010 and is incompatible with versions earlier than 2007.</t>
  </si>
  <si>
    <t>Authors:</t>
  </si>
  <si>
    <t>Patrick Young</t>
  </si>
  <si>
    <t>CPUC Energy Division, Generation and Transmission Planning</t>
  </si>
  <si>
    <t xml:space="preserve">Project supervisor: </t>
  </si>
  <si>
    <t>Robert Strauss</t>
  </si>
  <si>
    <t>Program and Project Supervisor</t>
  </si>
  <si>
    <t>Key Contributors: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</si>
  <si>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</si>
  <si>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</si>
  <si>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</si>
  <si>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CEC Summer 2012 Electricity Supply and Demand Outlook</t>
  </si>
  <si>
    <t>NQC List</t>
  </si>
  <si>
    <t>CAISO Transmission Capability, 2013</t>
  </si>
  <si>
    <t>CAISO Master Generating Capability List</t>
  </si>
  <si>
    <t>In general, the control panel of the "Scenarios" tab is the only part of this spreadsheet a user should alter. User input cells are highlighted in this color.</t>
  </si>
  <si>
    <t>Introduction</t>
  </si>
  <si>
    <t>Instructions for Scenario Tool; List of authors and revisions</t>
  </si>
  <si>
    <t>Demand (GWh) **</t>
  </si>
  <si>
    <t>Mid case demand impact</t>
  </si>
  <si>
    <t>Installed capacity</t>
  </si>
  <si>
    <t>Total GWh</t>
  </si>
  <si>
    <t>Total MW</t>
  </si>
  <si>
    <t>Total cap fac</t>
  </si>
  <si>
    <t>All 3 IOU areas</t>
  </si>
  <si>
    <t>IEPR Net Load</t>
  </si>
  <si>
    <r>
      <t xml:space="preserve">This is the only tab meant for </t>
    </r>
    <r>
      <rPr>
        <b/>
        <sz val="11"/>
        <color theme="1"/>
        <rFont val="Calibri"/>
        <family val="2"/>
        <scheme val="minor"/>
      </rPr>
      <t>general user input and output</t>
    </r>
    <r>
      <rPr>
        <sz val="11"/>
        <color theme="1"/>
        <rFont val="Calibri"/>
        <family val="2"/>
        <scheme val="minor"/>
      </rPr>
      <t>. This tab is a tool for selecting Low, Mid, High, etc. and other forecast assumptions to display net demand/supply under different scenarios.</t>
    </r>
  </si>
  <si>
    <t>Factor</t>
  </si>
  <si>
    <t>User input (decimal)</t>
  </si>
  <si>
    <t>Peak demand impact (analogous to "NQC" or "peak production MW", this is installed capacity multiplied by a conversion factor selected from the Control Panel)</t>
  </si>
  <si>
    <t>This average forecasted peak demand impact factor for PV was calculated from mid case forecasted demand impact and installed capacity for the 3 IOUs aggregated together.</t>
  </si>
  <si>
    <t>Peak demand impact</t>
  </si>
  <si>
    <t>CEC CHP Policy Analysis 2011-2030 Mkt Assessment by ICF</t>
  </si>
  <si>
    <t>http://www.energy.ca.gov/2012publications/CEC-200-2012-002/CEC-200-2012-002-REV.pdf</t>
  </si>
  <si>
    <t>Separate exporting from non-exporting, scale down Statewide value to CAISO area, Linearly deploy capacity to target year</t>
  </si>
  <si>
    <t>CEC net interchange</t>
  </si>
  <si>
    <t>ISO max import</t>
  </si>
  <si>
    <t>ISO available import</t>
  </si>
  <si>
    <r>
      <t xml:space="preserve">Projects Anounced 
</t>
    </r>
    <r>
      <rPr>
        <sz val="9"/>
        <rFont val="Verdana"/>
        <family val="2"/>
      </rPr>
      <t>(Arranged by Project Name)</t>
    </r>
  </si>
  <si>
    <t>Form 1.5b</t>
  </si>
  <si>
    <t>Form 1.5c</t>
  </si>
  <si>
    <t>Form 1.5d</t>
  </si>
  <si>
    <t>Form 1.5a</t>
  </si>
  <si>
    <t>CAISO</t>
  </si>
  <si>
    <t>Inc D-CHP conversion factor for installed capacity to peak prod. MW (decimal)</t>
  </si>
  <si>
    <t>Inc D-CHP capacity factor for installed capacity to annual energy GWh (decimal)</t>
  </si>
  <si>
    <t>Inc S-CHP conversion factor for installed capacity to peak prod. MW (decimal)</t>
  </si>
  <si>
    <t>Inc small PV conversion factor for installed capacity to peak prod. MW (decimal)</t>
  </si>
  <si>
    <t>Inc small PV capacity factor for installed capacity to annual energy GWh (decimal)</t>
  </si>
  <si>
    <t>#</t>
  </si>
  <si>
    <t>Name</t>
  </si>
  <si>
    <t>This capacity factor is from the CPUC CSI 2010 Impact Evaluation Report by Itron, Jun 2011, http://www.cpuc.ca.gov/NR/rdonlyres/E2E189A8-5494-45A1-ACF2-5F48D36A9CA7/0/CSI_2010_Impact_Eval_RevisedFinal.pdf</t>
  </si>
  <si>
    <t>Table 6-3 Annual Energy Impacts by PA and Program</t>
  </si>
  <si>
    <t>Table 6-4 Estimated Demand Impact Coincident with 2010 CAISO System Peak Hour</t>
  </si>
  <si>
    <t>Derived from CEC CED forecast</t>
  </si>
  <si>
    <t>From CSI Impact Eval Report</t>
  </si>
  <si>
    <t>Value for CAISO Net Interchange</t>
  </si>
  <si>
    <t>Exclude ETCs outside CAISO</t>
  </si>
  <si>
    <t>Look up facility COD for retirement calculations</t>
  </si>
  <si>
    <t>CED forecast</t>
  </si>
  <si>
    <t>MW supply</t>
  </si>
  <si>
    <t>MW demand</t>
  </si>
  <si>
    <t>Managed Demand Net Load</t>
  </si>
  <si>
    <t>Managed Energy Net Load</t>
  </si>
  <si>
    <t>sys balance %</t>
  </si>
  <si>
    <t>Do Not Edit This Area</t>
  </si>
  <si>
    <t>RPS Portfolio</t>
  </si>
  <si>
    <t>OTC Retirements</t>
  </si>
  <si>
    <t>Renewable + Hydro Retirements</t>
  </si>
  <si>
    <t>Authorized Procurement</t>
  </si>
  <si>
    <t>** Assumptions for the Demand GWh portion of the above table are determined by the assumptions selected in the Control Panel fields in the Demand MW portion of the table.</t>
  </si>
  <si>
    <t>PGE Bay</t>
  </si>
  <si>
    <t>PGE Valley</t>
  </si>
  <si>
    <t>CAISO Non-coincident peak</t>
  </si>
  <si>
    <t>CAISO Coincident peak</t>
  </si>
  <si>
    <t>Load (GWh) : Net energy for load, 2013 IEPR (CED 2014-2024), Form 1.5</t>
  </si>
  <si>
    <t>Electricity delivery to end users (retail sales) (GWh) Statewide, Form 1.1c</t>
  </si>
  <si>
    <t>Incremental Small PV (MW): Energy Division forecast incremental to self-generation PV embedded in 2013 IEPR (CED 2014-2024)</t>
  </si>
  <si>
    <t>Incremental Small PV (GWh): Energy Division forecast incremental to self-generation PV embedded in 2013 IEPR (CED 2014-2024)</t>
  </si>
  <si>
    <t>Statewide</t>
  </si>
  <si>
    <t>s2-lowmid</t>
  </si>
  <si>
    <t>High: 1-in-10</t>
  </si>
  <si>
    <t>Electricity delivery to end users (retail sales) (GWh) and Pumped Load, Statewide, Form 1.1c</t>
  </si>
  <si>
    <t>High (1-in-5)</t>
  </si>
  <si>
    <t>High (1-in-10)</t>
  </si>
  <si>
    <t>Below are calculations to derive a capacity factor and conversion factor for peak impact for small PV.</t>
  </si>
  <si>
    <t>This CAISO peak hour impact factor is from the CPUC CSI 2010 Impact Evaluation Report by Itron, Jun 2011, http://www.cpuc.ca.gov/NR/rdonlyres/E2E189A8-5494-45A1-ACF2-5F48D36A9CA7/0/CSI_2010_Impact_Eval_RevisedFinal.pdf</t>
  </si>
  <si>
    <t>Values obtained from Asish Gautam at the CEC Demand Forecast Group. (email received 11/5/2013)</t>
  </si>
  <si>
    <t>Form 1.1c</t>
  </si>
  <si>
    <t>Load for Renewable Net Short (GWh)</t>
  </si>
  <si>
    <t>Statewide Total Retail Sales</t>
  </si>
  <si>
    <t>Statewide Pumped Load</t>
  </si>
  <si>
    <t>Adjusted Statewide Retail Sales for RPS</t>
  </si>
  <si>
    <t>CED selfgen PV</t>
  </si>
  <si>
    <t>High demand</t>
  </si>
  <si>
    <t>Low demand</t>
  </si>
  <si>
    <t>High selfgen PV</t>
  </si>
  <si>
    <t>http://www.energy.ca.gov/2011publications/CEC-200-2011-011/CEC-200-2011-011-SD.pdf</t>
  </si>
  <si>
    <t>Inc EE for POU+other (GWh)</t>
  </si>
  <si>
    <t>Incremental EE POU+other (GWh) for statewide net energy sales for RNS calculations</t>
  </si>
  <si>
    <t>PY2012 Load Impact Reports of each IOU (Portfolio-adjusted ex-ante estimates for August in a 1-in-2 weather year, generally average load impact over the hours of the day an event may be called)</t>
  </si>
  <si>
    <t>Default</t>
  </si>
  <si>
    <t>BIP, CBP, DBP, Summer Saver</t>
  </si>
  <si>
    <t>ICF Base</t>
  </si>
  <si>
    <t>ICF High</t>
  </si>
  <si>
    <t>Installed Capacity: from CEC forecast of CHP (derived from analysis of CED embedded CHP subtracted from ICF Report's Base and High Case of 2030 new CHP potential) - emailed spreadsheet from Angela Tanghetti 10-30-2013</t>
  </si>
  <si>
    <t>Installed Capacity: from CEC forecast of CHP (derived from analysis ICF Report's Base Case and High Case of 2030 new CHP potential) -  emailed spreadsheet from Angela Tanghetti 10-30-2013</t>
  </si>
  <si>
    <t>from Maximum Imports and Max Imports minus ETC values in "2014 Assigned and Unassigned RA Import Capability on Branch Groups - After Step 6" at http://www.caiso.com/planning/Pages/ReliabilityRequirements/Default.aspx</t>
  </si>
  <si>
    <t>from Appendix D of CEC Summer 2012 Supply and Demand Outlook: http://www.energy.ca.gov/2012publications/CEC-200-2012-003/CEC-200-2012-003.pdf</t>
  </si>
  <si>
    <t>AVSOLR_2_SOLAR</t>
  </si>
  <si>
    <t>AV Solar Ranch 1</t>
  </si>
  <si>
    <t>Currently in Phase 1</t>
  </si>
  <si>
    <t>2/6/2013 Testing notes area</t>
  </si>
  <si>
    <t>ALPSLR_1_SPSSLR</t>
  </si>
  <si>
    <t>Alpaugh 50 LLC</t>
  </si>
  <si>
    <t>Alpaugh 50, LLC</t>
  </si>
  <si>
    <t>ALPSLR_1_NTHSLR</t>
  </si>
  <si>
    <t>Alpaugh North, LLC</t>
  </si>
  <si>
    <t>NEENCH_6_SOLAR</t>
  </si>
  <si>
    <t>Alpine Solar</t>
  </si>
  <si>
    <t>NRG Solar Alpine LLC</t>
  </si>
  <si>
    <t>ALT6DN_2_WIND7</t>
  </si>
  <si>
    <t>Alta 2012 Alta Wind 7</t>
  </si>
  <si>
    <t>Alta Wind VII, LLC</t>
  </si>
  <si>
    <t>GLOW_6_SOLAR</t>
  </si>
  <si>
    <t>Antelope Power Plant</t>
  </si>
  <si>
    <t>TA-High Desert, LLC</t>
  </si>
  <si>
    <t>ATWELL_1_SOLAR</t>
  </si>
  <si>
    <t>Atwell Island PV Solar Generating Faci.</t>
  </si>
  <si>
    <t>SPS Atwell Island, LLC</t>
  </si>
  <si>
    <t>OLINDA_2_LNDFL2</t>
  </si>
  <si>
    <t>Brea Power II</t>
  </si>
  <si>
    <t>Brea Power II LLC</t>
  </si>
  <si>
    <t>ALT6DS_2_WIND9</t>
  </si>
  <si>
    <t>CPC East Alta Wind IX</t>
  </si>
  <si>
    <t>Alta Wind IX, LLC</t>
  </si>
  <si>
    <t>SENTNL_2_UNITS</t>
  </si>
  <si>
    <t>CPV Sentinel</t>
  </si>
  <si>
    <t>CPV Sentinel, LLC</t>
  </si>
  <si>
    <t>CAVLSR_2_RSOLAR</t>
  </si>
  <si>
    <t>California Valley Solar Ranch-Phase A</t>
  </si>
  <si>
    <t>High Plains Ranch II, LLC</t>
  </si>
  <si>
    <t>CAVLSR_2_BSOLAR</t>
  </si>
  <si>
    <t>California Valley Solar Ranch-Phase B</t>
  </si>
  <si>
    <t>CPVERD_2_SOLAR</t>
  </si>
  <si>
    <t>Campo Verde Solar</t>
  </si>
  <si>
    <t>Campo Verde Solar, LLC</t>
  </si>
  <si>
    <t>CANTUA_1_SOLAR</t>
  </si>
  <si>
    <t>Cantua Solar station</t>
  </si>
  <si>
    <t>located at Stanislaus ave. Cantua Creek, CA</t>
  </si>
  <si>
    <t>CATLNA_2_SOLAR</t>
  </si>
  <si>
    <t>Catalina Solar - Phases 1 and 2</t>
  </si>
  <si>
    <t>Catalina Solar, LLC</t>
  </si>
  <si>
    <t>CNTNLA_2_SOLAR1</t>
  </si>
  <si>
    <t>Centinela Solar Energy Facility (Phase I)</t>
  </si>
  <si>
    <t>Centinela Solar Energy, LLC</t>
  </si>
  <si>
    <t>COPMT2_2_SOLAR2</t>
  </si>
  <si>
    <t>Copper Mountain Solar 2</t>
  </si>
  <si>
    <t>Copper Mountain Solar 2, LLC</t>
  </si>
  <si>
    <t>MRCHNT_2_PL1X3</t>
  </si>
  <si>
    <t>Desert Star Energy Center</t>
  </si>
  <si>
    <t>Desert Start Energy Center</t>
  </si>
  <si>
    <t>DSRTSN_2_SOLAR1</t>
  </si>
  <si>
    <t>Desert Sunlight PVI</t>
  </si>
  <si>
    <t>Desert Sunlight 300, LLC</t>
  </si>
  <si>
    <t>DSRTSN_2_SOLAR2</t>
  </si>
  <si>
    <t>Desert Sunlight PVII</t>
  </si>
  <si>
    <t>Desert Sunlight 250, LLC</t>
  </si>
  <si>
    <t>COCOPP_2_CTG1</t>
  </si>
  <si>
    <t>GENON MARSH LANDING GEN STATION UNIT 1</t>
  </si>
  <si>
    <t>GENON MARSH LANDING, LLC</t>
  </si>
  <si>
    <t>COCOPP_2_CTG2</t>
  </si>
  <si>
    <t>GENON MARSH LANDING GEN STATION UNIT 2</t>
  </si>
  <si>
    <t>COCOPP_2_CTG3</t>
  </si>
  <si>
    <t>GENON MARSH LANDING GEN STATION UNIT 3</t>
  </si>
  <si>
    <t>COCOPP_2_CTG4</t>
  </si>
  <si>
    <t>GENON MARSH LANDING GEN STATION UNIT 4</t>
  </si>
  <si>
    <t>GRIDLY_6_SOLAR</t>
  </si>
  <si>
    <t>GRIDLEY MAIN TWO</t>
  </si>
  <si>
    <t>LIGHTBEAM POWER COMPANY GRIDLEY MAIN TWO LLC</t>
  </si>
  <si>
    <t>GIFFEN_6_SOLAR</t>
  </si>
  <si>
    <t>Giffen Solar station</t>
  </si>
  <si>
    <t>HURON_6_SOLAR</t>
  </si>
  <si>
    <t>Huron Solar Station</t>
  </si>
  <si>
    <t>CSLR4S_2_SOLAR</t>
  </si>
  <si>
    <t>Imperial Valley (Csolar IV)</t>
  </si>
  <si>
    <t>CSOLAR IV South, LLC</t>
  </si>
  <si>
    <t>WFRESN_1_SOLAR</t>
  </si>
  <si>
    <t>Joya Del Sol</t>
  </si>
  <si>
    <t>GASNA 16P, LLC</t>
  </si>
  <si>
    <t>JESSUP_1_HUDSON</t>
  </si>
  <si>
    <t>Kiara Anderson</t>
  </si>
  <si>
    <t>Kiara Solar</t>
  </si>
  <si>
    <t>LAKHDG_6_UNIT 2</t>
  </si>
  <si>
    <t>Lake Hodges Pumped Storage-Unit2</t>
  </si>
  <si>
    <t>CONTRL_1_CASAD3</t>
  </si>
  <si>
    <t>Mammoth Unit G3</t>
  </si>
  <si>
    <t>Was part of CONTRL_1_QF</t>
  </si>
  <si>
    <t>MANZNA_2_WIND</t>
  </si>
  <si>
    <t>Manzana Wind</t>
  </si>
  <si>
    <t>KELSO_2_UNITS</t>
  </si>
  <si>
    <t>Mariposa Energy Project</t>
  </si>
  <si>
    <t>Mariposa Energy, LLC</t>
  </si>
  <si>
    <t>MNDALY_6_MCGRTH</t>
  </si>
  <si>
    <t>McGrath Beach Peaker</t>
  </si>
  <si>
    <t>Southern California edison</t>
  </si>
  <si>
    <t>BREGGO_6_SOLAR</t>
  </si>
  <si>
    <t>NRG Borrego Solar One</t>
  </si>
  <si>
    <t>NRG Solar Borrego I LLC</t>
  </si>
  <si>
    <t>TWISSL_6_SOLAR</t>
  </si>
  <si>
    <t>Nickel 1 ("NLH1")</t>
  </si>
  <si>
    <t>NLH1 Solar, LLC</t>
  </si>
  <si>
    <t>JAWBNE_2_NSRWND</t>
  </si>
  <si>
    <t>North Sky River Wind Project</t>
  </si>
  <si>
    <t>North Sky River Energy, LLC</t>
  </si>
  <si>
    <t>ROSMDW_2_WIND1</t>
  </si>
  <si>
    <t>Pacific Wind Project</t>
  </si>
  <si>
    <t>Final Capacity will increase to 250 MW at comletion</t>
  </si>
  <si>
    <t>SBERDO_2_RTS005</t>
  </si>
  <si>
    <t>SPVP005 Redlands RT Solar</t>
  </si>
  <si>
    <t>SBERDO_2_RTS007</t>
  </si>
  <si>
    <t>SPVP007 Redlands RT Solar</t>
  </si>
  <si>
    <t>ETIWND_2_RTS018</t>
  </si>
  <si>
    <t>SPVP018 Fontana RT Solar</t>
  </si>
  <si>
    <t>VESTAL_2_RTS042</t>
  </si>
  <si>
    <t>SPVP042 Porterville Solar</t>
  </si>
  <si>
    <t>BRDSLD_2_SHLO3B</t>
  </si>
  <si>
    <t>Shiloh IV Wind Project</t>
  </si>
  <si>
    <t>Shiloh IV Wind Project, LLC</t>
  </si>
  <si>
    <t>IVSLRP_2_SOLAR1</t>
  </si>
  <si>
    <t>Silver Ridge Mount Signal</t>
  </si>
  <si>
    <t>CORONS_2_SOLAR</t>
  </si>
  <si>
    <t>SunEdison - Corona</t>
  </si>
  <si>
    <t>SCHLTE_1_PL1X3</t>
  </si>
  <si>
    <t>Tracy Combined Cycle Power Plant</t>
  </si>
  <si>
    <t xml:space="preserve">This project was a 175 MW steam turbine addition to the existing two combustion turbines on site to create a combined cycle resource. GWF Tracy Power Plant is located at 14950 W. Schulte Rd, Tracy, CA 95377. </t>
  </si>
  <si>
    <t>GARNET_1_WT3WND</t>
  </si>
  <si>
    <t>WKN Wagner, LLC</t>
  </si>
  <si>
    <t>WALCRK_2_CTG1</t>
  </si>
  <si>
    <t>Walnut Creek Energy Park Unit 1</t>
  </si>
  <si>
    <t>Walnut Creek Energy, LLC</t>
  </si>
  <si>
    <t>WALCRK_2_CTG2</t>
  </si>
  <si>
    <t>Walnut Creek Energy Park Unit 2</t>
  </si>
  <si>
    <t>WALCRK_2_CTG3</t>
  </si>
  <si>
    <t>Walnut Creek Energy Park Unit 3</t>
  </si>
  <si>
    <t>WALCRK_2_CTG4</t>
  </si>
  <si>
    <t>Walnut Creek Energy Park Unit 4</t>
  </si>
  <si>
    <t>WALCRK_2_CTG5</t>
  </si>
  <si>
    <t>Walnut Creek Energy Park Unit 5</t>
  </si>
  <si>
    <t>VESTAL_2_WELLHD</t>
  </si>
  <si>
    <t>Wellhead Power Delano</t>
  </si>
  <si>
    <t>Wellhead Power Delano, LLC</t>
  </si>
  <si>
    <t>BLM Units 7, 8, and 9</t>
  </si>
  <si>
    <t>6551 Los Vaqueros Road, Livermore , CA 94551. POD: Pole 17/93 on the Lone Tree-Cayetano 230 kV line. Repowered 2/8/2012</t>
  </si>
  <si>
    <t>Net Dependable Capacity (MW)</t>
  </si>
  <si>
    <t>Commercial Operating Date</t>
  </si>
  <si>
    <t>Nameplate Capacity (MW)</t>
  </si>
  <si>
    <t>Record Status A-Active Control Area Units AND C-Contract Units Outside Ctrl Area</t>
  </si>
  <si>
    <t>RESOURCE_ID</t>
  </si>
  <si>
    <t>LOCAL CAPACITY AREA</t>
  </si>
  <si>
    <t>GENERATOR NAME</t>
  </si>
  <si>
    <t>JAN</t>
  </si>
  <si>
    <t>FEB</t>
  </si>
  <si>
    <t>MAR</t>
  </si>
  <si>
    <t>APR</t>
  </si>
  <si>
    <t>MAY</t>
  </si>
  <si>
    <t>JUN</t>
  </si>
  <si>
    <t>JUL</t>
  </si>
  <si>
    <t>AUG</t>
  </si>
  <si>
    <t>SEP</t>
  </si>
  <si>
    <t>OCT</t>
  </si>
  <si>
    <t>NOV</t>
  </si>
  <si>
    <t>DEC</t>
  </si>
  <si>
    <t>Deliverability</t>
  </si>
  <si>
    <t>Dispatchability</t>
  </si>
  <si>
    <t>Y</t>
  </si>
  <si>
    <t>N</t>
  </si>
  <si>
    <t>ID</t>
  </si>
  <si>
    <t>CPC East - Alta Wind 4</t>
  </si>
  <si>
    <t>CPC East - Alta Wind 5</t>
  </si>
  <si>
    <t>CPC East - Alta Wind 8</t>
  </si>
  <si>
    <t>CPC West - Alta Wind 1</t>
  </si>
  <si>
    <t>CPC West - Alta 3</t>
  </si>
  <si>
    <t>CANYON POWER PLANT UNIT 1</t>
  </si>
  <si>
    <t>CANYON POWER PLANT UNIT 2</t>
  </si>
  <si>
    <t>CANYON POWER PLANT UNIT 3</t>
  </si>
  <si>
    <t>CANYON POWER PLANT UNIT 4</t>
  </si>
  <si>
    <t>-</t>
  </si>
  <si>
    <t>ARBWD_6_QF</t>
  </si>
  <si>
    <t>Wind Resource II (CalWind) - RAM 2</t>
  </si>
  <si>
    <t>AV SOLAR RANCH 1</t>
  </si>
  <si>
    <t>BANGOR_6_HYDRO</t>
  </si>
  <si>
    <t>Virginia Ranch Dam Powerplant</t>
  </si>
  <si>
    <t>San Diego-IV</t>
  </si>
  <si>
    <t>CalPeak Power Border Unit 1</t>
  </si>
  <si>
    <t>NextEra Energy Montezuma Wind II</t>
  </si>
  <si>
    <t>North Palm Springs 1A</t>
  </si>
  <si>
    <t>BUCKWD_1_QF</t>
  </si>
  <si>
    <t>Buckwind Re-powering project</t>
  </si>
  <si>
    <t>Agnews Power Plant</t>
  </si>
  <si>
    <t>CAMANCHE UNITS  1, 2 &amp;  3 AGGREGATE</t>
  </si>
  <si>
    <t>CAMP FAR WEST HYDRO</t>
  </si>
  <si>
    <t>Cantua Solar Station</t>
  </si>
  <si>
    <t>Centinela Solar Energy Project</t>
  </si>
  <si>
    <t>COGNAT_1_UNIT</t>
  </si>
  <si>
    <t>Stockton Biomas</t>
  </si>
  <si>
    <t>Mammoth G3</t>
  </si>
  <si>
    <t>CMS2</t>
  </si>
  <si>
    <t>CM10 Pseudo Tie Pilot</t>
  </si>
  <si>
    <t>PD to 7.25</t>
  </si>
  <si>
    <t>Master Development Corona</t>
  </si>
  <si>
    <t>PARKER POWERHOUSE</t>
  </si>
  <si>
    <t>DAVIS_1_SOLAR1</t>
  </si>
  <si>
    <t>Grasslands 4</t>
  </si>
  <si>
    <t>DEVERS_1_SEPV05</t>
  </si>
  <si>
    <t>SEPV 5</t>
  </si>
  <si>
    <t>Cuyamaca Peak Energy Plant</t>
  </si>
  <si>
    <t>ELSEGN_2_UN1011</t>
  </si>
  <si>
    <t>El Segundo Energy Center 5/6</t>
  </si>
  <si>
    <t>ELSEGN_2_UN2021</t>
  </si>
  <si>
    <t>El Segundo Energy Center 7/8</t>
  </si>
  <si>
    <t>CalPeak Power Enterprise Unit 1</t>
  </si>
  <si>
    <t>ESQUON_6_LNDFIL</t>
  </si>
  <si>
    <t>Neal Road Landfill Generating Facility</t>
  </si>
  <si>
    <t>GARNET_1_SOLAR</t>
  </si>
  <si>
    <t>North Palm Springs 4A</t>
  </si>
  <si>
    <t>GARNET_1_WINDS</t>
  </si>
  <si>
    <t>Garnet Winds Aggregation</t>
  </si>
  <si>
    <t>Giffen Solar Station</t>
  </si>
  <si>
    <t>BIG CREEK WATER WORKS - CEDAR FLAT</t>
  </si>
  <si>
    <t>GUERNS_6_SOLAR</t>
  </si>
  <si>
    <t>Guernsey Solar Station</t>
  </si>
  <si>
    <t>HANFORD PEAKER PLANT</t>
  </si>
  <si>
    <t>Combie South</t>
  </si>
  <si>
    <t>CLEAR LAKE UNIT 1</t>
  </si>
  <si>
    <t>U.S. Borax, Unit 1</t>
  </si>
  <si>
    <t>Shasta Renewable Resources</t>
  </si>
  <si>
    <t>KANSAS_6_SOLAR</t>
  </si>
  <si>
    <t>Kanses South LLC</t>
  </si>
  <si>
    <t>Mariposa Energy</t>
  </si>
  <si>
    <t>Kingsburg Cogen</t>
  </si>
  <si>
    <t>Lake Hodges Pumped Storage-Unit1</t>
  </si>
  <si>
    <t>LR1</t>
  </si>
  <si>
    <t>LR2</t>
  </si>
  <si>
    <t xml:space="preserve">Los Esteros Expansion </t>
  </si>
  <si>
    <t>LITLRK_6_SEPV01</t>
  </si>
  <si>
    <t>Gestamp Solar 1</t>
  </si>
  <si>
    <t>LODIEC_2_PL1X2</t>
  </si>
  <si>
    <t>Lodi Energy Center</t>
  </si>
  <si>
    <t>NZWIND_6_CALWND</t>
  </si>
  <si>
    <t>Wind Resource I</t>
  </si>
  <si>
    <t>OAK C_1_EBMUD</t>
  </si>
  <si>
    <t>MWWTP PGS 1 - ENGINES</t>
  </si>
  <si>
    <t>OCTILO_5_WIND</t>
  </si>
  <si>
    <t>Ocotillo Wind Energy Facility</t>
  </si>
  <si>
    <t>Nacimiento Hydroelectric Plant</t>
  </si>
  <si>
    <t>OLIVEP_1_SOLAR</t>
  </si>
  <si>
    <t>White River Solar</t>
  </si>
  <si>
    <t>Chula Vista Energy Center, LLC</t>
  </si>
  <si>
    <t>PANSEA_1_PANARO</t>
  </si>
  <si>
    <t>Mesa Wind Project</t>
  </si>
  <si>
    <t>CalPeak Power Panoche Unit 1</t>
  </si>
  <si>
    <t>RENWD_1_QF</t>
  </si>
  <si>
    <t>Renwind re-powering project</t>
  </si>
  <si>
    <t>Pacific Wind - Phase 1</t>
  </si>
  <si>
    <t>RUSCTY_2_UNITS</t>
  </si>
  <si>
    <t>Russell City Energy Center</t>
  </si>
  <si>
    <t>SANWD_1_QF</t>
  </si>
  <si>
    <t>San Gorgonio Farms Wind Farm</t>
  </si>
  <si>
    <t>Redlands RT Solar</t>
  </si>
  <si>
    <t>SENTNL_2_CTG1</t>
  </si>
  <si>
    <t>CPV Sentinel Unit 1</t>
  </si>
  <si>
    <t>SENTNL_2_CTG2</t>
  </si>
  <si>
    <t>CPV Sentinel Unit 2</t>
  </si>
  <si>
    <t>SENTNL_2_CTG3</t>
  </si>
  <si>
    <t>CPV Sentinel Unit 3</t>
  </si>
  <si>
    <t>SENTNL_2_CTG4</t>
  </si>
  <si>
    <t>CPV Sentinel Unit 4</t>
  </si>
  <si>
    <t>SENTNL_2_CTG5</t>
  </si>
  <si>
    <t>CPV Sentinel Unit 5</t>
  </si>
  <si>
    <t>SENTNL_2_CTG6</t>
  </si>
  <si>
    <t>CPV Sentinel Unit 6</t>
  </si>
  <si>
    <t>SENTNL_2_CTG7</t>
  </si>
  <si>
    <t>CPV Sentinel Unit 7</t>
  </si>
  <si>
    <t>SENTNL_2_CTG8</t>
  </si>
  <si>
    <t>CPV Sentinel Unit 8</t>
  </si>
  <si>
    <t>Sycamore Cogeneration Unit 1</t>
  </si>
  <si>
    <t>Sycamore Cogeneration Unit 2</t>
  </si>
  <si>
    <t>Sycamore Cogeneration Unit 3</t>
  </si>
  <si>
    <t>Sycamore Cogeneration Unit 4</t>
  </si>
  <si>
    <t>TOPAZ_2_SOLAR</t>
  </si>
  <si>
    <t>Topaz Solar</t>
  </si>
  <si>
    <t>McKittrick Cogen</t>
  </si>
  <si>
    <t>USWNDR_2_SMUD2</t>
  </si>
  <si>
    <t>Solano Wind Project Phase 3</t>
  </si>
  <si>
    <t>Vasco Wind</t>
  </si>
  <si>
    <t>CalPeak Power Vaca Dixon Unit 1</t>
  </si>
  <si>
    <t>Rialto RT Solar</t>
  </si>
  <si>
    <t>WAUKNA_1_SOLAR</t>
  </si>
  <si>
    <t>SPS Corcoran LLC</t>
  </si>
  <si>
    <t>Windstar</t>
  </si>
  <si>
    <t>UNK</t>
  </si>
  <si>
    <t>COD</t>
  </si>
  <si>
    <t>Mid (1-in-2)</t>
  </si>
  <si>
    <t>High (1-in-2)</t>
  </si>
  <si>
    <t>Total Sales Statewide</t>
  </si>
  <si>
    <t>Pumping Load Statewide</t>
  </si>
  <si>
    <t>Mid selfgen PV</t>
  </si>
  <si>
    <t>ISO Area AA-EE</t>
  </si>
  <si>
    <t>ISO Area Inc. Small PV</t>
  </si>
  <si>
    <t>POU Area Inc. EE</t>
  </si>
  <si>
    <t>Total Sales</t>
  </si>
  <si>
    <t>Pumped Load</t>
  </si>
  <si>
    <t>Tuesday, December 10, 2013</t>
  </si>
  <si>
    <t>Heading Row modified from multiple rows to single row.</t>
  </si>
  <si>
    <t>COD column has been modified to fill in blanks with earliest COD of sub-unit if available (red font), and UNK (unknown) otherwise.</t>
  </si>
  <si>
    <t>TUPMAN_1_BIOGAS</t>
  </si>
  <si>
    <t>ABEC Bidart-Stockale #1</t>
  </si>
  <si>
    <t>ABEC Bidart-Stockdale LLC</t>
  </si>
  <si>
    <t>Ameresco Butte County LFG Project</t>
  </si>
  <si>
    <t>Ameresco Butte County LLC, Ameresco, Inc.,</t>
  </si>
  <si>
    <t>ARLVAL_5_SOLAR</t>
  </si>
  <si>
    <t>Arlington Valley Solar Energy II</t>
  </si>
  <si>
    <t>Arlington Valley Solar Energy II, LLC</t>
  </si>
  <si>
    <t>JAKVAL_6_UNITG1</t>
  </si>
  <si>
    <t>Buena Vista Biomass</t>
  </si>
  <si>
    <t>Buena Vista Biomass Power, LLC</t>
  </si>
  <si>
    <t>VISTA_2_FCELL</t>
  </si>
  <si>
    <t>California State University, San Bernardino Fuel Cell</t>
  </si>
  <si>
    <t>CSU, San Bernardino</t>
  </si>
  <si>
    <t>FUEL CELL</t>
  </si>
  <si>
    <t>SANLOB_1_LNDFIL</t>
  </si>
  <si>
    <t>Cold Canyon</t>
  </si>
  <si>
    <t>Corcoran Solar</t>
  </si>
  <si>
    <t>Con Edison Development, Inc.</t>
  </si>
  <si>
    <t>El Segundo Energy Center LLC</t>
  </si>
  <si>
    <t>ELSEGN_2_UNIT10</t>
  </si>
  <si>
    <t>El Segundo Energy Center Unit 5</t>
  </si>
  <si>
    <t>ELSEGN_2_UNIT11</t>
  </si>
  <si>
    <t>El Segundo Energy Center Unit 6</t>
  </si>
  <si>
    <t>PEABDY_2_LNDFIL</t>
  </si>
  <si>
    <t>G2 Energy Hay Road Power Plant</t>
  </si>
  <si>
    <t>G2 Energy, Hay Road, LLC</t>
  </si>
  <si>
    <t>GATES_2_SOLAR</t>
  </si>
  <si>
    <t>Gates Solar Station</t>
  </si>
  <si>
    <t>GENESI_2_STG</t>
  </si>
  <si>
    <t>Genesis Station</t>
  </si>
  <si>
    <t>Genesis Solar, LLC</t>
  </si>
  <si>
    <t>GENESI_2_STG1</t>
  </si>
  <si>
    <t>STG Unit 1</t>
  </si>
  <si>
    <t>GENESI_2_STG2</t>
  </si>
  <si>
    <t>STG Unit 2</t>
  </si>
  <si>
    <t>Grasslands 3</t>
  </si>
  <si>
    <t>DAVIS_1_SOLAR2</t>
  </si>
  <si>
    <t>Gurensey Solar Station</t>
  </si>
  <si>
    <t>Pacific Gas and Electric Co.</t>
  </si>
  <si>
    <t>GONZLS_6_UNIT</t>
  </si>
  <si>
    <t>Johnson Canyon Landfill</t>
  </si>
  <si>
    <t>Ameresco Johnson Canyon LLC</t>
  </si>
  <si>
    <t>LECEF_1_STG1</t>
  </si>
  <si>
    <t>LOS ESTEROS ENERGY FACILITY STG</t>
  </si>
  <si>
    <t>LODIEC_2_CTG</t>
  </si>
  <si>
    <t>LODIEC_2_STG</t>
  </si>
  <si>
    <t>North Palm Springs Investments LLC</t>
  </si>
  <si>
    <t>COCOSB_6_SOLAR</t>
  </si>
  <si>
    <t>Oakley Solar Project</t>
  </si>
  <si>
    <t>Hayworth-Fabian, LLC</t>
  </si>
  <si>
    <t>Ocotillo Express LLC</t>
  </si>
  <si>
    <t>RE Kansas South</t>
  </si>
  <si>
    <t>RE Kansas South LLC</t>
  </si>
  <si>
    <t>GLDTWN_6_SOLAR</t>
  </si>
  <si>
    <t>Rio Grande</t>
  </si>
  <si>
    <t>RE Rio Grande, LLC</t>
  </si>
  <si>
    <t>Russell City Energy Company, LLC</t>
  </si>
  <si>
    <t>DEVERS_1_SOLAR1</t>
  </si>
  <si>
    <t>SEPV8</t>
  </si>
  <si>
    <t>SEPV8, LLC</t>
  </si>
  <si>
    <t>DEVERS_1_SOLAR2</t>
  </si>
  <si>
    <t>SEPV9</t>
  </si>
  <si>
    <t>SEPV9, LLC</t>
  </si>
  <si>
    <t>ETIWND_2_RTS010</t>
  </si>
  <si>
    <t>SPVP010 Fontana RT Solar</t>
  </si>
  <si>
    <t>ETIWND_2_RTS015</t>
  </si>
  <si>
    <t>SPVP015 Fontana RT Solar</t>
  </si>
  <si>
    <t>ETIWND_2_RTS023</t>
  </si>
  <si>
    <t>SPVP023 Fontana RT Solar</t>
  </si>
  <si>
    <t>Sacramento Municipal Utility District</t>
  </si>
  <si>
    <t>Topaz Solar Farms</t>
  </si>
  <si>
    <t>MidAmerican Solar, LLC</t>
  </si>
  <si>
    <t>VACADX_1_NAS</t>
  </si>
  <si>
    <t>Vaca Dixon Battery NAS</t>
  </si>
  <si>
    <t>STORAGE</t>
  </si>
  <si>
    <t>BATTERY</t>
  </si>
  <si>
    <t>GATES_2_WSOLAR</t>
  </si>
  <si>
    <t>West Gates Solar Station</t>
  </si>
  <si>
    <t>SPS White River, LLC</t>
  </si>
  <si>
    <t>Wind Resource II</t>
  </si>
  <si>
    <t>CalWind Resources, Incorporated</t>
  </si>
  <si>
    <t>SYNCHRONOUS CONDENSER</t>
  </si>
  <si>
    <t>Converted to Synchronous Condenser Changed to Non-Participant 12/7/2012 Repowered</t>
  </si>
  <si>
    <t>CSolar Imperial Valley (IV) Substation South</t>
  </si>
  <si>
    <t>Desert Center Solar Farm</t>
  </si>
  <si>
    <t>Desert Sunlight 250</t>
  </si>
  <si>
    <t>INTKEP_2_UNITS</t>
  </si>
  <si>
    <t>CCSF Hetch_Hetchy Hydro Aggregate</t>
  </si>
  <si>
    <t>Manually added INTKEP_2_UNITS (aggregate of CCSF hydro units) to make consistent with NQC List</t>
  </si>
  <si>
    <t>Manually added SENTNL_2_CTGx (breakout of CPV Sentinel peakers) to make consistent with NQC List</t>
  </si>
  <si>
    <t>PUMP</t>
  </si>
  <si>
    <t>MANUALLY ADDED TO MAKE CONSISTENT w NQC LIST</t>
  </si>
  <si>
    <t>Manually added CDWR07_2_GEN and xxxxx_NSPIN units (pumps) to make consistent with NQC List</t>
  </si>
  <si>
    <t>COD original</t>
  </si>
  <si>
    <t>COD override source</t>
  </si>
  <si>
    <t>USER DEF</t>
  </si>
  <si>
    <t>OTC Compliance Date</t>
  </si>
  <si>
    <t>Hydro</t>
  </si>
  <si>
    <t>Cogeneration</t>
  </si>
  <si>
    <t>Pump</t>
  </si>
  <si>
    <t>Geothermal</t>
  </si>
  <si>
    <t>Biomass</t>
  </si>
  <si>
    <t>Non OTC Peaker</t>
  </si>
  <si>
    <t>Non OTC Thermal</t>
  </si>
  <si>
    <t>Various and Unknown</t>
  </si>
  <si>
    <t>OTC Non Nuclear</t>
  </si>
  <si>
    <r>
      <t xml:space="preserve"> Power Plant Projects Filed Since 1996, Updated: 12/4/2012
</t>
    </r>
    <r>
      <rPr>
        <sz val="10"/>
        <rFont val="Arial"/>
        <family val="2"/>
      </rPr>
      <t>(Note: Does not include projects filed but were withdrawn before they were approved.)</t>
    </r>
  </si>
  <si>
    <t xml:space="preserve">  Expected and disclosed</t>
    <phoneticPr fontId="3" type="noConversion"/>
  </si>
  <si>
    <t xml:space="preserve"> Future project.</t>
    <phoneticPr fontId="3" type="noConversion"/>
  </si>
  <si>
    <t xml:space="preserve"> will be determined, or project review will continue when new info ia available.</t>
    <phoneticPr fontId="3" type="noConversion"/>
  </si>
  <si>
    <t xml:space="preserve"> Cancelled, withdrawn, not built, license expired.</t>
    <phoneticPr fontId="3" type="noConversion"/>
  </si>
  <si>
    <t>1a</t>
    <phoneticPr fontId="3" type="noConversion"/>
  </si>
  <si>
    <t>16a</t>
    <phoneticPr fontId="3" type="noConversion"/>
  </si>
  <si>
    <t>19a</t>
    <phoneticPr fontId="3" type="noConversion"/>
  </si>
  <si>
    <t>19b</t>
    <phoneticPr fontId="3" type="noConversion"/>
  </si>
  <si>
    <t>1b</t>
    <phoneticPr fontId="3" type="noConversion"/>
  </si>
  <si>
    <t>Blythe I - NextEra Energy (FPL)</t>
    <phoneticPr fontId="3" type="noConversion"/>
  </si>
  <si>
    <t>16b</t>
    <phoneticPr fontId="3" type="noConversion"/>
  </si>
  <si>
    <t>31a</t>
    <phoneticPr fontId="3" type="noConversion"/>
  </si>
  <si>
    <t>31b</t>
    <phoneticPr fontId="3" type="noConversion"/>
  </si>
  <si>
    <t>41a</t>
    <phoneticPr fontId="3" type="noConversion"/>
  </si>
  <si>
    <t>Inland Empire - GE (UNIT 1)</t>
    <phoneticPr fontId="3" type="noConversion"/>
  </si>
  <si>
    <t>Operational</t>
    <phoneticPr fontId="3" type="noConversion"/>
  </si>
  <si>
    <t xml:space="preserve">100
</t>
    <phoneticPr fontId="3" type="noConversion"/>
  </si>
  <si>
    <t>unit 1: 1/28/09 400 MW</t>
    <phoneticPr fontId="3" type="noConversion"/>
  </si>
  <si>
    <t>5/1/09</t>
    <phoneticPr fontId="3" type="noConversion"/>
  </si>
  <si>
    <t>7/1/09</t>
    <phoneticPr fontId="3" type="noConversion"/>
  </si>
  <si>
    <t>Began: 9/10/01 Restart: 6/21/04
Resumed: 5/1/07</t>
    <phoneticPr fontId="3" type="noConversion"/>
  </si>
  <si>
    <t>10/3/09</t>
    <phoneticPr fontId="3" type="noConversion"/>
  </si>
  <si>
    <t>Subtotal On Line 2009</t>
    <phoneticPr fontId="3" type="noConversion"/>
  </si>
  <si>
    <t>41b</t>
    <phoneticPr fontId="3" type="noConversion"/>
  </si>
  <si>
    <t>Inland Empire - GE (UNIT 2)</t>
    <phoneticPr fontId="3" type="noConversion"/>
  </si>
  <si>
    <t xml:space="preserve">
unit 2: 5/3/2010 
400 MW</t>
    <phoneticPr fontId="3" type="noConversion"/>
  </si>
  <si>
    <t>4/8/2009</t>
    <phoneticPr fontId="3" type="noConversion"/>
  </si>
  <si>
    <t>7/16/2009</t>
    <phoneticPr fontId="3" type="noConversion"/>
  </si>
  <si>
    <t>12/10</t>
    <phoneticPr fontId="3" type="noConversion"/>
  </si>
  <si>
    <t>5/1/10</t>
    <phoneticPr fontId="3" type="noConversion"/>
  </si>
  <si>
    <t>Blythe I Transmission Line - NextEra Energy (FPL)</t>
    <phoneticPr fontId="3" type="noConversion"/>
  </si>
  <si>
    <t>6/10</t>
    <phoneticPr fontId="3" type="noConversion"/>
  </si>
  <si>
    <t>9/24/2008</t>
    <phoneticPr fontId="3" type="noConversion"/>
  </si>
  <si>
    <t>9/09</t>
    <phoneticPr fontId="3" type="noConversion"/>
  </si>
  <si>
    <t>Colusa II Generation Station - PG&amp;E</t>
    <phoneticPr fontId="3" type="noConversion"/>
  </si>
  <si>
    <t>12/22/2010</t>
    <phoneticPr fontId="3" type="noConversion"/>
  </si>
  <si>
    <t>Subtotal On Line 2010</t>
    <phoneticPr fontId="3" type="noConversion"/>
  </si>
  <si>
    <t>Riverside Energy Resource Center Units 3 &amp; 4 - City of Riverside</t>
    <phoneticPr fontId="3" type="noConversion"/>
  </si>
  <si>
    <t>1/4/2010</t>
    <phoneticPr fontId="3" type="noConversion"/>
  </si>
  <si>
    <t>1/10</t>
    <phoneticPr fontId="3" type="noConversion"/>
  </si>
  <si>
    <t>2/7/2011</t>
    <phoneticPr fontId="3" type="noConversion"/>
  </si>
  <si>
    <t>2007-AFC-9C</t>
    <phoneticPr fontId="3" type="noConversion"/>
  </si>
  <si>
    <t>3/17/2010</t>
    <phoneticPr fontId="3" type="noConversion"/>
  </si>
  <si>
    <t>4/15/2010</t>
    <phoneticPr fontId="3" type="noConversion"/>
  </si>
  <si>
    <t>7/2011</t>
    <phoneticPr fontId="3" type="noConversion"/>
  </si>
  <si>
    <t>12/2011</t>
    <phoneticPr fontId="3" type="noConversion"/>
  </si>
  <si>
    <t>Subtotal On Line 2011</t>
    <phoneticPr fontId="3" type="noConversion"/>
  </si>
  <si>
    <t>Almond Peaker Power Plant Project - Turlock Irrigation District</t>
    <phoneticPr fontId="3" type="noConversion"/>
  </si>
  <si>
    <t>2009-AFC-2C</t>
    <phoneticPr fontId="3" type="noConversion"/>
  </si>
  <si>
    <t>Stanislaus</t>
    <phoneticPr fontId="3" type="noConversion"/>
  </si>
  <si>
    <t>3/1/2011</t>
    <phoneticPr fontId="3" type="noConversion"/>
  </si>
  <si>
    <t>3/27/2012</t>
    <phoneticPr fontId="3" type="noConversion"/>
  </si>
  <si>
    <t>7/13/2012</t>
    <phoneticPr fontId="3" type="noConversion"/>
  </si>
  <si>
    <t>2009-AFC-3C</t>
    <phoneticPr fontId="3" type="noConversion"/>
  </si>
  <si>
    <t>5/18/2011</t>
    <phoneticPr fontId="3" type="noConversion"/>
  </si>
  <si>
    <t>6/8/2011</t>
    <phoneticPr fontId="3" type="noConversion"/>
  </si>
  <si>
    <t>7/2012</t>
    <phoneticPr fontId="3" type="noConversion"/>
  </si>
  <si>
    <t>10/2012</t>
    <phoneticPr fontId="3" type="noConversion"/>
  </si>
  <si>
    <t>2006-SPPE-2C</t>
    <phoneticPr fontId="3" type="noConversion"/>
  </si>
  <si>
    <t>9/2010</t>
    <phoneticPr fontId="3" type="noConversion"/>
  </si>
  <si>
    <t>4/2012</t>
    <phoneticPr fontId="3" type="noConversion"/>
  </si>
  <si>
    <t>2008-AFC-7C</t>
    <phoneticPr fontId="3" type="noConversion"/>
  </si>
  <si>
    <t>3/24/2010</t>
    <phoneticPr fontId="3" type="noConversion"/>
  </si>
  <si>
    <t>1/10/2011</t>
    <phoneticPr fontId="3" type="noConversion"/>
  </si>
  <si>
    <t>8/2012</t>
    <phoneticPr fontId="3" type="noConversion"/>
  </si>
  <si>
    <t>11/1/2012</t>
    <phoneticPr fontId="3" type="noConversion"/>
  </si>
  <si>
    <t>2008-AFC-10C</t>
    <phoneticPr fontId="3" type="noConversion"/>
  </si>
  <si>
    <t>4/21/2010</t>
    <phoneticPr fontId="3" type="noConversion"/>
  </si>
  <si>
    <t>7/14/2010</t>
    <phoneticPr fontId="3" type="noConversion"/>
  </si>
  <si>
    <t>6/2012</t>
    <phoneticPr fontId="3" type="noConversion"/>
  </si>
  <si>
    <t>9/2012</t>
    <phoneticPr fontId="3" type="noConversion"/>
  </si>
  <si>
    <t>Subtotal On Line 2012</t>
    <phoneticPr fontId="3" type="noConversion"/>
  </si>
  <si>
    <t>2005-AFC-2C</t>
    <phoneticPr fontId="3" type="noConversion"/>
  </si>
  <si>
    <t>2/27/2008</t>
    <phoneticPr fontId="3" type="noConversion"/>
  </si>
  <si>
    <t>6/2011</t>
    <phoneticPr fontId="3" type="noConversion"/>
  </si>
  <si>
    <t>5/1/2013</t>
    <phoneticPr fontId="3" type="noConversion"/>
  </si>
  <si>
    <t>2008-AFC-3C</t>
    <phoneticPr fontId="3" type="noConversion"/>
  </si>
  <si>
    <t>8/25/2010</t>
    <phoneticPr fontId="3" type="noConversion"/>
  </si>
  <si>
    <t>1/15/2010</t>
    <phoneticPr fontId="3" type="noConversion"/>
  </si>
  <si>
    <t>6/2013</t>
    <phoneticPr fontId="3" type="noConversion"/>
  </si>
  <si>
    <t>2007-AFC-3C</t>
    <phoneticPr fontId="3" type="noConversion"/>
  </si>
  <si>
    <t>12/1/2010</t>
    <phoneticPr fontId="3" type="noConversion"/>
  </si>
  <si>
    <t>8/2013</t>
    <phoneticPr fontId="3" type="noConversion"/>
  </si>
  <si>
    <t>58a</t>
    <phoneticPr fontId="3" type="noConversion"/>
  </si>
  <si>
    <t xml:space="preserve">El Segundo Power Redevelopment (Dry Cooling Amendment) Units: 5, 6, 7, 8 </t>
    <phoneticPr fontId="3" type="noConversion"/>
  </si>
  <si>
    <t>2000-AFC-14C</t>
    <phoneticPr fontId="3" type="noConversion"/>
  </si>
  <si>
    <t>5/6/2011</t>
    <phoneticPr fontId="3" type="noConversion"/>
  </si>
  <si>
    <t>8/2010</t>
    <phoneticPr fontId="3" type="noConversion"/>
  </si>
  <si>
    <t>8/1/2013</t>
    <phoneticPr fontId="3" type="noConversion"/>
  </si>
  <si>
    <t>2001-AFC-7C</t>
    <phoneticPr fontId="3" type="noConversion"/>
  </si>
  <si>
    <t>9/1/2010</t>
    <phoneticPr fontId="3" type="noConversion"/>
  </si>
  <si>
    <t>8/8/2013</t>
    <phoneticPr fontId="3" type="noConversion"/>
  </si>
  <si>
    <t>2003-AFC-2C</t>
    <phoneticPr fontId="3" type="noConversion"/>
  </si>
  <si>
    <t>5/26/2011</t>
    <phoneticPr fontId="3" type="noConversion"/>
  </si>
  <si>
    <t>N/A</t>
    <phoneticPr fontId="3" type="noConversion"/>
  </si>
  <si>
    <t>8/9/2013</t>
    <phoneticPr fontId="3" type="noConversion"/>
  </si>
  <si>
    <t>61a</t>
    <phoneticPr fontId="3" type="noConversion"/>
  </si>
  <si>
    <t>Genesis Solar Energy Project - NextEra Energy</t>
    <phoneticPr fontId="3" type="noConversion"/>
  </si>
  <si>
    <t>2009-AFC-8C</t>
    <phoneticPr fontId="3" type="noConversion"/>
  </si>
  <si>
    <t>Riverside</t>
    <phoneticPr fontId="3" type="noConversion"/>
  </si>
  <si>
    <t>9/29/2010</t>
    <phoneticPr fontId="3" type="noConversion"/>
  </si>
  <si>
    <t>1/17/2011</t>
    <phoneticPr fontId="3" type="noConversion"/>
  </si>
  <si>
    <t>Unit 2                             11/30/2013</t>
    <phoneticPr fontId="3" type="noConversion"/>
  </si>
  <si>
    <t>Subtotal On Line 2013</t>
    <phoneticPr fontId="3" type="noConversion"/>
  </si>
  <si>
    <t>Emergency Peakers</t>
    <phoneticPr fontId="3" type="noConversion"/>
  </si>
  <si>
    <t>Small Power Plant Exemption</t>
    <phoneticPr fontId="3" type="noConversion"/>
  </si>
  <si>
    <t>Large Scale Power Plants</t>
    <phoneticPr fontId="3" type="noConversion"/>
  </si>
  <si>
    <t>ON-LINE TOTAL: In Operation</t>
    <phoneticPr fontId="3" type="noConversion"/>
  </si>
  <si>
    <t xml:space="preserve"> With Testing Plants</t>
    <phoneticPr fontId="3" type="noConversion"/>
  </si>
  <si>
    <t>Abengoa Mojave Solar Project - Mojave Solar LLC</t>
    <phoneticPr fontId="3" type="noConversion"/>
  </si>
  <si>
    <t>2009-AFC-5C</t>
    <phoneticPr fontId="3" type="noConversion"/>
  </si>
  <si>
    <t>Under Construction</t>
    <phoneticPr fontId="3" type="noConversion"/>
  </si>
  <si>
    <t>San Bernardino</t>
    <phoneticPr fontId="3" type="noConversion"/>
  </si>
  <si>
    <t>9/8/2010</t>
    <phoneticPr fontId="3" type="noConversion"/>
  </si>
  <si>
    <t>Blythe Solar - NextEra Blythe Energy Center LLC</t>
    <phoneticPr fontId="3" type="noConversion"/>
  </si>
  <si>
    <t>2009-AFC-6C</t>
    <phoneticPr fontId="3" type="noConversion"/>
  </si>
  <si>
    <t>Hold</t>
    <phoneticPr fontId="3" type="noConversion"/>
  </si>
  <si>
    <t>9/15/2010</t>
    <phoneticPr fontId="3" type="noConversion"/>
  </si>
  <si>
    <t>Summer 2014</t>
    <phoneticPr fontId="3" type="noConversion"/>
  </si>
  <si>
    <t>Ivanpah Solar - Brightsource</t>
    <phoneticPr fontId="3" type="noConversion"/>
  </si>
  <si>
    <t>2007-AFC-5C</t>
    <phoneticPr fontId="3" type="noConversion"/>
  </si>
  <si>
    <t>9/22/2010</t>
    <phoneticPr fontId="3" type="noConversion"/>
  </si>
  <si>
    <t>10/2010</t>
    <phoneticPr fontId="3" type="noConversion"/>
  </si>
  <si>
    <t>10/2012 - 2014</t>
    <phoneticPr fontId="3" type="noConversion"/>
  </si>
  <si>
    <t>10/2012 - 2014     Phased</t>
    <phoneticPr fontId="3" type="noConversion"/>
  </si>
  <si>
    <t>Units 1 &amp; 2                    85.5</t>
    <phoneticPr fontId="3" type="noConversion"/>
  </si>
  <si>
    <t>Unit 2 Commercial Operation 11/30/2013</t>
    <phoneticPr fontId="3" type="noConversion"/>
  </si>
  <si>
    <t>2009-AFC-4C</t>
    <phoneticPr fontId="3" type="noConversion"/>
  </si>
  <si>
    <t xml:space="preserve"> Approved and/or Under Construction Subtotal </t>
    <phoneticPr fontId="3" type="noConversion"/>
  </si>
  <si>
    <t>Pre-Const. Completed
(%)</t>
    <phoneticPr fontId="3" type="noConversion"/>
  </si>
  <si>
    <t>Victorville Hybrid Gas-Solar - City of Victorville              (513 MW Gas + 50 MW solar)</t>
    <phoneticPr fontId="3" type="noConversion"/>
  </si>
  <si>
    <t>2007-AFC-1C</t>
    <phoneticPr fontId="3" type="noConversion"/>
  </si>
  <si>
    <t>7/16/2008</t>
    <phoneticPr fontId="3" type="noConversion"/>
  </si>
  <si>
    <t>Extended to              July 16, 2018</t>
    <phoneticPr fontId="3" type="noConversion"/>
  </si>
  <si>
    <t>TBD</t>
    <phoneticPr fontId="3" type="noConversion"/>
  </si>
  <si>
    <t>2008-AFC-1C</t>
    <phoneticPr fontId="3" type="noConversion"/>
  </si>
  <si>
    <t>Pre-
Construction</t>
    <phoneticPr fontId="3" type="noConversion"/>
  </si>
  <si>
    <t>Delayed</t>
    <phoneticPr fontId="3" type="noConversion"/>
  </si>
  <si>
    <t>12/16/2009</t>
    <phoneticPr fontId="3" type="noConversion"/>
  </si>
  <si>
    <t>2001-EP-7C</t>
    <phoneticPr fontId="3" type="noConversion"/>
  </si>
  <si>
    <t>Kings</t>
    <phoneticPr fontId="3" type="noConversion"/>
  </si>
  <si>
    <t>TBD</t>
  </si>
  <si>
    <t>Henrietta Peaker Project Combined Cycle Expansion - GWF Energy LLC</t>
    <phoneticPr fontId="3" type="noConversion"/>
  </si>
  <si>
    <t>2001-AFC-18C</t>
    <phoneticPr fontId="3" type="noConversion"/>
  </si>
  <si>
    <t>Rice Solar Energy Project - 
Rice Solar Energy LLC / SolarReserve LLC</t>
    <phoneticPr fontId="3" type="noConversion"/>
  </si>
  <si>
    <t>2009-AFC-10C</t>
    <phoneticPr fontId="3" type="noConversion"/>
  </si>
  <si>
    <t>3/2103</t>
    <phoneticPr fontId="3" type="noConversion"/>
  </si>
  <si>
    <t>Palen - Nalep Solar Project I, LLC</t>
    <phoneticPr fontId="3" type="noConversion"/>
  </si>
  <si>
    <t>2009-AFC-7C</t>
    <phoneticPr fontId="3" type="noConversion"/>
  </si>
  <si>
    <t>Hybrid Gas-Solar - City of  Palmdale                            (520 MW gas + 50 MW solar)</t>
    <phoneticPr fontId="3" type="noConversion"/>
  </si>
  <si>
    <t>2008-AFC-9C</t>
    <phoneticPr fontId="3" type="noConversion"/>
  </si>
  <si>
    <t>Pending</t>
    <phoneticPr fontId="3" type="noConversion"/>
  </si>
  <si>
    <t>Los Angeles</t>
    <phoneticPr fontId="3" type="noConversion"/>
  </si>
  <si>
    <t>8/10/2011</t>
    <phoneticPr fontId="3" type="noConversion"/>
  </si>
  <si>
    <t>2009-AFC-1C</t>
    <phoneticPr fontId="3" type="noConversion"/>
  </si>
  <si>
    <t>4/11/2012</t>
    <phoneticPr fontId="3" type="noConversion"/>
  </si>
  <si>
    <t>5/31/2012</t>
    <phoneticPr fontId="3" type="noConversion"/>
  </si>
  <si>
    <t>Pio Pico Energy Center - Pio Pico Energy Center LLC</t>
    <phoneticPr fontId="3" type="noConversion"/>
  </si>
  <si>
    <t>2011-AFC-1C</t>
    <phoneticPr fontId="3" type="noConversion"/>
  </si>
  <si>
    <t>San Diego</t>
    <phoneticPr fontId="3" type="noConversion"/>
  </si>
  <si>
    <t>9/12/2012</t>
    <phoneticPr fontId="3" type="noConversion"/>
  </si>
  <si>
    <t>3/2013</t>
    <phoneticPr fontId="3" type="noConversion"/>
  </si>
  <si>
    <t>5/2014</t>
    <phoneticPr fontId="3" type="noConversion"/>
  </si>
  <si>
    <t xml:space="preserve"> Approved and/or Under Pre-Construction Subtotal </t>
    <phoneticPr fontId="3" type="noConversion"/>
  </si>
  <si>
    <t xml:space="preserve"> Total Large Solar (Pre-Const and Const)</t>
    <phoneticPr fontId="3" type="noConversion"/>
  </si>
  <si>
    <t xml:space="preserve"> Total Construction (Pre-Const and Const)</t>
    <phoneticPr fontId="3" type="noConversion"/>
  </si>
  <si>
    <t>Black Rock 1, 2, and 3 Geothermal Power Project
(formerly Salton Sea Geothermal) - Cal Energy</t>
    <phoneticPr fontId="3" type="noConversion"/>
  </si>
  <si>
    <t>2002-AFC-02C</t>
    <phoneticPr fontId="3" type="noConversion"/>
  </si>
  <si>
    <t>Extension approved, Const. start  12/18/2014,        On Hold: pending a power purchase agreement</t>
    <phoneticPr fontId="3" type="noConversion"/>
  </si>
  <si>
    <t>On Hold</t>
    <phoneticPr fontId="3" type="noConversion"/>
  </si>
  <si>
    <t>2002-AFC-01C</t>
    <phoneticPr fontId="3" type="noConversion"/>
  </si>
  <si>
    <t>A</t>
    <phoneticPr fontId="3" type="noConversion"/>
  </si>
  <si>
    <t>2001-AFC-21C</t>
    <phoneticPr fontId="3" type="noConversion"/>
  </si>
  <si>
    <t>Not Built and License Expired</t>
    <phoneticPr fontId="3" type="noConversion"/>
  </si>
  <si>
    <t>Cancelled</t>
    <phoneticPr fontId="3" type="noConversion"/>
  </si>
  <si>
    <t>B</t>
    <phoneticPr fontId="3" type="noConversion"/>
  </si>
  <si>
    <t>2001-AFC-22C</t>
    <phoneticPr fontId="3" type="noConversion"/>
  </si>
  <si>
    <t>01/2006</t>
    <phoneticPr fontId="3" type="noConversion"/>
  </si>
  <si>
    <t>C</t>
    <phoneticPr fontId="3" type="noConversion"/>
  </si>
  <si>
    <t>1999-AFC-02C</t>
    <phoneticPr fontId="3" type="noConversion"/>
  </si>
  <si>
    <t>12/2003</t>
    <phoneticPr fontId="3" type="noConversion"/>
  </si>
  <si>
    <t>D</t>
    <phoneticPr fontId="3" type="noConversion"/>
  </si>
  <si>
    <t>1999-AFC-09C</t>
    <phoneticPr fontId="3" type="noConversion"/>
  </si>
  <si>
    <t>07/2003</t>
    <phoneticPr fontId="3" type="noConversion"/>
  </si>
  <si>
    <t>E</t>
    <phoneticPr fontId="3" type="noConversion"/>
  </si>
  <si>
    <t>2000-AFC-05C</t>
    <phoneticPr fontId="3" type="noConversion"/>
  </si>
  <si>
    <t>07/2001</t>
    <phoneticPr fontId="3" type="noConversion"/>
  </si>
  <si>
    <t>F</t>
    <phoneticPr fontId="3" type="noConversion"/>
  </si>
  <si>
    <t>2001-EP-09C</t>
    <phoneticPr fontId="3" type="noConversion"/>
  </si>
  <si>
    <t>G</t>
    <phoneticPr fontId="3" type="noConversion"/>
  </si>
  <si>
    <t>2001-EP-03C</t>
    <phoneticPr fontId="3" type="noConversion"/>
  </si>
  <si>
    <t>H</t>
    <phoneticPr fontId="3" type="noConversion"/>
  </si>
  <si>
    <t>2000-SPPE-01C</t>
    <phoneticPr fontId="3" type="noConversion"/>
  </si>
  <si>
    <t>I</t>
    <phoneticPr fontId="3" type="noConversion"/>
  </si>
  <si>
    <t>2001-AFC-05C</t>
    <phoneticPr fontId="3" type="noConversion"/>
  </si>
  <si>
    <t>12/2002</t>
    <phoneticPr fontId="3" type="noConversion"/>
  </si>
  <si>
    <t>J</t>
    <phoneticPr fontId="3" type="noConversion"/>
  </si>
  <si>
    <t>SF Reliability Project - CCSF</t>
    <phoneticPr fontId="3" type="noConversion"/>
  </si>
  <si>
    <t>2004-AFC-01C</t>
    <phoneticPr fontId="3" type="noConversion"/>
  </si>
  <si>
    <t>License Terminated</t>
    <phoneticPr fontId="3" type="noConversion"/>
  </si>
  <si>
    <t>K</t>
    <phoneticPr fontId="3" type="noConversion"/>
  </si>
  <si>
    <t>2001-AFC-04C</t>
    <phoneticPr fontId="3" type="noConversion"/>
  </si>
  <si>
    <t>License Teminated</t>
    <phoneticPr fontId="3" type="noConversion"/>
  </si>
  <si>
    <t>L</t>
    <phoneticPr fontId="3" type="noConversion"/>
  </si>
  <si>
    <t>Imperial Valley Solar (Formerly SES Solar Two) - Imperial Valley Solar LLC</t>
    <phoneticPr fontId="3" type="noConversion"/>
  </si>
  <si>
    <t>2008-AFC-5C</t>
    <phoneticPr fontId="3" type="noConversion"/>
  </si>
  <si>
    <t>M</t>
    <phoneticPr fontId="3" type="noConversion"/>
  </si>
  <si>
    <t>2005-AFC-1C</t>
    <phoneticPr fontId="3" type="noConversion"/>
  </si>
  <si>
    <t>N</t>
    <phoneticPr fontId="3" type="noConversion"/>
  </si>
  <si>
    <t>2000-AFC-12C</t>
    <phoneticPr fontId="3" type="noConversion"/>
  </si>
  <si>
    <t>License Withdrawn</t>
    <phoneticPr fontId="3" type="noConversion"/>
  </si>
  <si>
    <t>2008-AFC-2C</t>
    <phoneticPr fontId="3" type="noConversion"/>
  </si>
  <si>
    <t>p</t>
    <phoneticPr fontId="3" type="noConversion"/>
  </si>
  <si>
    <t>Calico Solar - Calico Solar LLC 
(formerly SES Solar One LLC/Stirling Energy</t>
    <phoneticPr fontId="3" type="noConversion"/>
  </si>
  <si>
    <t>2008-AFC-13C</t>
    <phoneticPr fontId="3" type="noConversion"/>
  </si>
  <si>
    <t>Hold/80</t>
    <phoneticPr fontId="3" type="noConversion"/>
  </si>
  <si>
    <t>10/28/2010</t>
    <phoneticPr fontId="3" type="noConversion"/>
  </si>
  <si>
    <t>10/08/2008</t>
    <phoneticPr fontId="3" type="noConversion"/>
  </si>
  <si>
    <t>6/17/2009</t>
    <phoneticPr fontId="3" type="noConversion"/>
  </si>
  <si>
    <t>AES High Grove Power Plant</t>
    <phoneticPr fontId="3" type="noConversion"/>
  </si>
  <si>
    <t>2006-AFC-2</t>
    <phoneticPr fontId="3" type="noConversion"/>
  </si>
  <si>
    <t>12-mon AFC</t>
    <phoneticPr fontId="3" type="noConversion"/>
  </si>
  <si>
    <t>Brownfield</t>
    <phoneticPr fontId="3" type="noConversion"/>
  </si>
  <si>
    <t>San Bernardino Co.</t>
    <phoneticPr fontId="3" type="noConversion"/>
  </si>
  <si>
    <t>2011-AFC-04</t>
    <phoneticPr fontId="3" type="noConversion"/>
  </si>
  <si>
    <t>10/14/2011</t>
    <phoneticPr fontId="3" type="noConversion"/>
  </si>
  <si>
    <t>Project Withdrawn 7/9/2013</t>
    <phoneticPr fontId="3" type="noConversion"/>
  </si>
  <si>
    <t>11/18/2008</t>
    <phoneticPr fontId="3" type="noConversion"/>
  </si>
  <si>
    <t>Project Withdrawn 8/27/2013</t>
    <phoneticPr fontId="3" type="noConversion"/>
  </si>
  <si>
    <r>
      <t xml:space="preserve">Capacity
(MW)
</t>
    </r>
    <r>
      <rPr>
        <b/>
        <i/>
        <sz val="8"/>
        <rFont val="Verdana"/>
        <family val="2"/>
      </rPr>
      <t>[Bracketed
 indicates large solar]</t>
    </r>
  </si>
  <si>
    <t>Original Estimated 
On-line Date</t>
    <phoneticPr fontId="3" type="noConversion"/>
  </si>
  <si>
    <t>Clean Hydrogen Power Project -
BP ARCO &amp; Edison Mission Energy</t>
    <phoneticPr fontId="3" type="noConversion"/>
  </si>
  <si>
    <t>2008-AFC-8A</t>
    <phoneticPr fontId="3" type="noConversion"/>
  </si>
  <si>
    <t>7/31/2008
--------------
Revised AFC filed
5/28/2009
--------------
Amended AFC filed 5/2/2012</t>
    <phoneticPr fontId="3" type="noConversion"/>
  </si>
  <si>
    <t>9/2017</t>
    <phoneticPr fontId="3" type="noConversion"/>
  </si>
  <si>
    <t>El Segundo Power Redevelopment (Dry Cooling Amendment) Units: 9, 10, 11, 12</t>
    <phoneticPr fontId="3" type="noConversion"/>
  </si>
  <si>
    <t>2000-AFC-14C</t>
  </si>
  <si>
    <t>12-mon-AFC</t>
    <phoneticPr fontId="3" type="noConversion"/>
  </si>
  <si>
    <t>Amendment filed 4/28/2013</t>
    <phoneticPr fontId="3" type="noConversion"/>
  </si>
  <si>
    <t>Hidden Hills Solar Electric Generating System                 BrightSource Energy, Inc.</t>
    <phoneticPr fontId="3" type="noConversion"/>
  </si>
  <si>
    <t>2011-AFC-02</t>
    <phoneticPr fontId="3" type="noConversion"/>
  </si>
  <si>
    <t>[500]</t>
    <phoneticPr fontId="3" type="noConversion"/>
  </si>
  <si>
    <t>Greenfield</t>
    <phoneticPr fontId="3" type="noConversion"/>
  </si>
  <si>
    <t>Inyo County</t>
    <phoneticPr fontId="3" type="noConversion"/>
  </si>
  <si>
    <t>Under Suspension Until 2014</t>
    <phoneticPr fontId="3" type="noConversion"/>
  </si>
  <si>
    <t>Huntington Beach Energy Project</t>
    <phoneticPr fontId="3" type="noConversion"/>
  </si>
  <si>
    <t>2012-AFC-02</t>
    <phoneticPr fontId="3" type="noConversion"/>
  </si>
  <si>
    <t>Orange</t>
    <phoneticPr fontId="3" type="noConversion"/>
  </si>
  <si>
    <t>6/27/2012</t>
    <phoneticPr fontId="3" type="noConversion"/>
  </si>
  <si>
    <t>Unit 1 - 6/2018</t>
    <phoneticPr fontId="3" type="noConversion"/>
  </si>
  <si>
    <t>Quail Brush Generating Project                              Quail Brush Genco, LLC.</t>
    <phoneticPr fontId="3" type="noConversion"/>
  </si>
  <si>
    <t>2011-AFC-03</t>
    <phoneticPr fontId="3" type="noConversion"/>
  </si>
  <si>
    <t>San Diego Co.</t>
    <phoneticPr fontId="3" type="noConversion"/>
  </si>
  <si>
    <t>8/2011</t>
    <phoneticPr fontId="3" type="noConversion"/>
  </si>
  <si>
    <t>Redondo Beach Repower - AES</t>
    <phoneticPr fontId="3" type="noConversion"/>
  </si>
  <si>
    <t>Los Angeles County</t>
    <phoneticPr fontId="3" type="noConversion"/>
  </si>
  <si>
    <t>11/19/2012</t>
    <phoneticPr fontId="3" type="noConversion"/>
  </si>
  <si>
    <t>San Gabriel - Reliant</t>
    <phoneticPr fontId="3" type="noConversion"/>
  </si>
  <si>
    <t>2007-AFC-02</t>
    <phoneticPr fontId="3" type="noConversion"/>
  </si>
  <si>
    <t xml:space="preserve">Ridgecrest - </t>
    <phoneticPr fontId="3" type="noConversion"/>
  </si>
  <si>
    <t>2009-AFC-09</t>
    <phoneticPr fontId="3" type="noConversion"/>
  </si>
  <si>
    <t>[250]</t>
    <phoneticPr fontId="3" type="noConversion"/>
  </si>
  <si>
    <t>Kern</t>
    <phoneticPr fontId="3" type="noConversion"/>
  </si>
  <si>
    <t>9/1/09</t>
    <phoneticPr fontId="3" type="noConversion"/>
  </si>
  <si>
    <t>2008-AFC-06</t>
    <phoneticPr fontId="3" type="noConversion"/>
  </si>
  <si>
    <t>?</t>
    <phoneticPr fontId="3" type="noConversion"/>
  </si>
  <si>
    <t>UNDER REVIEW (No Lg Solar)</t>
    <phoneticPr fontId="3" type="noConversion"/>
  </si>
  <si>
    <t>Large-scale solar under review</t>
    <phoneticPr fontId="3" type="noConversion"/>
  </si>
  <si>
    <t>Under Review Total (excludes Suspended)</t>
    <phoneticPr fontId="3" type="noConversion"/>
  </si>
  <si>
    <t>Process</t>
    <phoneticPr fontId="3" type="noConversion"/>
  </si>
  <si>
    <t>Plant Type</t>
    <phoneticPr fontId="3" type="noConversion"/>
  </si>
  <si>
    <t>Phoenix Combined Heat and Power</t>
    <phoneticPr fontId="3" type="noConversion"/>
  </si>
  <si>
    <t>Natural Gas Cogen</t>
    <phoneticPr fontId="3" type="noConversion"/>
  </si>
  <si>
    <t>San Bernardino County</t>
    <phoneticPr fontId="3" type="noConversion"/>
  </si>
  <si>
    <t>TBD 2013</t>
    <phoneticPr fontId="3" type="noConversion"/>
  </si>
  <si>
    <t>Black Rock 5 &amp; 6 Geothermal Power Project                 CE Butte Energy, LLC.</t>
    <phoneticPr fontId="3" type="noConversion"/>
  </si>
  <si>
    <t>Geothermal Steam Turbine</t>
    <phoneticPr fontId="3" type="noConversion"/>
  </si>
  <si>
    <t>Imperial County</t>
    <phoneticPr fontId="3" type="noConversion"/>
  </si>
  <si>
    <t>TBD in 2013</t>
    <phoneticPr fontId="3" type="noConversion"/>
  </si>
  <si>
    <t>All categories</t>
  </si>
  <si>
    <t>CAISO area</t>
  </si>
  <si>
    <t>from Final 2014 NQC List tab</t>
  </si>
  <si>
    <t>BA of LSE</t>
  </si>
  <si>
    <t>LSE Type</t>
  </si>
  <si>
    <t>Bio Plants (* = dual fuel)</t>
  </si>
  <si>
    <t>Solar Projects</t>
  </si>
  <si>
    <t>Start Date</t>
  </si>
  <si>
    <t>Expiration Date</t>
  </si>
  <si>
    <t>Delivery Point</t>
  </si>
  <si>
    <t>S-5 Form</t>
  </si>
  <si>
    <t>Fuel</t>
  </si>
  <si>
    <t>Hydro Plants</t>
  </si>
  <si>
    <t>QFER Plant Name</t>
  </si>
  <si>
    <t>CEC Plant ID</t>
  </si>
  <si>
    <t>EIA PlantID</t>
  </si>
  <si>
    <t>CAISO Resource ID</t>
  </si>
  <si>
    <t>County</t>
  </si>
  <si>
    <t>City</t>
  </si>
  <si>
    <t>State of Resource</t>
  </si>
  <si>
    <t>BA of Resource</t>
  </si>
  <si>
    <t>S-1 Line</t>
  </si>
  <si>
    <t>S-2 Line</t>
  </si>
  <si>
    <t>LSE</t>
  </si>
  <si>
    <t>Category</t>
  </si>
  <si>
    <t>2013</t>
  </si>
  <si>
    <t>2014</t>
  </si>
  <si>
    <t>2015</t>
  </si>
  <si>
    <t>2016</t>
  </si>
  <si>
    <t>2017</t>
  </si>
  <si>
    <t>2018</t>
  </si>
  <si>
    <t>2019</t>
  </si>
  <si>
    <t>2020</t>
  </si>
  <si>
    <t>2021</t>
  </si>
  <si>
    <t>2022</t>
  </si>
  <si>
    <t>Form type</t>
  </si>
  <si>
    <t>CISO</t>
  </si>
  <si>
    <t>POU-L</t>
  </si>
  <si>
    <t>Palo Alto Solar (Trina - Brannon)</t>
  </si>
  <si>
    <t>NP15, Fresno County</t>
  </si>
  <si>
    <t>new in 2014</t>
  </si>
  <si>
    <t>CA</t>
  </si>
  <si>
    <t>18n</t>
  </si>
  <si>
    <t>14n</t>
  </si>
  <si>
    <t>Solar PV: Palo Alto Solar (Trina - Brannon)</t>
  </si>
  <si>
    <t>S-1</t>
  </si>
  <si>
    <t>Recurrent Solar</t>
  </si>
  <si>
    <t>SP15, Rosamond sub</t>
  </si>
  <si>
    <t>Rosamond</t>
  </si>
  <si>
    <t>18p</t>
  </si>
  <si>
    <t>14p</t>
  </si>
  <si>
    <t>Solar PV: Recurrent Solar</t>
  </si>
  <si>
    <t>NP15, Switch Gap Junction</t>
  </si>
  <si>
    <t>eHydro</t>
  </si>
  <si>
    <t>Beardsley</t>
  </si>
  <si>
    <t>H0022</t>
  </si>
  <si>
    <t>414</t>
  </si>
  <si>
    <t>Tuolumne</t>
  </si>
  <si>
    <t>Pinecrest</t>
  </si>
  <si>
    <t>18m</t>
  </si>
  <si>
    <t>14m</t>
  </si>
  <si>
    <t>Large Hydro: Tri-Dam Beardsley</t>
  </si>
  <si>
    <t xml:space="preserve">NP15 </t>
  </si>
  <si>
    <t>Landfill Gas</t>
  </si>
  <si>
    <t>new in 2013</t>
  </si>
  <si>
    <t>Gonzales</t>
  </si>
  <si>
    <t>18j</t>
  </si>
  <si>
    <t>14j</t>
  </si>
  <si>
    <t>Landfill Gas: Johnson Canyon Landfill</t>
  </si>
  <si>
    <t>Martifer/Silverado Solar</t>
  </si>
  <si>
    <t>SP15, Lancaster</t>
  </si>
  <si>
    <t>new in 2015</t>
  </si>
  <si>
    <t>Lancaster</t>
  </si>
  <si>
    <t>Pasadena</t>
  </si>
  <si>
    <t>Solar PV: Martifer/Silverado Solar (Lancaster)</t>
  </si>
  <si>
    <t>NP15, Woodward sub</t>
  </si>
  <si>
    <t>Friant-Kern Hydro Facility (River Outlet, Madera Canal, F-K)</t>
  </si>
  <si>
    <t>H0198</t>
  </si>
  <si>
    <t>50393</t>
  </si>
  <si>
    <t>Madera</t>
  </si>
  <si>
    <t>Terra Bella</t>
  </si>
  <si>
    <t>18k</t>
  </si>
  <si>
    <t>14k</t>
  </si>
  <si>
    <t>Large Hydro: Friant 2</t>
  </si>
  <si>
    <t>NP15, Coppermine sub</t>
  </si>
  <si>
    <t>Large Hydro: Friant 1</t>
  </si>
  <si>
    <t>Donnels, Tulloch, Beardsley</t>
  </si>
  <si>
    <t>various</t>
  </si>
  <si>
    <t>18l</t>
  </si>
  <si>
    <t>14l</t>
  </si>
  <si>
    <t>Large Hydro: Tri-Dam Southern</t>
  </si>
  <si>
    <t>CEC Siting Cases</t>
  </si>
  <si>
    <t>CEC Other Projects</t>
  </si>
  <si>
    <t>This is any procurement authorization that comes from the 2012 LTPP cycle e.g. Track 1 and Track 4 potential procurement</t>
  </si>
  <si>
    <t>2012 LTPP Track 4</t>
  </si>
  <si>
    <t>from RPS Calculator Tool output</t>
  </si>
  <si>
    <t>from Final 2014 NQC List tab looking up facility age or planned retirement date</t>
  </si>
  <si>
    <t>DCPP</t>
  </si>
  <si>
    <t>assuming "Pump" resources have same retirement characteristics as Hydro</t>
  </si>
  <si>
    <t>assuming "Various and Unknown" resources do not retire in planning horizon</t>
  </si>
  <si>
    <t>PkFac</t>
  </si>
  <si>
    <t>CapFac</t>
  </si>
  <si>
    <t>Factor to convert statewide projections to CAISO area scope (based on historical load share)</t>
  </si>
  <si>
    <t>(Note: the CAISO area installed capacity is derived by adjusting the Statewide downward by factor of 0.8--roughly the load ratio between CAISO and Statewide load, adjustable on Scenarios tab Control Panel of this workbook)</t>
  </si>
  <si>
    <t>Transmission &amp; Distribution-connected</t>
  </si>
  <si>
    <t>Hydro+Pump</t>
  </si>
  <si>
    <t>Geothermal+Biomass</t>
  </si>
  <si>
    <t>Conventional Expected</t>
  </si>
  <si>
    <t>Existing Resources (MW)</t>
  </si>
  <si>
    <t>Resource Retirements (MW)</t>
  </si>
  <si>
    <t>Hydro + Pump</t>
  </si>
  <si>
    <t>Geothermal + Biomass</t>
  </si>
  <si>
    <t>Other</t>
  </si>
  <si>
    <t>Non-RPS (Conventional Expected)</t>
  </si>
  <si>
    <t>2014 LTPP Scenarios (2024, 2034 Target Years)</t>
  </si>
  <si>
    <t>Priority</t>
  </si>
  <si>
    <t>AA-EE</t>
  </si>
  <si>
    <t>CHP Additions</t>
  </si>
  <si>
    <t>Storage Additions</t>
  </si>
  <si>
    <t>Other Retirements</t>
  </si>
  <si>
    <t>Mid(1in2)</t>
  </si>
  <si>
    <t>IEPR</t>
  </si>
  <si>
    <t xml:space="preserve">Default </t>
  </si>
  <si>
    <t>1-in-2 weather load impacts</t>
  </si>
  <si>
    <t>a</t>
  </si>
  <si>
    <t>Base-TPP Local Area Reliability Studies</t>
  </si>
  <si>
    <t>Mid(1in10)</t>
  </si>
  <si>
    <t>b</t>
  </si>
  <si>
    <t>Base-TPP Bulk System Reliability Studies</t>
  </si>
  <si>
    <t>Mid(1in5)</t>
  </si>
  <si>
    <t>c</t>
  </si>
  <si>
    <t>Base-TPP Policy Studies</t>
  </si>
  <si>
    <t>d</t>
  </si>
  <si>
    <t>Base-TPP Economic Studies</t>
  </si>
  <si>
    <t>High Load</t>
  </si>
  <si>
    <t>High(1in2)</t>
  </si>
  <si>
    <t>Diablo Canyon Impact</t>
  </si>
  <si>
    <t>IEPR+Low Inc CHP</t>
  </si>
  <si>
    <t>Expanded Preferred Resources</t>
  </si>
  <si>
    <t>IEPR+High Inc CHP</t>
  </si>
  <si>
    <t>High Inc CHP</t>
  </si>
  <si>
    <t>Yellow highlights indicate assumptions that differ from the Trajectory scenario.</t>
  </si>
  <si>
    <t>Variable</t>
  </si>
  <si>
    <t>Description</t>
  </si>
  <si>
    <t>Vintage</t>
  </si>
  <si>
    <t>Usage</t>
  </si>
  <si>
    <t>Link</t>
  </si>
  <si>
    <t>CED Form 1.2 and 1.4</t>
  </si>
  <si>
    <t>Installed capacity from Asish Gautam</t>
  </si>
  <si>
    <t>Use diff btw high PV and mid PV case in CED</t>
  </si>
  <si>
    <t>DR embedded in IEPR</t>
  </si>
  <si>
    <t>Load Impact Reports PY 2012</t>
  </si>
  <si>
    <t>Storage Target Decision Oct 2013</t>
  </si>
  <si>
    <t>http://docs.cpuc.ca.gov/PublishedDocs/Published/G000/M079/K533/79533378.PDF</t>
  </si>
  <si>
    <t>Conventional Additions &gt; 50 MW size</t>
  </si>
  <si>
    <t>CEC Siting Cases List, Status of All Projects</t>
  </si>
  <si>
    <t>Conventional Additions &lt; 50 MW size</t>
  </si>
  <si>
    <t>Emailed dataset from CEC staff to CPUC staff, Nov 5, 2013</t>
  </si>
  <si>
    <t>PG&amp;E: https://www.pge.com/regulation/DemandResponseOIR/Other-Docs/PGE/2013/DemandResponseOIR_Other-Doc_PGE_20130402_269621.pdf</t>
  </si>
  <si>
    <t>SCE: http://www3.sce.com/sscc/law/dis/dbattach5e.nsf/0/62A8F5E44C447F0688257B410052EC7B/$FILE/R.07-01-041_DR+OIR-SCE+DR+Portfolio+Summary+2012+-+Final.pdf</t>
  </si>
  <si>
    <t>SDG&amp;E: http://www.sdge.com/regulatory-filing/742/rulemaking-regarding-policies-and-protocols-demand-response-load-impact</t>
  </si>
  <si>
    <t>RPS Calculator version XX</t>
  </si>
  <si>
    <t>SWRCB OTC Compliance Deadlines</t>
  </si>
  <si>
    <t>http://www.caiso.com/Documents/2014Assigned-UnassignedRA_ImportCapability-BranchGroups-AfterStep6.pdf</t>
  </si>
  <si>
    <t>CEC Analysis from Electricity Supply Office, by email</t>
  </si>
  <si>
    <t>http://www.cpuc.ca.gov/PUC/energy/Procurement/RA/ra_compliance_materials.htm</t>
  </si>
  <si>
    <t>Scenario Matrix</t>
  </si>
  <si>
    <t>Data Sources</t>
  </si>
  <si>
    <t>GeneratingCapabilityList</t>
  </si>
  <si>
    <t>Final 2014 NQC List</t>
  </si>
  <si>
    <t>Imported from CAISO Master List of generation in its control area, other tabs extract COD and Facility Type information from this tab. Minor data cleaning was performed on this tab, see notes on tab.</t>
  </si>
  <si>
    <t xml:space="preserve">Source for Existing Resources and Resource Retirements calculations. Created from the actual RA NQC List.  Pulls data from "GeneratingCapabilityList" tab. </t>
  </si>
  <si>
    <t>CPUC: Neal Reardon, Carlos Velasquez</t>
  </si>
  <si>
    <t>CEC: Mike Jaske, Angela Tanghetti</t>
  </si>
  <si>
    <t>CAISO: Jeff Billinton, Shucheng Liu</t>
  </si>
  <si>
    <t>Regulatory Analyst</t>
  </si>
  <si>
    <t>v1</t>
  </si>
  <si>
    <t>Initial Release version</t>
  </si>
  <si>
    <t>Index</t>
  </si>
  <si>
    <t>Lists of key assumptions and data sources.</t>
  </si>
  <si>
    <t>Matrix of the proposed Scenarios and qualitative description of the assumptions used to build those scenarios.</t>
  </si>
  <si>
    <t>The "Data Sources" tab lists information about data sources for key planning assumptions.</t>
  </si>
  <si>
    <t>The "Index" tab of this spreadsheet tool briefly describes the content of each tab of this Workbook.  Tabs are grouped by color according to this Index.</t>
  </si>
  <si>
    <t>The other tabs are used for intermediate data aggregation and calculation purposes. Some tabs are direct imports from other data sources, such as the CAISO's Master Generating Capability List, or the RA proceeding's Net Qualifying Capacity List.</t>
  </si>
  <si>
    <t>ISO Area Inc. Demand-side CHP</t>
  </si>
  <si>
    <t>Dispatchable DR</t>
  </si>
  <si>
    <t>Inc Demand-side CHP (MW)</t>
  </si>
  <si>
    <t>Inc Demand-side CHP (GWh)</t>
  </si>
  <si>
    <t>Inc Supply-side CHP (MW)</t>
  </si>
  <si>
    <t>Dispatchable DR (MW)</t>
  </si>
  <si>
    <t>Incremental CHP (MW) --- converted from statewide forecast to CAISO area forecast</t>
  </si>
  <si>
    <t>EE (GWh): AA-EE, 2013 IEPR (Supplement to CED 2014-2024)</t>
  </si>
  <si>
    <t>Incremental CHP (MW)  --- converted from statewide forecast to CAISO area forecast</t>
  </si>
  <si>
    <t>OTC Retirement</t>
  </si>
  <si>
    <t>Other Retirement</t>
  </si>
  <si>
    <t>v1a</t>
  </si>
  <si>
    <t xml:space="preserve">Added comments on source of "pump plant" ISO Classification of xx_NSPIN and CDWR07_2_GEN Resource ID facilities, see Final 2014 NQC List tab; </t>
  </si>
  <si>
    <t>v1b</t>
  </si>
  <si>
    <t>Taking Table 8-5 State Total minus 3 IOUs totals = POU+other total (value for 2015 used)</t>
  </si>
  <si>
    <t>2014-2024 forecast derived from linear fit of 2015 estimate of POU Incremental EE (2009 IEPR) plus 2022 estimate of POU Incremental EE (2013 IEPR), flatlining for 2023 and 2024</t>
  </si>
  <si>
    <t>2013 IEPR POU EE estimate for 2022 taken from Angela Tanghetti at the CEC (email received 1/10/2014)</t>
  </si>
  <si>
    <t xml:space="preserve">See the “Forecast” Tab in the E3 NEM Summary Public Model located at: </t>
  </si>
  <si>
    <t>http://www.cpuc.ca.gov/NR/rdonlyres/AD52FE7A-E283-4AB8-BCB2-87DF56D7443B/0/E3NEMSummaryTool.xlsm</t>
  </si>
  <si>
    <t>The Report's projection goes out to 2020 and LTPP staff extrapolates the projection linearly to 2024.</t>
  </si>
  <si>
    <t>IEPR low load/high PV</t>
  </si>
  <si>
    <t>IEPR mid load/mid PV</t>
  </si>
  <si>
    <t>E3 NEM Cost-Eff Eval</t>
  </si>
  <si>
    <t>Installed Capacity Total</t>
  </si>
  <si>
    <t>Installed Capacity Incremental = Total - IEPR mid load/mid PV (embedded)</t>
  </si>
  <si>
    <t>IEPR inc. high PV</t>
  </si>
  <si>
    <t>E3 NEM inc. BTM PV</t>
  </si>
  <si>
    <t>Demand side resources modeled and counted as Supply side resources</t>
  </si>
  <si>
    <t>PV incremental BTM, low</t>
  </si>
  <si>
    <t>PV incremental BTM, high</t>
  </si>
  <si>
    <t>counted on supply side</t>
  </si>
  <si>
    <t>These resource types modeled by treating as generator</t>
  </si>
  <si>
    <t>DR, dispatchable</t>
  </si>
  <si>
    <t>s4-highmid</t>
  </si>
  <si>
    <t>Valley Electric</t>
  </si>
  <si>
    <t>BTM resources modeled as Supply (MW)</t>
  </si>
  <si>
    <t>SmartAC, BIP, CBP, DBP, AMP</t>
  </si>
  <si>
    <t>Escalated</t>
  </si>
  <si>
    <t>Installed Capacity: from large pumped storage or other non-pumped storage</t>
  </si>
  <si>
    <t>Large-pumped</t>
  </si>
  <si>
    <t>Non-pumped</t>
  </si>
  <si>
    <t>Other Energy Storage (MW)</t>
  </si>
  <si>
    <t>Demand resources modeled as Supply</t>
  </si>
  <si>
    <t>Customer PV</t>
  </si>
  <si>
    <t>Customer CHP</t>
  </si>
  <si>
    <t>Conven. Additions</t>
  </si>
  <si>
    <t>Renewable + Hydro Retirement</t>
  </si>
  <si>
    <t>Trajectory</t>
  </si>
  <si>
    <t>Conservative expected case for TPP and LTPP studies assuming little change in existing policies.</t>
  </si>
  <si>
    <t>TPP specific modeling of Trajectory</t>
  </si>
  <si>
    <t xml:space="preserve">Local area reliability studies using mid 1-in-10 weather normalized demand forecast. </t>
  </si>
  <si>
    <t>Low-Mid</t>
  </si>
  <si>
    <t xml:space="preserve">Bulk system reliability studies using mid 1-in-5 weather normalized demand forecast.  </t>
  </si>
  <si>
    <t>Trajectory sensitivity</t>
  </si>
  <si>
    <t>e</t>
  </si>
  <si>
    <t>Diablo Canyon retires by 2023.</t>
  </si>
  <si>
    <t>DCPP 2023</t>
  </si>
  <si>
    <t>High econ/demo case for 1-in-2 weather year (higher peak and annual energy).</t>
  </si>
  <si>
    <t>Combination of policies to reflect closer achievement of State preferred resource policies.</t>
  </si>
  <si>
    <t>High-Mid</t>
  </si>
  <si>
    <t>IEPR+High Inc Sm PV</t>
  </si>
  <si>
    <t>40% RPS in 2024</t>
  </si>
  <si>
    <t>High penetration of large central station renewables.</t>
  </si>
  <si>
    <t>High penetration of DG near load pockets, generally &lt; 20 MW in size and excluding projects located outside load pockets (e.g. in middle of desert).</t>
  </si>
  <si>
    <t>Resource options for filling any need revealed by technical studies of these Scenarios.</t>
  </si>
  <si>
    <t>High DR</t>
  </si>
  <si>
    <t>i</t>
  </si>
  <si>
    <t>Large-pumped Storage</t>
  </si>
  <si>
    <t>This option explores large-pumped storage.  Amounts will depend on need.</t>
  </si>
  <si>
    <t>ii</t>
  </si>
  <si>
    <t>Default + large pumped</t>
  </si>
  <si>
    <t>Non-pumped Storage</t>
  </si>
  <si>
    <t>This option explores higher operational utility from Storage Mandate resources, plus additional storage depending on need.</t>
  </si>
  <si>
    <t>iii</t>
  </si>
  <si>
    <t>Default + more non-pumped</t>
  </si>
  <si>
    <t>IncSmallPV Extrapolate</t>
  </si>
  <si>
    <t>Worksheet for extending projections of incremental small PV from 2025-2034 using log trendline function in Excel.</t>
  </si>
  <si>
    <t>with extrapolation</t>
  </si>
  <si>
    <t>E3 NEM Cost-effect. Study report 2020 projection</t>
  </si>
  <si>
    <t>http://www.cpuc.ca.gov/PUC/energy/Solar/nem_cost_effectiveness_evaluation.htm</t>
  </si>
  <si>
    <t>BIP, API, SDP, DBP, CBP, DRC (Note: SDP-C values were adjusted upward based on revised LI table published by SCE May 29, 2013)</t>
  </si>
  <si>
    <t>D1303029 Escondido Repower</t>
  </si>
  <si>
    <t>D1302015 Big Creek/Ventura</t>
  </si>
  <si>
    <t>D1302015 West LA Basin</t>
  </si>
  <si>
    <t>SDGE comments</t>
  </si>
  <si>
    <t>Peak impact</t>
  </si>
  <si>
    <t>Implied</t>
  </si>
  <si>
    <t>Capacity</t>
  </si>
  <si>
    <t>CPUC Energy Division 2014 LTPP Scenario Tool for R.13-12-010</t>
  </si>
  <si>
    <t>Prepared by CPUC Energy Division for the 2014 LTPP Rulemaking R.13-12-010</t>
  </si>
  <si>
    <t>v1c</t>
  </si>
  <si>
    <t>Existing Proc. Auth.</t>
  </si>
  <si>
    <t>33% 2024 Mid AAEE</t>
  </si>
  <si>
    <t>33% 2024 LowMid AAEE</t>
  </si>
  <si>
    <r>
      <t>Policy studies using mid 1-in-5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 </t>
    </r>
    <r>
      <rPr>
        <sz val="10"/>
        <color rgb="FFFF0000"/>
        <rFont val="Calibri"/>
        <family val="2"/>
        <scheme val="minor"/>
      </rPr>
      <t xml:space="preserve">High DG 33% Mid AAEE + DSM </t>
    </r>
    <r>
      <rPr>
        <sz val="10"/>
        <rFont val="Calibri"/>
        <family val="2"/>
        <scheme val="minor"/>
      </rPr>
      <t xml:space="preserve">RPS Portfolios.  </t>
    </r>
    <r>
      <rPr>
        <sz val="10"/>
        <color theme="1"/>
        <rFont val="Calibri"/>
        <family val="2"/>
        <scheme val="minor"/>
      </rPr>
      <t>Power flow studies (busbar level).</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</si>
  <si>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IEPR+High Inc Sm PV</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</si>
  <si>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IEPR+Low Inc CHP</t>
    </r>
  </si>
  <si>
    <r>
      <rPr>
        <sz val="12"/>
        <color rgb="FF0070C0"/>
        <rFont val="Calibri"/>
        <family val="2"/>
        <scheme val="minor"/>
      </rPr>
      <t xml:space="preserve">33% 2024 Mid AAEE </t>
    </r>
    <r>
      <rPr>
        <sz val="12"/>
        <rFont val="Calibri"/>
        <family val="2"/>
        <scheme val="minor"/>
      </rPr>
      <t>/</t>
    </r>
    <r>
      <rPr>
        <sz val="12"/>
        <color rgb="FF0070C0"/>
        <rFont val="Calibri"/>
        <family val="2"/>
        <scheme val="minor"/>
      </rPr>
      <t xml:space="preserve"> </t>
    </r>
    <r>
      <rPr>
        <sz val="12"/>
        <color rgb="FF008000"/>
        <rFont val="Calibri"/>
        <family val="2"/>
        <scheme val="minor"/>
      </rPr>
      <t xml:space="preserve">33% 2024 Mid AAEE sensitivity </t>
    </r>
    <r>
      <rPr>
        <sz val="12"/>
        <rFont val="Calibri"/>
        <family val="2"/>
        <scheme val="minor"/>
      </rPr>
      <t xml:space="preserve">/ 
</t>
    </r>
    <r>
      <rPr>
        <sz val="12"/>
        <color rgb="FFFF0000"/>
        <rFont val="Calibri"/>
        <family val="2"/>
        <charset val="134"/>
        <scheme val="minor"/>
      </rPr>
      <t>High DG 33% 2024 Mid AAEE + DSM</t>
    </r>
  </si>
  <si>
    <r>
      <t>Economic studies using mid 1-in-2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t>
    </r>
    <r>
      <rPr>
        <sz val="10"/>
        <color rgb="FFFF0000"/>
        <rFont val="Calibri"/>
        <family val="2"/>
        <scheme val="minor"/>
      </rPr>
      <t xml:space="preserve"> High DG 33% Mid AAEE + DSM </t>
    </r>
    <r>
      <rPr>
        <sz val="10"/>
        <rFont val="Calibri"/>
        <family val="2"/>
        <scheme val="minor"/>
      </rPr>
      <t>RPS Portfolios.</t>
    </r>
    <r>
      <rPr>
        <sz val="10"/>
        <color theme="1"/>
        <rFont val="Calibri"/>
        <family val="2"/>
        <scheme val="minor"/>
      </rPr>
      <t xml:space="preserve">  Prod cost sims (nodal) only.</t>
    </r>
  </si>
  <si>
    <r>
      <t xml:space="preserve">33% 2024 Mid </t>
    </r>
    <r>
      <rPr>
        <sz val="12"/>
        <color theme="1"/>
        <rFont val="Calibri"/>
        <family val="2"/>
        <scheme val="minor"/>
      </rPr>
      <t>AA</t>
    </r>
    <r>
      <rPr>
        <sz val="12"/>
        <color theme="1"/>
        <rFont val="Calibri"/>
        <family val="2"/>
        <scheme val="minor"/>
      </rPr>
      <t>EE</t>
    </r>
  </si>
  <si>
    <t>33% 2024 High Load Mid AAEE</t>
  </si>
  <si>
    <t>High DG 40% 2024 HighMid AAEE + Higher DSM</t>
  </si>
  <si>
    <t>High DG 40% 2024 Mid AAEE</t>
  </si>
  <si>
    <t>High DG 33% 2024 Mid AAEE + DSM</t>
  </si>
  <si>
    <t>Procurement Authorizations</t>
  </si>
  <si>
    <t>Any need shall first be met with expected resources from 2012 LTPP Track 1 and Track 4</t>
  </si>
  <si>
    <t>Default + remainder of Track 1 + Track 4</t>
  </si>
  <si>
    <r>
      <t>This option explores DR capacity reaching 5% of coincident peak load in 2021, 7% in 2024</t>
    </r>
    <r>
      <rPr>
        <sz val="12"/>
        <color theme="1"/>
        <rFont val="Calibri"/>
        <family val="2"/>
        <scheme val="minor"/>
      </rPr>
      <t>.  Higher growth may be explored depending on need.</t>
    </r>
  </si>
  <si>
    <r>
      <t xml:space="preserve">capacity at </t>
    </r>
    <r>
      <rPr>
        <sz val="12"/>
        <color theme="1"/>
        <rFont val="Calibri"/>
        <family val="2"/>
        <scheme val="minor"/>
      </rPr>
      <t>7</t>
    </r>
    <r>
      <rPr>
        <sz val="12"/>
        <color theme="1"/>
        <rFont val="Calibri"/>
        <family val="2"/>
        <scheme val="minor"/>
      </rPr>
      <t>% of peak load</t>
    </r>
  </si>
  <si>
    <t>iv</t>
  </si>
  <si>
    <t>The top row of the "Scenario Matrix" tab of this spreadsheet lists the different categories of loads and resources on the demand side and the supply side; the first and second columns list the number and name of each proposed planning Scenario.  The rest of the cells identify the assumptions used for each category of load and resource in each Scenario.</t>
  </si>
  <si>
    <r>
      <rPr>
        <b/>
        <sz val="12"/>
        <color theme="1"/>
        <rFont val="Calibri"/>
        <family val="2"/>
        <scheme val="minor"/>
      </rPr>
      <t>The "Scenarios" tab is the "input/output" page of this spreadsheet tool.</t>
    </r>
    <r>
      <rPr>
        <sz val="11"/>
        <color theme="1"/>
        <rFont val="Calibri"/>
        <family val="2"/>
        <scheme val="minor"/>
      </rPr>
      <t xml:space="preserve"> On this tab, the user may vary the assumptions of each of the categories of loads and resources to create any of the proposed Scenarios, or a completely new, user-defined scenario. The left column is a control panel (gray cells) for accepting user input and the other columns display scenario results. Many of the user inputs (gray cells) are drop down lists selecting between the assumptions (for example, Low, Mid, High).  Charts located at the bottom of the results display the scenario created by the currently selected set of assumptions compared to the Trajectory Scenario.</t>
    </r>
  </si>
  <si>
    <t>http://www.energy.ca.gov/2013_energypolicy/documents/demand-forecast_CMF/LSE_and_Balancing_Authority_Forecasts/</t>
  </si>
  <si>
    <t>http://www.energy.ca.gov/2013_energypolicy/documents/demand-forecast_CMF/Additional_Achievable_Energy_Efficiency/</t>
  </si>
  <si>
    <t>AAEE projections, Supplement to CED forecast</t>
  </si>
  <si>
    <t>CED forecast Form 1.5a-d</t>
  </si>
  <si>
    <t>PV self gen (BTM) embedded in IEPR</t>
  </si>
  <si>
    <t>non-PV self gen (BTM) embedded in IEPR</t>
  </si>
  <si>
    <t>CHP incremental BTM, low and high</t>
  </si>
  <si>
    <t>Storage, cust-sited and dist-connected</t>
  </si>
  <si>
    <t>http://www.energy.ca.gov/2013_energypolicy/documents/demand-forecast_CMF/mid_case/</t>
  </si>
  <si>
    <t>Use August NQC values for annual load and resource summary tables</t>
  </si>
  <si>
    <t>Storage, transmission-connected</t>
  </si>
  <si>
    <t>http://www.cpuc.ca.gov/PUC/energy/Procurement/LTPP/ltpp_history.htm</t>
  </si>
  <si>
    <t>s3-mid</t>
  </si>
  <si>
    <t xml:space="preserve">Managed Demand Net Load = </t>
  </si>
  <si>
    <t>IEPR mid (1in2) - mid AAEE</t>
  </si>
  <si>
    <t>Transmission &amp; 50% Distrib-connected</t>
  </si>
  <si>
    <t>33% 2024 Mid AAEE sensitivity</t>
  </si>
  <si>
    <t>Demand: Trajectory Scenario</t>
  </si>
  <si>
    <t>Energy: Trajectory Scenario</t>
  </si>
  <si>
    <t>Supply: Trajectory Scenario</t>
  </si>
  <si>
    <t>GWh energy</t>
  </si>
  <si>
    <t>System Balance: Trajectory Scenario</t>
  </si>
  <si>
    <t>See below</t>
  </si>
  <si>
    <t>Net System Balance: Supply - Demand</t>
  </si>
  <si>
    <t>Net System Balance: Supply / Demand</t>
  </si>
  <si>
    <t>This is a projection of total installed capacity of customer side PV based on the CPUC study of ratepayer impacts from California's Net Energy Metering (NEM), prepared by E3.</t>
  </si>
  <si>
    <t xml:space="preserve">Changed assumption options for incremental small PV to have None, Low, High where Low represents the high PV projection from the IEPR and High comes from CPUC study of ratepayer impacts from NEM, see Demand Individual Assumptions tab; 
Shifted incremental small PV and demand-side CHP from demand side to supply side of stack on the Scenarios tab; 
Extended projections for incremental small PV (log trend) and demand-side CHP (flatline) to 2034, see Demand Individual Assumptions tab and IncSmallPV Extrapolate tab; 
Modified selection interface on the Scenario tab (lower left) for the parameters Inc small PV conversion factor and capacity factor; </t>
  </si>
  <si>
    <t xml:space="preserve">Updated POU AAEE projection used for RNS calculations, see Demand Individual Assumptions tab; 
Corrected AAEE scenario naming convention: midhigh -&gt; highmid; 
Updated SCE and PG&amp;E peak demand forecasts to final IEPR values, broke out Valley Electric energy and demand forecasts to match the breakout by utility planning area given in final IEPR, adjusted CAISO Coincident peak forecasts due to non-dispatchable DR accounting error within IEPR forecast, see Demand Individual Assumptions tab; </t>
  </si>
  <si>
    <t xml:space="preserve">Changed DCPP retirement assumption to 2023 and corrected CHP online date errors in SDG&amp;E area per SDG&amp;E comments, see Final 2014 NQC List tab; 
Removed Oakley project from Resource Additions, included Pio Pico as Resource Additions, see CEC Siting Cases tab; </t>
  </si>
  <si>
    <t xml:space="preserve">Updated Scenario Matrix to add Existing Proc. Auth. column, resource options rows, and new RPS portfolio names; 
Updated D1303029 and D1302015 assumptions, see Supply Individual Assumptions tab; 
Updated RPS portfolio names and added 2025-2034 RPS Portfolio NQC values (flatlining if negative load growth post 2024), see Supply Individual Assumptions tab; 
Updated summary charts on Scenarios tab; </t>
  </si>
  <si>
    <t>from CEC Siting Cases tab (projects with approved contracts, permits, under construction, and no large solar)</t>
  </si>
  <si>
    <t>already counted on NQC list</t>
  </si>
  <si>
    <t>D1303029 Escondido Repower is online.  Addition accounted for by taking difference between NQC values on Feb 13, 2014 NQC List and Nov 24, 2013 NQC List for Resource ID ESCNDO_6_PL1X2</t>
  </si>
  <si>
    <t>D1302015</t>
  </si>
  <si>
    <t>D1302015 + 2012LTPP Track 4</t>
  </si>
  <si>
    <t>New Energy Storage (MW)</t>
  </si>
  <si>
    <t>List of proposed projects, imported from Energy Commission Siting Cases, Status of All Projects list.  This tab applies a screen for projects that meet criteria for inclusion as Resource Additions.</t>
  </si>
  <si>
    <t>List of proposed projects, imported from Energy Commission provided spreadsheet.  This tab applies a screen for projects that meet criteria for inclusion as Resource Additions.</t>
  </si>
  <si>
    <t>The criteria for including a project in planning assumptions is (1) it has an approved contract, (2) it has been permitted, and (3) it has begun construction.  Such projects shall have the online date listed in this column for inclusion in Assumptions.</t>
  </si>
  <si>
    <t>Oakley previously had an approved contract, currently it does not have an approved contract.  Therefore it is not included.</t>
  </si>
  <si>
    <t>Pio Pico is included per D.14-02-016.  The text in the decision indicates an online date of Sep 2015.  Because the projected online date occurs post June, we shall assume the project's effective online date is the following year, 2016.</t>
  </si>
  <si>
    <t>1: Inc. Small PV</t>
  </si>
  <si>
    <t>2: Inc. Demand-side CHP</t>
  </si>
  <si>
    <t>3: Existing Resources</t>
  </si>
  <si>
    <t>4: Resource Additions</t>
  </si>
  <si>
    <t>5: Imports</t>
  </si>
  <si>
    <t>6: Inc. Supply-side CHP</t>
  </si>
  <si>
    <t>7: Dispatchable DR</t>
  </si>
  <si>
    <t>9: Energy Storage Other</t>
  </si>
  <si>
    <t>10: Resource Retirements</t>
  </si>
  <si>
    <t>Net Supply = sum[1:9] - 10</t>
  </si>
  <si>
    <t>Other (non-OTC thermal/cogen/other)</t>
  </si>
  <si>
    <t>List is screened using criteria defined in ACR text.  Online dates from best available sources, see CEC Siting Cases tab for details.</t>
  </si>
  <si>
    <t>List is screened using criteria defined in ACR text.  Online dates from best available sources, see CEC Other Projects tab for details.</t>
  </si>
  <si>
    <t>from CEC Other Projects tab (other expected projects &lt; 50 MW in size) and no large solar</t>
  </si>
  <si>
    <t>Year 2021 through 2024 is linear extrapolation from 2014-2020.</t>
  </si>
  <si>
    <t>Managed Load (Load - AAEE)</t>
  </si>
  <si>
    <t>v2</t>
  </si>
  <si>
    <t xml:space="preserve">Corrected counting of PG&amp;E dispatchable DR (remove SmartRate and PDP which are counted in the IEPR demand forecast), and corrected SCE DR program SDP-C to use updated load impact estimate, see Supply Individual Assumptions tab; 
Added option for escalated DR projection, see Supply Individual Assumptions tab; 
Modified Storage target projection to reach target in 2024 and modified the capacity values attained by 2024 for the Low assumption, and also added options for additional storage beyond Storage target, see Supply Individual Assumptions tab; </t>
  </si>
  <si>
    <t>Replaced "Mandate" with "Target" when referring to the Energy Storage Target;</t>
  </si>
  <si>
    <t>8: Energy Storage Target</t>
  </si>
  <si>
    <t>Energy Storage Target (MW)</t>
  </si>
  <si>
    <t>Installed Capacity: from CPUC Storage Target Decision (D).13-10-040, Online target year 2024, assuming linear growth from 0 in 2016</t>
  </si>
  <si>
    <t>CAISO Coincident peak - LowMid AAEE</t>
  </si>
  <si>
    <t>CAISO Coincident peak - Mid AAEE</t>
  </si>
  <si>
    <t>CAISO Coincident peak - HighMid AAEE</t>
  </si>
  <si>
    <t>CAISO - LowMid AAEE</t>
  </si>
  <si>
    <t>CAISO - Mid AAEE</t>
  </si>
  <si>
    <t>CAISO - HighMid AAEE</t>
  </si>
  <si>
    <t>Load - AAEE (MW)</t>
  </si>
  <si>
    <t>Mid :  1-in-2</t>
  </si>
  <si>
    <t>Mid :  1-in-5</t>
  </si>
  <si>
    <t>Mid : 1-in-10</t>
  </si>
  <si>
    <t>High : 1-in-2</t>
  </si>
  <si>
    <t>High : 1-in-5</t>
  </si>
  <si>
    <t>Mid :  1-in-2 - HighMidAAEE</t>
  </si>
  <si>
    <t>Mid :  1-in-5 - HighMidAAEE</t>
  </si>
  <si>
    <t>Mid : 1-in-10 - HighMidAAEE</t>
  </si>
  <si>
    <t>Load - AAEE (GWh)</t>
  </si>
  <si>
    <t>Mid :  1-in-2 - LowMid AAEE</t>
  </si>
  <si>
    <t>Mid :  1-in-2 -    Mid AAEE</t>
  </si>
  <si>
    <t>Mid :  1-in-5 - LowMid AAEE</t>
  </si>
  <si>
    <t>Mid :  1-in-5 -    Mid AAEE</t>
  </si>
  <si>
    <t>Mid : 1-in-10 - LowMid AAEE</t>
  </si>
  <si>
    <t>Mid : 1-in-10 -    Mid AAEE</t>
  </si>
  <si>
    <t>High : 1-in-2 -    Mid AAEE</t>
  </si>
  <si>
    <t>High : 1-in-5 -    Mid AAEE</t>
  </si>
  <si>
    <t>High: 1-in-10 -    Mid AAEE</t>
  </si>
  <si>
    <t xml:space="preserve">   Mid AAEE</t>
  </si>
  <si>
    <t>LowMid AAEE</t>
  </si>
  <si>
    <t>HighMidAAEE</t>
  </si>
  <si>
    <t>PGE at cust</t>
  </si>
  <si>
    <t>SCE at cust</t>
  </si>
  <si>
    <t>SDGE at cust</t>
  </si>
  <si>
    <t>CAISO at cust</t>
  </si>
  <si>
    <t>PGE T&amp;D loss avoided</t>
  </si>
  <si>
    <t>SCE T&amp;D loss avoided</t>
  </si>
  <si>
    <t>SDGE T&amp;D loss avoided</t>
  </si>
  <si>
    <t>CAISO T&amp;D loss avoided</t>
  </si>
  <si>
    <t>AA-EE (GWh) (savings at customer location, so not counting avoided T&amp;D losses)</t>
  </si>
  <si>
    <t>Peak, distribution losses only</t>
  </si>
  <si>
    <t>Peak, transmission and distribution losses</t>
  </si>
  <si>
    <t>Energy, transmission and distribution losses</t>
  </si>
  <si>
    <t>y = 5152.8ln(x) - 12897</t>
  </si>
  <si>
    <t>y = 4715.1ln(x) - 12217</t>
  </si>
  <si>
    <t>y = 3596.8ln(x) - 9001.1</t>
  </si>
  <si>
    <t>y = 2988.5ln(x) - 7714.8</t>
  </si>
  <si>
    <t>y = 5633.1ln(x) - 14569</t>
  </si>
  <si>
    <t>y = 2278.9ln(x) - 5699.6</t>
  </si>
  <si>
    <t>y = 1105ln(x) - 2919.7</t>
  </si>
  <si>
    <t>y = 1460ln(x) - 3721.7</t>
  </si>
  <si>
    <t>y = 1001.4ln(x) - 2655.6</t>
  </si>
  <si>
    <t>See tab "IncSmallPV Extrapolate" for illustration of calculation method to project PV growth 2025-2034 using logarithmic trendline of years 2020-2024.</t>
  </si>
  <si>
    <t>This worksheet illustrates the calculation method for log trend extrapolation of years 2020-2024 out to 2034.  The calculation is done for one utility at a time.  The equations and results for each utility are shown below.</t>
  </si>
  <si>
    <t>Year</t>
  </si>
  <si>
    <t>Values are Installed Capacity in MW</t>
  </si>
  <si>
    <t>Peak demand impact (analogous to "NQC" or "peak production MW", this is installed capacity multiplied by a conversion factor selected from the Control Panel). ADJUSTED FOR AVOIDED T&amp;D LOSSES.</t>
  </si>
  <si>
    <t>Energy impact, this is installed capacity multiplied by capacity factor factor selected from the Control Panel.  NOT ADJUSTED FOR AVOIDED T&amp;D LOSSES because this is used only for RNS calculations.</t>
  </si>
  <si>
    <t>On Supply Individual Assumptions tab, changed logic for calculating OTC retirements so that OTC unit is still available in year it is expected to comply with OTC policy by retiring.</t>
  </si>
  <si>
    <t>Updated Data Sources tab with dates/links for latest CEC managed demand and AAEE tables;</t>
  </si>
  <si>
    <t>On Scenarios tab, Control Panel column, changed selection options for Demand (MW).  User now directly selects from list of paired load and AAEE options, instead of selecting load and AAEE independently; Changed Managed Demand Net Load and Managed Energy Net Load to directly draw from versions of IEPR demand forecast tables with AAEE incorporated;</t>
  </si>
  <si>
    <t>On Assumptions tab, changed demand data tables to "Load" and "Load - AAEE".  Changed AAEE tables to just aggregate GWh w/o avoided T&amp;D losses for purposes of illustrating RPS portfolio RNS calculation;</t>
  </si>
  <si>
    <t>On Demand Individual Assumptions tab, changed demand data tables to directly source from versions of IEPR demand forecast tables with AAEE incorporated.  Removed adjustment for  CAISO Coincident peak forecasts due to non-dispatchable DR accounting error because the latest IEPR forecast tables now account for this.  Changed AAEE tables to just aggregate GWh and show both w/o and w/ avoided T&amp;D losses;</t>
  </si>
  <si>
    <t>On Demand Individual Assumptions tab, added table of "Factors to Account for Avoided Transmission and Distribution Losses".  Disaggregated BTM PV (incremental small PV) and (incremental) CHP projections by IOU and incorporated avoided T&amp;D losses into projections;</t>
  </si>
  <si>
    <t>On Supply Individual Assumptions tab, changed DR projections to incorporate avoided T&amp;D losses;</t>
  </si>
  <si>
    <t>On IncSmallPV Extrapolate tab, changed to illustrate extrapolation of projections of small PV by IOU</t>
  </si>
  <si>
    <t>PGE Bay - w avoided T&amp;D losses</t>
  </si>
  <si>
    <t>PGE Valley - w avoided T&amp;D losses</t>
  </si>
  <si>
    <t>SCE - w avoided T&amp;D losses</t>
  </si>
  <si>
    <t>SDGE - w avoided T&amp;D losses</t>
  </si>
  <si>
    <t>Load (MW) : Peak demand, 2013 IEPR (CED 2014-2024), Form 1.5, note that AAEE savings from Form 1.5 incorporate avoided T&amp;D losses</t>
  </si>
  <si>
    <t>Factors to Account for Avoided Transmission and Distribution Losses (obtained from Energy Commission Demand Analysis Office)</t>
  </si>
  <si>
    <t>Extrapolation Results</t>
  </si>
  <si>
    <t>Imperial Valley Solar -&gt; Silver Ridge Mount Signal</t>
  </si>
  <si>
    <t>Actual COD from latest CAISO GenCapList is 3/4/14 and NetDependCap is 200 MW</t>
  </si>
  <si>
    <t>v3</t>
  </si>
  <si>
    <t>latest CAISO MasterGenCapList</t>
  </si>
  <si>
    <t>Exclude because already counted in RPS portfolios</t>
  </si>
  <si>
    <t>1-in-2 weather load impacts adj for LCR</t>
  </si>
  <si>
    <t xml:space="preserve">Corrected data on projects "AVSOLR_2_SOLAR" and "IVSLRP_2_SOLAR1" on Final 2014 NQC List tab (based on latest CAISO Master Generating Capability List).  Added "TRUE flag" to Final 2014 NQC List tab to exclude RPS-eligible projects that should not be counted as Existing Resources because they are already included in the RPS portfolios.  The exclusion of such projects from Existing Resources (to prevent double counting) is done in the Supply Individual Assumptions tab. </t>
  </si>
  <si>
    <t>Corrected Scenario Matrix tab to reflect local reliability usage of RPS portfolios in 2015-16 TPP. Also corrected local reliability usage of 1-in-2 weather year DR impacts.</t>
  </si>
  <si>
    <t>December 2013/February 2014/April 2014/November 2014</t>
  </si>
  <si>
    <t>This is a spreadsheet tool for generating scenarios of long-term load and resource forecasts built upon planning assumptions jointly developed by staff at the CPUC, the CEC, and the CAISO.  The intent is for use in the 2014 LTPP and 2014-15 TPP, 2015-16 TPP technical studies.  The proposal was described in a CPUC Energy Division Workshop on December 18, 2013 and set forth for comments from Parties to the LTPP proceeding in a December 19, 2013 ALJ Ruling.  The ALJ Ruling included a text document attachment describing details of the proposed joint planning assumptions and scenarios, summary tables of RPS portfolios and the Scenario Matrix, and a template to guide comments from Parties.  Parties submitted comments and reply comments on January 8 and 15 of 2014, respectively.  Staff incorporated this feedback as well as additional input from CEC, CAISO, and CPUC Energy Division Staff and management.  This tool is published in conjunction with the Assigned Commissioner's Ruling adopting planning assumptions, scenarios, and RPS portfolios on February 27, 2014.  Staff plans to update and revise this tool as CPUC actions occur, such as rulings or decisions that modify the assumptions or scenarios.  Updates were published on May 14, 2014 and December 23, 2014.</t>
  </si>
  <si>
    <t>2015-16 TPP specific</t>
  </si>
  <si>
    <t>Added Notes to Data Sources tab, Demand Individual Assumptions tab and Supply Individual Assumptions tab regarding specific updates for use in the 2015-16 TPP.</t>
  </si>
  <si>
    <t>http://www.energy.ca.gov/2014_energypolicy/documents/2014-12-08_workshop/lse/</t>
  </si>
  <si>
    <t>2014 IEPR Update CED forecast Form 1.5a-d</t>
  </si>
  <si>
    <t>2015-16 TPP technical studies</t>
  </si>
  <si>
    <t>Demand Response, dispatchable</t>
  </si>
  <si>
    <t>Load Impact Reports PY 2013</t>
  </si>
  <si>
    <t>Use 1-in-2 weather year portfolio-adjusted impacts ex-ante (August for load and resource tables)</t>
  </si>
  <si>
    <t>https://www.pge.com/regulation/DemandResponseOIR-2013/Other-Docs/SCE/2014/DemandResponseOIR-2013_Other-Doc_SCE_20140401_300601.zip</t>
  </si>
  <si>
    <t>https://www.pge.com/regulation/DemandResponseOIR-2013/Pleadings/PGE/2014/DemandResponseOIR-2013_Plea_PGE_20140401_300477.zip</t>
  </si>
  <si>
    <t>https://www.sdge.com/sites/default/files/regulatory/Appendix%20A%20Executive%20Summary%202013%20DR%20Forecast%20Tables.pdf</t>
  </si>
  <si>
    <t>2015-16 TPP technical studies expect to use estimates of busbar-level impacts provided by the IOUs.  The estimates are consistent with the 1-in-2 weather year portfolio-adjusted impacts ex-ante of the 2013 PY Load Impact Reports which were filed April 2014.</t>
  </si>
  <si>
    <t>NOTE: THE 2015-16 TPP TECHNICAL STUDIES EXPECT TO USE THE 2014 IEPR UPDATE DEMAND FORECASTS.  DATA BELOW COMES FROM THE 2013 IEPR.  See Data Sources tab of this workbook for links to both.</t>
  </si>
  <si>
    <t>NOTE: THE 2015-16 TPP TECHNICAL STUDIES EXPECT TO USE IOU-PROVIDED BUSBAR-LEVEL DEMAND RESPONSE PROGRAM IMPACT ESTIMATES CONSISTENT WITH THE 2013 PY LOAD IMPACT REPORTS PUBLISHED APRIL 2014.  DATA BELOW COMES FROM THE 2012 PY.  See Data Sources tab of this workbook for links to both.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</si>
</sst>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0_);_(* \(#,##0.0\);_(* &quot;-&quot;??_);_(@_)"/>
    <numFmt numFmtId="165" formatCode="_(* #,##0_);_(* \(#,##0\);_(* &quot;-&quot;??_);_(@_)"/>
    <numFmt numFmtId="166" formatCode="#,##0.0"/>
    <numFmt numFmtId="167" formatCode="0.0000"/>
    <numFmt numFmtId="168" formatCode="_(* #,##0.000_);_(* \(#,##0.000\);_(* &quot;-&quot;??_);_(@_)"/>
    <numFmt numFmtId="169" formatCode="m/d/yyyy;@"/>
    <numFmt numFmtId="170" formatCode="[$-409]mmm\-yy;@"/>
    <numFmt numFmtId="171" formatCode="#,##0.0_);[Red]\(#,##0.0\)"/>
    <numFmt numFmtId="172" formatCode="[$-409]mmmm\ d\,\ yyyy;@"/>
    <numFmt numFmtId="173" formatCode="_(* #,##0.0000_);_(* \(#,##0.0000\);_(* &quot;-&quot;??_);_(@_)"/>
    <numFmt numFmtId="174" formatCode="0.000"/>
  </numFmts>
  <fonts count="153">
    <font>
      <sz val="11"/>
      <color theme="1"/>
      <name val="Calibri"/>
      <family val="2"/>
      <scheme val="minor"/>
    </font>
    <font>
      <sz val="12"/>
      <color theme="1"/>
      <name val="Calibri"/>
      <family val="2"/>
      <scheme val="minor"/>
    </font>
    <font>
      <sz val="12"/>
      <color theme="1"/>
      <name val="Calibri"/>
      <family val="2"/>
      <charset val="128"/>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b/>
      <u/>
      <sz val="11"/>
      <color theme="1"/>
      <name val="Calibri"/>
      <family val="2"/>
      <scheme val="minor"/>
    </font>
    <font>
      <sz val="11"/>
      <color theme="0" tint="-0.499984740745262"/>
      <name val="Calibri"/>
      <family val="2"/>
      <scheme val="minor"/>
    </font>
    <font>
      <b/>
      <u/>
      <sz val="14"/>
      <name val="Calibri"/>
      <family val="2"/>
    </font>
    <font>
      <b/>
      <sz val="9"/>
      <color theme="1"/>
      <name val="Calibri"/>
      <family val="2"/>
      <scheme val="minor"/>
    </font>
    <font>
      <sz val="11"/>
      <color theme="1" tint="0.499984740745262"/>
      <name val="Calibri"/>
      <family val="2"/>
      <scheme val="minor"/>
    </font>
    <font>
      <b/>
      <u/>
      <sz val="11"/>
      <name val="Calibri"/>
      <family val="2"/>
    </font>
    <font>
      <sz val="10"/>
      <name val="MS Sans Serif"/>
      <family val="2"/>
    </font>
    <font>
      <b/>
      <sz val="11"/>
      <color rgb="FFFF0000"/>
      <name val="Verdana"/>
      <family val="2"/>
    </font>
    <font>
      <sz val="11"/>
      <color rgb="FFFF0000"/>
      <name val="Verdana"/>
      <family val="2"/>
    </font>
    <font>
      <sz val="10"/>
      <color rgb="FF000000"/>
      <name val="Arial"/>
      <family val="2"/>
    </font>
    <font>
      <sz val="11"/>
      <color theme="1"/>
      <name val="Arial"/>
      <family val="2"/>
    </font>
    <font>
      <sz val="12"/>
      <color theme="1"/>
      <name val="Arial"/>
      <family val="2"/>
    </font>
    <font>
      <b/>
      <sz val="12"/>
      <color indexed="81"/>
      <name val="Tahoma"/>
      <family val="2"/>
    </font>
    <font>
      <sz val="12"/>
      <color indexed="81"/>
      <name val="Tahoma"/>
      <family val="2"/>
    </font>
    <font>
      <b/>
      <sz val="9"/>
      <color rgb="FFFF0000"/>
      <name val="Verdana"/>
      <family val="2"/>
    </font>
    <font>
      <b/>
      <sz val="12"/>
      <name val="Times New Roman"/>
      <family val="1"/>
    </font>
    <font>
      <b/>
      <sz val="12"/>
      <name val="Times"/>
      <family val="1"/>
    </font>
    <font>
      <sz val="12"/>
      <name val="Times New Roman"/>
      <family val="1"/>
    </font>
    <font>
      <sz val="12"/>
      <name val="Times"/>
      <family val="1"/>
    </font>
    <font>
      <sz val="12"/>
      <color indexed="8"/>
      <name val="Times New Roman"/>
      <family val="1"/>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2"/>
      <color theme="1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1"/>
      <color theme="1"/>
      <name val="Times New Roman"/>
      <family val="2"/>
    </font>
    <font>
      <sz val="11"/>
      <color theme="1"/>
      <name val="Palatino Linotype"/>
      <family val="2"/>
    </font>
    <font>
      <sz val="10"/>
      <name val="Times New Roman"/>
      <family val="1"/>
    </font>
    <font>
      <b/>
      <sz val="11"/>
      <color indexed="63"/>
      <name val="Calibri"/>
      <family val="2"/>
    </font>
    <font>
      <b/>
      <sz val="18"/>
      <color indexed="56"/>
      <name val="Cambria"/>
      <family val="2"/>
    </font>
    <font>
      <b/>
      <sz val="18"/>
      <color indexed="62"/>
      <name val="Cambria"/>
      <family val="2"/>
    </font>
    <font>
      <b/>
      <sz val="11"/>
      <color indexed="16"/>
      <name val="Calibri"/>
      <family val="2"/>
    </font>
    <font>
      <sz val="11"/>
      <color indexed="10"/>
      <name val="Calibri"/>
      <family val="2"/>
    </font>
    <font>
      <u/>
      <sz val="11"/>
      <color theme="10"/>
      <name val="Calibri"/>
      <family val="2"/>
      <scheme val="minor"/>
    </font>
    <font>
      <b/>
      <sz val="12"/>
      <color theme="1"/>
      <name val="Calibri"/>
      <family val="2"/>
      <scheme val="minor"/>
    </font>
    <font>
      <sz val="10"/>
      <color rgb="FF0070C0"/>
      <name val="Calibri"/>
      <family val="2"/>
      <scheme val="minor"/>
    </font>
    <font>
      <b/>
      <sz val="9"/>
      <color indexed="81"/>
      <name val="Tahoma"/>
      <family val="2"/>
    </font>
    <font>
      <sz val="9"/>
      <color indexed="81"/>
      <name val="Tahoma"/>
      <family val="2"/>
    </font>
    <font>
      <u/>
      <sz val="11"/>
      <color theme="1"/>
      <name val="Calibri"/>
      <family val="2"/>
      <scheme val="minor"/>
    </font>
    <font>
      <sz val="11"/>
      <color rgb="FF00B0F0"/>
      <name val="Calibri"/>
      <family val="2"/>
      <scheme val="minor"/>
    </font>
    <font>
      <b/>
      <sz val="11"/>
      <color rgb="FF00B0F0"/>
      <name val="Calibri"/>
      <family val="2"/>
      <scheme val="minor"/>
    </font>
    <font>
      <b/>
      <sz val="14"/>
      <color theme="1"/>
      <name val="Calibri"/>
      <family val="2"/>
      <scheme val="minor"/>
    </font>
    <font>
      <b/>
      <sz val="10"/>
      <color theme="1"/>
      <name val="Calibri"/>
      <family val="2"/>
      <scheme val="minor"/>
    </font>
    <font>
      <b/>
      <sz val="12"/>
      <color theme="1"/>
      <name val="Calibri"/>
      <family val="2"/>
      <charset val="134"/>
      <scheme val="minor"/>
    </font>
    <font>
      <sz val="16"/>
      <color theme="1"/>
      <name val="Calibri"/>
      <family val="2"/>
      <scheme val="minor"/>
    </font>
    <font>
      <sz val="12"/>
      <color theme="1"/>
      <name val="Calibri"/>
      <family val="2"/>
      <charset val="134"/>
      <scheme val="minor"/>
    </font>
    <font>
      <sz val="12"/>
      <name val="Calibri"/>
      <family val="2"/>
      <scheme val="minor"/>
    </font>
    <font>
      <sz val="14"/>
      <color theme="1"/>
      <name val="Calibri"/>
      <family val="2"/>
      <scheme val="minor"/>
    </font>
    <font>
      <sz val="12"/>
      <color rgb="FF0070C0"/>
      <name val="Calibri"/>
      <family val="2"/>
      <scheme val="minor"/>
    </font>
    <font>
      <sz val="12"/>
      <color rgb="FFFF0000"/>
      <name val="Calibri"/>
      <family val="2"/>
      <charset val="134"/>
      <scheme val="minor"/>
    </font>
    <font>
      <sz val="10"/>
      <color theme="1"/>
      <name val="Calibri"/>
      <family val="2"/>
      <charset val="134"/>
      <scheme val="minor"/>
    </font>
    <font>
      <sz val="14"/>
      <name val="Arial"/>
      <family val="2"/>
    </font>
    <font>
      <b/>
      <sz val="16"/>
      <color theme="1"/>
      <name val="Calibri"/>
      <family val="2"/>
      <scheme val="minor"/>
    </font>
    <font>
      <sz val="16"/>
      <color theme="1"/>
      <name val="Calibri"/>
      <family val="2"/>
      <scheme val="minor"/>
    </font>
    <font>
      <sz val="10"/>
      <color rgb="FFFF0000"/>
      <name val="Calibri"/>
      <family val="2"/>
      <scheme val="minor"/>
    </font>
    <font>
      <b/>
      <sz val="10"/>
      <color theme="1"/>
      <name val="Arial"/>
      <family val="2"/>
    </font>
    <font>
      <sz val="10"/>
      <color rgb="FF008000"/>
      <name val="Calibri"/>
      <family val="2"/>
      <scheme val="minor"/>
    </font>
    <font>
      <sz val="12"/>
      <color rgb="FF008000"/>
      <name val="Calibri"/>
      <family val="2"/>
      <scheme val="minor"/>
    </font>
    <font>
      <b/>
      <sz val="12"/>
      <color rgb="FFFF0000"/>
      <name val="Arial"/>
      <family val="2"/>
    </font>
    <font>
      <sz val="11"/>
      <color rgb="FFFF0000"/>
      <name val="Arial"/>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9CC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medium">
        <color auto="1"/>
      </bottom>
      <diagonal/>
    </border>
  </borders>
  <cellStyleXfs count="8007">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34" fillId="0" borderId="0"/>
    <xf numFmtId="43" fontId="34"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xf numFmtId="0" fontId="21" fillId="0" borderId="0"/>
    <xf numFmtId="0" fontId="86"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4" fillId="0" borderId="0"/>
    <xf numFmtId="0" fontId="34" fillId="0" borderId="0"/>
    <xf numFmtId="0" fontId="3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8"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0" fillId="0" borderId="0"/>
    <xf numFmtId="0" fontId="4" fillId="0" borderId="0"/>
    <xf numFmtId="0" fontId="34" fillId="0" borderId="0"/>
    <xf numFmtId="0" fontId="97" fillId="0" borderId="0"/>
    <xf numFmtId="0" fontId="97" fillId="0" borderId="0"/>
    <xf numFmtId="0" fontId="36" fillId="0" borderId="0"/>
    <xf numFmtId="0" fontId="97" fillId="0" borderId="0"/>
    <xf numFmtId="0" fontId="97" fillId="0" borderId="0" applyNumberFormat="0" applyFill="0" applyBorder="0" applyAlignment="0" applyProtection="0"/>
    <xf numFmtId="0" fontId="97" fillId="0" borderId="0" applyNumberFormat="0" applyFill="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100" fillId="89"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100" fillId="91"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100" fillId="93"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89"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100"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100"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7"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100"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100" fillId="100"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97"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100" fillId="9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20" fillId="1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3"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20" fillId="16"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20" fillId="2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97"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8"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20" fillId="32"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91"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20" fillId="9"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3"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20" fillId="13"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20" fillId="1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1"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5"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20" fillId="29"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4" fillId="6" borderId="4"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89" borderId="81" applyNumberFormat="0" applyAlignment="0" applyProtection="0"/>
    <xf numFmtId="0" fontId="103" fillId="97" borderId="81" applyNumberFormat="0" applyAlignment="0" applyProtection="0"/>
    <xf numFmtId="0" fontId="103" fillId="97" borderId="81"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6" fillId="7" borderId="7"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41"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9" fillId="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6" fillId="0" borderId="1"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8" fillId="0" borderId="84"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7" fillId="0" borderId="2"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0"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8" fillId="0" borderId="3"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2" fillId="0" borderId="87"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2" fillId="5" borderId="4"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5" fillId="0" borderId="6"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 fillId="4"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34" fillId="0" borderId="0"/>
    <xf numFmtId="0" fontId="34" fillId="0" borderId="0"/>
    <xf numFmtId="0" fontId="21"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21" fillId="0" borderId="0"/>
    <xf numFmtId="0" fontId="97" fillId="0" borderId="0"/>
    <xf numFmtId="0" fontId="36"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36" fillId="0" borderId="0"/>
    <xf numFmtId="0" fontId="34" fillId="0" borderId="0"/>
    <xf numFmtId="0" fontId="97" fillId="0" borderId="0"/>
    <xf numFmtId="0" fontId="3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4" fillId="0" borderId="0"/>
    <xf numFmtId="0" fontId="86" fillId="0" borderId="0"/>
    <xf numFmtId="0" fontId="4" fillId="0" borderId="0"/>
    <xf numFmtId="0" fontId="4"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3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4"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 fillId="0" borderId="0"/>
    <xf numFmtId="0" fontId="4" fillId="0" borderId="0"/>
    <xf numFmtId="0" fontId="4" fillId="0" borderId="0"/>
    <xf numFmtId="0" fontId="119"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86"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34" fillId="0" borderId="0"/>
    <xf numFmtId="0" fontId="34" fillId="0" borderId="0"/>
    <xf numFmtId="0" fontId="120"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6" fillId="0" borderId="0"/>
    <xf numFmtId="0" fontId="36"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34" fillId="0" borderId="0"/>
    <xf numFmtId="0" fontId="4" fillId="0" borderId="0"/>
    <xf numFmtId="0" fontId="4" fillId="0" borderId="0"/>
    <xf numFmtId="0" fontId="4" fillId="0" borderId="0"/>
    <xf numFmtId="0" fontId="97"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6" fillId="0" borderId="0"/>
    <xf numFmtId="0" fontId="86" fillId="0" borderId="0"/>
    <xf numFmtId="0" fontId="86" fillId="0" borderId="0"/>
    <xf numFmtId="0" fontId="86" fillId="0" borderId="0"/>
    <xf numFmtId="0" fontId="86" fillId="0" borderId="0"/>
    <xf numFmtId="0" fontId="34"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97" fillId="93" borderId="89" applyNumberFormat="0" applyFont="0" applyAlignment="0" applyProtection="0"/>
    <xf numFmtId="0" fontId="34" fillId="93" borderId="89" applyNumberFormat="0" applyFon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3" fillId="6" borderId="5"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89" borderId="90" applyNumberFormat="0" applyAlignment="0" applyProtection="0"/>
    <xf numFmtId="0" fontId="121" fillId="97" borderId="90" applyNumberFormat="0" applyAlignment="0" applyProtection="0"/>
    <xf numFmtId="0" fontId="121" fillId="97" borderId="90" applyNumberFormat="0" applyAlignment="0" applyProtection="0"/>
    <xf numFmtId="9" fontId="97" fillId="0" borderId="0" applyFont="0" applyFill="0" applyBorder="0" applyAlignment="0" applyProtection="0"/>
    <xf numFmtId="9" fontId="34" fillId="0" borderId="0" applyFont="0" applyFill="0" applyBorder="0" applyAlignment="0" applyProtection="0"/>
    <xf numFmtId="9" fontId="97" fillId="0" borderId="0" applyFont="0" applyFill="0" applyBorder="0" applyAlignment="0" applyProtection="0"/>
    <xf numFmtId="9" fontId="9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9" fillId="0" borderId="9"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4" fillId="0" borderId="92"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977">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9" fillId="0" borderId="0" xfId="0" applyFont="1"/>
    <xf numFmtId="165" fontId="0" fillId="0" borderId="0" xfId="1" applyNumberFormat="1" applyFont="1"/>
    <xf numFmtId="164" fontId="0" fillId="0" borderId="0" xfId="1" applyNumberFormat="1" applyFont="1"/>
    <xf numFmtId="0" fontId="0" fillId="0" borderId="0" xfId="0"/>
    <xf numFmtId="0" fontId="0" fillId="33" borderId="0" xfId="0" applyFill="1"/>
    <xf numFmtId="0" fontId="17" fillId="33" borderId="0" xfId="0" applyFont="1" applyFill="1"/>
    <xf numFmtId="0" fontId="19" fillId="0" borderId="0" xfId="0" applyFont="1" applyAlignment="1">
      <alignment horizontal="left"/>
    </xf>
    <xf numFmtId="0" fontId="22" fillId="33" borderId="0" xfId="0" applyFont="1" applyFill="1"/>
    <xf numFmtId="14" fontId="0" fillId="0" borderId="0" xfId="0" applyNumberFormat="1"/>
    <xf numFmtId="0" fontId="0" fillId="0" borderId="0" xfId="0" applyFont="1"/>
    <xf numFmtId="0" fontId="0" fillId="0" borderId="0" xfId="0" applyAlignment="1">
      <alignment vertical="center"/>
    </xf>
    <xf numFmtId="0" fontId="0" fillId="41" borderId="0" xfId="0" applyFill="1"/>
    <xf numFmtId="0" fontId="0" fillId="42" borderId="0" xfId="0" applyFill="1"/>
    <xf numFmtId="0" fontId="17" fillId="0" borderId="0" xfId="0" applyFont="1"/>
    <xf numFmtId="0" fontId="0" fillId="0" borderId="0" xfId="0" applyAlignment="1">
      <alignment horizontal="left" vertical="center"/>
    </xf>
    <xf numFmtId="0" fontId="0" fillId="0" borderId="0" xfId="0"/>
    <xf numFmtId="0" fontId="0" fillId="34" borderId="0" xfId="0" applyFill="1"/>
    <xf numFmtId="0" fontId="27" fillId="34" borderId="0" xfId="0" applyFont="1" applyFill="1" applyAlignment="1">
      <alignment horizontal="center" wrapText="1"/>
    </xf>
    <xf numFmtId="0" fontId="28" fillId="35" borderId="0" xfId="0" applyFont="1" applyFill="1" applyAlignment="1">
      <alignment horizontal="center" wrapText="1"/>
    </xf>
    <xf numFmtId="0" fontId="29" fillId="34" borderId="0" xfId="0" applyFont="1" applyFill="1" applyAlignment="1">
      <alignment horizontal="center" wrapText="1"/>
    </xf>
    <xf numFmtId="0" fontId="31" fillId="35" borderId="11" xfId="0" applyFont="1" applyFill="1" applyBorder="1" applyAlignment="1">
      <alignment wrapText="1"/>
    </xf>
    <xf numFmtId="14" fontId="31" fillId="35" borderId="11" xfId="0" applyNumberFormat="1" applyFont="1" applyFill="1" applyBorder="1" applyAlignment="1">
      <alignment wrapText="1"/>
    </xf>
    <xf numFmtId="0" fontId="32" fillId="36" borderId="11" xfId="0" applyFont="1" applyFill="1" applyBorder="1" applyAlignment="1">
      <alignment wrapText="1"/>
    </xf>
    <xf numFmtId="14" fontId="32" fillId="36" borderId="11" xfId="0" applyNumberFormat="1" applyFont="1" applyFill="1" applyBorder="1" applyAlignment="1">
      <alignment wrapText="1"/>
    </xf>
    <xf numFmtId="0" fontId="23" fillId="34" borderId="11" xfId="0" applyFont="1" applyFill="1" applyBorder="1" applyAlignment="1">
      <alignment wrapText="1"/>
    </xf>
    <xf numFmtId="14" fontId="23" fillId="34" borderId="11" xfId="0" applyNumberFormat="1" applyFont="1" applyFill="1" applyBorder="1" applyAlignment="1">
      <alignment wrapText="1"/>
    </xf>
    <xf numFmtId="0" fontId="17" fillId="0" borderId="0" xfId="0" applyFont="1" applyFill="1"/>
    <xf numFmtId="0" fontId="0" fillId="0" borderId="0" xfId="0" applyFill="1"/>
    <xf numFmtId="165" fontId="0" fillId="0" borderId="0" xfId="1" applyNumberFormat="1" applyFont="1" applyFill="1"/>
    <xf numFmtId="165" fontId="0" fillId="40" borderId="0" xfId="1" applyNumberFormat="1" applyFont="1" applyFill="1"/>
    <xf numFmtId="0" fontId="17" fillId="0" borderId="0" xfId="1" applyNumberFormat="1" applyFont="1"/>
    <xf numFmtId="0" fontId="0" fillId="0" borderId="0" xfId="0" applyFont="1" applyAlignment="1">
      <alignment horizontal="left" indent="1"/>
    </xf>
    <xf numFmtId="165" fontId="0" fillId="0" borderId="0" xfId="0" applyNumberFormat="1"/>
    <xf numFmtId="0" fontId="17" fillId="33" borderId="0" xfId="0" applyFont="1" applyFill="1" applyAlignment="1">
      <alignment horizontal="left" indent="2"/>
    </xf>
    <xf numFmtId="0" fontId="0" fillId="0" borderId="0" xfId="0" applyFont="1" applyAlignment="1">
      <alignment horizontal="left" indent="2"/>
    </xf>
    <xf numFmtId="0" fontId="70" fillId="0" borderId="0" xfId="0" applyFont="1" applyAlignment="1">
      <alignment horizontal="left" indent="2"/>
    </xf>
    <xf numFmtId="0" fontId="19" fillId="41" borderId="0" xfId="0" applyFont="1" applyFill="1"/>
    <xf numFmtId="165" fontId="0" fillId="41" borderId="0" xfId="1" applyNumberFormat="1" applyFont="1" applyFill="1"/>
    <xf numFmtId="0" fontId="19" fillId="54" borderId="0" xfId="0" applyFont="1" applyFill="1"/>
    <xf numFmtId="0" fontId="0" fillId="54" borderId="0" xfId="0" applyFill="1"/>
    <xf numFmtId="165" fontId="0" fillId="54" borderId="0" xfId="1" applyNumberFormat="1" applyFont="1" applyFill="1"/>
    <xf numFmtId="164" fontId="0" fillId="54" borderId="0" xfId="1" applyNumberFormat="1" applyFont="1" applyFill="1"/>
    <xf numFmtId="0" fontId="0" fillId="33" borderId="0" xfId="0" applyFont="1" applyFill="1"/>
    <xf numFmtId="0" fontId="0" fillId="41" borderId="0" xfId="0" applyFont="1" applyFill="1"/>
    <xf numFmtId="3" fontId="0" fillId="0" borderId="0" xfId="0" applyNumberFormat="1" applyFont="1"/>
    <xf numFmtId="0" fontId="0" fillId="54" borderId="0" xfId="0" applyFont="1" applyFill="1"/>
    <xf numFmtId="3" fontId="0" fillId="0" borderId="0" xfId="0" applyNumberFormat="1" applyFont="1" applyFill="1" applyBorder="1"/>
    <xf numFmtId="0" fontId="0" fillId="0" borderId="0" xfId="0" applyFont="1" applyFill="1"/>
    <xf numFmtId="0" fontId="19" fillId="55" borderId="0" xfId="0" applyFont="1" applyFill="1"/>
    <xf numFmtId="0" fontId="0" fillId="55" borderId="0" xfId="0" applyFont="1" applyFill="1"/>
    <xf numFmtId="165" fontId="0" fillId="55" borderId="0" xfId="1" applyNumberFormat="1" applyFont="1" applyFill="1"/>
    <xf numFmtId="0" fontId="19" fillId="56" borderId="0" xfId="0" applyFont="1" applyFill="1"/>
    <xf numFmtId="0" fontId="0" fillId="56" borderId="0" xfId="0" applyFont="1" applyFill="1"/>
    <xf numFmtId="165" fontId="0" fillId="56" borderId="0" xfId="1" applyNumberFormat="1" applyFont="1" applyFill="1"/>
    <xf numFmtId="167" fontId="0" fillId="0" borderId="0" xfId="0" applyNumberFormat="1" applyFont="1"/>
    <xf numFmtId="0" fontId="0" fillId="56" borderId="0" xfId="0" applyFill="1"/>
    <xf numFmtId="0" fontId="0" fillId="55" borderId="0" xfId="0" applyFill="1"/>
    <xf numFmtId="0" fontId="19" fillId="57" borderId="0" xfId="0" applyFont="1" applyFill="1"/>
    <xf numFmtId="0" fontId="0" fillId="57" borderId="0" xfId="0" applyFill="1"/>
    <xf numFmtId="0" fontId="19" fillId="58" borderId="0" xfId="0" applyFont="1" applyFill="1"/>
    <xf numFmtId="0" fontId="0" fillId="58" borderId="0" xfId="0" applyFill="1"/>
    <xf numFmtId="165" fontId="0" fillId="58" borderId="0" xfId="1" applyNumberFormat="1" applyFont="1" applyFill="1"/>
    <xf numFmtId="0" fontId="70" fillId="0" borderId="0" xfId="0" applyFont="1" applyAlignment="1">
      <alignment horizontal="left" indent="1"/>
    </xf>
    <xf numFmtId="2" fontId="0" fillId="0" borderId="0" xfId="0" applyNumberFormat="1" applyFont="1" applyFill="1"/>
    <xf numFmtId="2" fontId="0" fillId="0" borderId="0" xfId="0" applyNumberFormat="1" applyFill="1"/>
    <xf numFmtId="0" fontId="72" fillId="0" borderId="0" xfId="0" applyFont="1" applyAlignment="1">
      <alignment horizontal="left"/>
    </xf>
    <xf numFmtId="0" fontId="75" fillId="38" borderId="71" xfId="0" applyFont="1" applyFill="1" applyBorder="1"/>
    <xf numFmtId="0" fontId="35" fillId="61" borderId="71" xfId="0" applyFont="1" applyFill="1" applyBorder="1"/>
    <xf numFmtId="0" fontId="35" fillId="59" borderId="71" xfId="0" applyFont="1" applyFill="1" applyBorder="1"/>
    <xf numFmtId="38" fontId="0" fillId="33" borderId="71" xfId="0" applyNumberFormat="1" applyFill="1" applyBorder="1"/>
    <xf numFmtId="38" fontId="0" fillId="33" borderId="53" xfId="0" applyNumberFormat="1" applyFill="1" applyBorder="1"/>
    <xf numFmtId="0" fontId="0" fillId="0" borderId="0" xfId="0" applyBorder="1"/>
    <xf numFmtId="0" fontId="35" fillId="0" borderId="0" xfId="0" applyFont="1" applyAlignment="1">
      <alignment vertical="center"/>
    </xf>
    <xf numFmtId="0" fontId="35" fillId="60" borderId="71" xfId="0" applyFont="1" applyFill="1" applyBorder="1"/>
    <xf numFmtId="0" fontId="35" fillId="62" borderId="71" xfId="0" applyFont="1" applyFill="1" applyBorder="1"/>
    <xf numFmtId="0" fontId="35" fillId="35" borderId="71" xfId="0" applyFont="1" applyFill="1" applyBorder="1"/>
    <xf numFmtId="0" fontId="0" fillId="57" borderId="0" xfId="0" applyFont="1" applyFill="1"/>
    <xf numFmtId="0" fontId="35" fillId="63" borderId="71" xfId="0" applyFont="1" applyFill="1" applyBorder="1" applyAlignment="1">
      <alignment horizontal="left" indent="2"/>
    </xf>
    <xf numFmtId="0" fontId="35" fillId="67" borderId="71" xfId="0" applyFont="1" applyFill="1" applyBorder="1"/>
    <xf numFmtId="0" fontId="35" fillId="65" borderId="71" xfId="0" applyFont="1" applyFill="1" applyBorder="1"/>
    <xf numFmtId="0" fontId="35" fillId="69" borderId="71" xfId="0" applyFont="1" applyFill="1" applyBorder="1"/>
    <xf numFmtId="0" fontId="35" fillId="70" borderId="71" xfId="0" applyFont="1" applyFill="1" applyBorder="1"/>
    <xf numFmtId="0" fontId="35" fillId="71" borderId="71" xfId="0" applyFont="1" applyFill="1" applyBorder="1"/>
    <xf numFmtId="0" fontId="35" fillId="73" borderId="71" xfId="0" applyFont="1" applyFill="1" applyBorder="1" applyAlignment="1">
      <alignment horizontal="left" indent="2"/>
    </xf>
    <xf numFmtId="0" fontId="35" fillId="68" borderId="71" xfId="0" applyFont="1" applyFill="1" applyBorder="1" applyAlignment="1">
      <alignment horizontal="left" indent="2"/>
    </xf>
    <xf numFmtId="0" fontId="35" fillId="74" borderId="71" xfId="0" applyFont="1" applyFill="1" applyBorder="1"/>
    <xf numFmtId="0" fontId="35" fillId="75" borderId="71" xfId="0" applyFont="1" applyFill="1" applyBorder="1"/>
    <xf numFmtId="0" fontId="75" fillId="35" borderId="71" xfId="0" applyFont="1" applyFill="1" applyBorder="1"/>
    <xf numFmtId="38" fontId="76" fillId="35" borderId="53" xfId="0" applyNumberFormat="1" applyFont="1" applyFill="1" applyBorder="1"/>
    <xf numFmtId="38" fontId="76" fillId="35" borderId="71" xfId="0" applyNumberFormat="1" applyFont="1" applyFill="1" applyBorder="1"/>
    <xf numFmtId="38" fontId="0" fillId="35" borderId="53" xfId="0" applyNumberFormat="1" applyFill="1" applyBorder="1"/>
    <xf numFmtId="0" fontId="35" fillId="35" borderId="73" xfId="0" applyFont="1" applyFill="1" applyBorder="1"/>
    <xf numFmtId="38" fontId="76" fillId="35" borderId="70" xfId="0" applyNumberFormat="1" applyFont="1" applyFill="1" applyBorder="1"/>
    <xf numFmtId="0" fontId="35" fillId="35" borderId="69" xfId="0" applyFont="1" applyFill="1" applyBorder="1"/>
    <xf numFmtId="9" fontId="71" fillId="35" borderId="72" xfId="111" applyFont="1" applyFill="1" applyBorder="1"/>
    <xf numFmtId="0" fontId="35" fillId="77" borderId="71" xfId="0" applyFont="1" applyFill="1" applyBorder="1"/>
    <xf numFmtId="0" fontId="73" fillId="72" borderId="21" xfId="0" applyFont="1" applyFill="1" applyBorder="1" applyAlignment="1">
      <alignment horizontal="right"/>
    </xf>
    <xf numFmtId="0" fontId="35" fillId="76" borderId="71" xfId="0" applyFont="1" applyFill="1" applyBorder="1" applyAlignment="1">
      <alignment horizontal="left" indent="2"/>
    </xf>
    <xf numFmtId="0" fontId="19" fillId="41" borderId="0" xfId="0" applyFont="1" applyFill="1" applyAlignment="1">
      <alignment horizontal="left"/>
    </xf>
    <xf numFmtId="0" fontId="19" fillId="42" borderId="0" xfId="0" applyFont="1" applyFill="1"/>
    <xf numFmtId="0" fontId="0" fillId="61" borderId="0" xfId="0" applyFill="1" applyBorder="1"/>
    <xf numFmtId="0" fontId="0" fillId="61" borderId="52" xfId="0" applyFill="1" applyBorder="1"/>
    <xf numFmtId="0" fontId="22" fillId="72" borderId="21" xfId="0" applyFont="1" applyFill="1" applyBorder="1" applyAlignment="1">
      <alignment horizontal="right"/>
    </xf>
    <xf numFmtId="0" fontId="0" fillId="61" borderId="71" xfId="0" applyFill="1" applyBorder="1"/>
    <xf numFmtId="0" fontId="74" fillId="61" borderId="70" xfId="0" applyFont="1" applyFill="1" applyBorder="1" applyAlignment="1">
      <alignment horizontal="center"/>
    </xf>
    <xf numFmtId="0" fontId="0" fillId="61" borderId="53" xfId="0" applyFill="1" applyBorder="1"/>
    <xf numFmtId="38" fontId="0" fillId="61" borderId="53" xfId="0" applyNumberFormat="1" applyFill="1" applyBorder="1"/>
    <xf numFmtId="38" fontId="0" fillId="61" borderId="71" xfId="0" applyNumberFormat="1" applyFill="1" applyBorder="1"/>
    <xf numFmtId="38" fontId="76" fillId="61" borderId="53" xfId="0" applyNumberFormat="1" applyFont="1" applyFill="1" applyBorder="1"/>
    <xf numFmtId="38" fontId="76" fillId="61" borderId="71" xfId="0" applyNumberFormat="1" applyFont="1" applyFill="1" applyBorder="1"/>
    <xf numFmtId="38" fontId="0" fillId="61" borderId="53" xfId="1" applyNumberFormat="1" applyFont="1" applyFill="1" applyBorder="1"/>
    <xf numFmtId="0" fontId="0" fillId="61" borderId="31" xfId="0" applyFill="1" applyBorder="1"/>
    <xf numFmtId="0" fontId="0" fillId="61" borderId="25" xfId="0" applyFill="1" applyBorder="1"/>
    <xf numFmtId="0" fontId="35" fillId="35" borderId="74" xfId="0" applyFont="1" applyFill="1" applyBorder="1"/>
    <xf numFmtId="0" fontId="35" fillId="35" borderId="75" xfId="0" applyFont="1" applyFill="1" applyBorder="1"/>
    <xf numFmtId="0" fontId="35" fillId="35" borderId="41" xfId="0" applyFont="1" applyFill="1" applyBorder="1"/>
    <xf numFmtId="0" fontId="0" fillId="61" borderId="38" xfId="0" applyFill="1" applyBorder="1"/>
    <xf numFmtId="38" fontId="76" fillId="61" borderId="0" xfId="0" applyNumberFormat="1" applyFont="1" applyFill="1" applyBorder="1"/>
    <xf numFmtId="10" fontId="76" fillId="61" borderId="0" xfId="111" applyNumberFormat="1" applyFont="1" applyFill="1" applyBorder="1"/>
    <xf numFmtId="38" fontId="0" fillId="61" borderId="0" xfId="0" applyNumberFormat="1" applyFill="1" applyBorder="1"/>
    <xf numFmtId="38" fontId="0" fillId="33" borderId="0" xfId="0" applyNumberFormat="1" applyFill="1" applyBorder="1"/>
    <xf numFmtId="0" fontId="0" fillId="61" borderId="77" xfId="0" applyFill="1" applyBorder="1"/>
    <xf numFmtId="0" fontId="0" fillId="61" borderId="0" xfId="0" applyNumberFormat="1" applyFill="1" applyBorder="1"/>
    <xf numFmtId="0" fontId="0" fillId="61" borderId="0" xfId="0" applyFill="1" applyBorder="1" applyAlignment="1">
      <alignment horizontal="left" indent="1"/>
    </xf>
    <xf numFmtId="0" fontId="19" fillId="61" borderId="0" xfId="0" applyFont="1" applyFill="1" applyBorder="1"/>
    <xf numFmtId="0" fontId="0" fillId="61" borderId="46" xfId="0" applyFill="1" applyBorder="1"/>
    <xf numFmtId="0" fontId="0" fillId="61" borderId="78" xfId="0" applyFill="1" applyBorder="1"/>
    <xf numFmtId="0" fontId="0" fillId="61" borderId="79" xfId="0" applyFill="1" applyBorder="1"/>
    <xf numFmtId="0" fontId="0" fillId="0" borderId="0" xfId="1" applyNumberFormat="1" applyFont="1" applyAlignment="1">
      <alignment horizontal="left" indent="1"/>
    </xf>
    <xf numFmtId="0" fontId="75" fillId="61" borderId="71" xfId="0" applyFont="1" applyFill="1" applyBorder="1"/>
    <xf numFmtId="0" fontId="35" fillId="79" borderId="71" xfId="0" applyFont="1" applyFill="1" applyBorder="1" applyAlignment="1">
      <alignment horizontal="left" indent="2"/>
    </xf>
    <xf numFmtId="0" fontId="35" fillId="80" borderId="71" xfId="0" applyFont="1" applyFill="1" applyBorder="1" applyAlignment="1">
      <alignment horizontal="left" indent="2"/>
    </xf>
    <xf numFmtId="0" fontId="0" fillId="0" borderId="71" xfId="0" applyFont="1" applyFill="1" applyBorder="1"/>
    <xf numFmtId="0" fontId="0" fillId="0" borderId="72" xfId="0" applyFont="1" applyFill="1" applyBorder="1"/>
    <xf numFmtId="0" fontId="0" fillId="0" borderId="71" xfId="0" applyFont="1" applyBorder="1"/>
    <xf numFmtId="0" fontId="0" fillId="0" borderId="72" xfId="0" applyFont="1" applyBorder="1"/>
    <xf numFmtId="0" fontId="19" fillId="0" borderId="21" xfId="0" applyFont="1" applyFill="1" applyBorder="1"/>
    <xf numFmtId="0" fontId="19" fillId="0" borderId="21" xfId="0" applyFont="1" applyBorder="1"/>
    <xf numFmtId="0" fontId="0" fillId="0" borderId="71" xfId="0" applyFont="1" applyBorder="1" applyAlignment="1">
      <alignment wrapText="1"/>
    </xf>
    <xf numFmtId="0" fontId="0" fillId="0" borderId="72" xfId="0" applyFont="1" applyBorder="1" applyAlignment="1">
      <alignment wrapText="1"/>
    </xf>
    <xf numFmtId="14" fontId="0" fillId="0" borderId="71" xfId="0" applyNumberFormat="1" applyFont="1" applyBorder="1" applyAlignment="1"/>
    <xf numFmtId="0" fontId="0" fillId="0" borderId="72" xfId="0" applyFont="1" applyBorder="1" applyAlignment="1"/>
    <xf numFmtId="0" fontId="0" fillId="61" borderId="73" xfId="0" applyFill="1" applyBorder="1"/>
    <xf numFmtId="0" fontId="19" fillId="61" borderId="44" xfId="0" applyFont="1" applyFill="1" applyBorder="1"/>
    <xf numFmtId="0" fontId="0" fillId="61" borderId="37" xfId="0" applyFill="1" applyBorder="1"/>
    <xf numFmtId="17" fontId="19" fillId="61" borderId="0" xfId="0" quotePrefix="1" applyNumberFormat="1" applyFont="1" applyFill="1" applyBorder="1"/>
    <xf numFmtId="0" fontId="0" fillId="61" borderId="69" xfId="0" applyFill="1" applyBorder="1"/>
    <xf numFmtId="0" fontId="0" fillId="61" borderId="56" xfId="0" applyFill="1" applyBorder="1"/>
    <xf numFmtId="0" fontId="19" fillId="0" borderId="70" xfId="0" applyFont="1" applyFill="1" applyBorder="1"/>
    <xf numFmtId="0" fontId="19" fillId="0" borderId="70" xfId="0" applyFont="1" applyBorder="1" applyAlignment="1">
      <alignment wrapText="1"/>
    </xf>
    <xf numFmtId="0" fontId="0" fillId="0" borderId="0" xfId="0" applyFont="1" applyBorder="1"/>
    <xf numFmtId="0" fontId="19" fillId="0" borderId="71" xfId="0" applyFont="1" applyFill="1" applyBorder="1"/>
    <xf numFmtId="0" fontId="19" fillId="0" borderId="71" xfId="0" applyFont="1" applyFill="1" applyBorder="1" applyAlignment="1">
      <alignment wrapText="1"/>
    </xf>
    <xf numFmtId="0" fontId="0" fillId="0" borderId="71" xfId="0" applyBorder="1"/>
    <xf numFmtId="0" fontId="0" fillId="0" borderId="72" xfId="0" applyBorder="1"/>
    <xf numFmtId="0" fontId="0" fillId="82" borderId="71" xfId="0" applyFill="1" applyBorder="1"/>
    <xf numFmtId="0" fontId="0" fillId="82" borderId="71" xfId="0" applyFill="1" applyBorder="1" applyAlignment="1">
      <alignment horizontal="right"/>
    </xf>
    <xf numFmtId="0" fontId="19" fillId="82" borderId="71" xfId="0" applyFont="1" applyFill="1" applyBorder="1" applyAlignment="1">
      <alignment horizontal="right"/>
    </xf>
    <xf numFmtId="0" fontId="19" fillId="61" borderId="0" xfId="0" applyFont="1" applyFill="1" applyBorder="1" applyAlignment="1">
      <alignment horizontal="left"/>
    </xf>
    <xf numFmtId="0" fontId="0" fillId="61" borderId="0" xfId="0" applyFill="1"/>
    <xf numFmtId="167" fontId="0" fillId="78" borderId="0" xfId="0" applyNumberFormat="1" applyFont="1" applyFill="1"/>
    <xf numFmtId="0" fontId="35" fillId="33" borderId="71" xfId="0" applyFont="1" applyFill="1" applyBorder="1"/>
    <xf numFmtId="0" fontId="74" fillId="61" borderId="71" xfId="0" applyFont="1" applyFill="1" applyBorder="1" applyAlignment="1">
      <alignment horizontal="center"/>
    </xf>
    <xf numFmtId="0" fontId="0" fillId="33" borderId="69" xfId="0" applyFill="1" applyBorder="1"/>
    <xf numFmtId="0" fontId="0" fillId="33" borderId="55" xfId="0" applyFill="1" applyBorder="1"/>
    <xf numFmtId="0" fontId="0" fillId="33" borderId="72" xfId="0" applyFill="1" applyBorder="1"/>
    <xf numFmtId="0" fontId="0" fillId="61" borderId="70" xfId="0" applyFill="1" applyBorder="1"/>
    <xf numFmtId="2" fontId="0" fillId="0" borderId="0" xfId="0" applyNumberFormat="1" applyFont="1"/>
    <xf numFmtId="167" fontId="0" fillId="0" borderId="0" xfId="0" applyNumberFormat="1" applyFont="1" applyFill="1"/>
    <xf numFmtId="2" fontId="0" fillId="0" borderId="0" xfId="0" applyNumberFormat="1"/>
    <xf numFmtId="0" fontId="0" fillId="0" borderId="0" xfId="0" applyFont="1" applyAlignment="1">
      <alignment vertical="top"/>
    </xf>
    <xf numFmtId="168" fontId="0" fillId="0" borderId="0" xfId="1" applyNumberFormat="1" applyFont="1" applyFill="1"/>
    <xf numFmtId="0" fontId="0" fillId="61" borderId="78" xfId="0" applyFill="1" applyBorder="1" applyAlignment="1">
      <alignment horizontal="left" indent="1"/>
    </xf>
    <xf numFmtId="0" fontId="80" fillId="61" borderId="70" xfId="0" applyFont="1" applyFill="1" applyBorder="1" applyAlignment="1">
      <alignment horizontal="center"/>
    </xf>
    <xf numFmtId="0" fontId="83" fillId="61" borderId="0" xfId="0" applyFont="1" applyFill="1" applyBorder="1"/>
    <xf numFmtId="0" fontId="83" fillId="61" borderId="0" xfId="0" applyFont="1" applyFill="1" applyBorder="1" applyAlignment="1">
      <alignment horizontal="left"/>
    </xf>
    <xf numFmtId="0" fontId="83" fillId="61" borderId="0" xfId="0" applyFont="1" applyFill="1" applyBorder="1" applyAlignment="1">
      <alignment horizontal="left" indent="1"/>
    </xf>
    <xf numFmtId="2" fontId="0" fillId="78" borderId="0" xfId="1" applyNumberFormat="1" applyFont="1" applyFill="1"/>
    <xf numFmtId="0" fontId="22" fillId="72" borderId="21" xfId="0" applyFont="1" applyFill="1" applyBorder="1" applyAlignment="1">
      <alignment horizontal="right" vertical="center"/>
    </xf>
    <xf numFmtId="2" fontId="19" fillId="82" borderId="71" xfId="0" applyNumberFormat="1" applyFont="1" applyFill="1" applyBorder="1" applyAlignment="1">
      <alignment vertical="center"/>
    </xf>
    <xf numFmtId="2" fontId="22" fillId="72" borderId="21" xfId="0" applyNumberFormat="1" applyFont="1" applyFill="1" applyBorder="1" applyAlignment="1">
      <alignment vertical="center"/>
    </xf>
    <xf numFmtId="165" fontId="81" fillId="64" borderId="0" xfId="1" applyNumberFormat="1" applyFont="1" applyFill="1" applyBorder="1"/>
    <xf numFmtId="9" fontId="81" fillId="64" borderId="0" xfId="111" applyFont="1" applyFill="1" applyBorder="1"/>
    <xf numFmtId="165" fontId="84" fillId="64" borderId="0" xfId="1" applyNumberFormat="1" applyFont="1" applyFill="1" applyBorder="1"/>
    <xf numFmtId="165" fontId="81" fillId="64" borderId="77" xfId="1" applyNumberFormat="1" applyFont="1" applyFill="1" applyBorder="1" applyAlignment="1">
      <alignment horizontal="left"/>
    </xf>
    <xf numFmtId="0" fontId="81" fillId="64" borderId="25" xfId="0" applyFont="1" applyFill="1" applyBorder="1" applyAlignment="1">
      <alignment horizontal="right"/>
    </xf>
    <xf numFmtId="165" fontId="81" fillId="64" borderId="25" xfId="1" applyNumberFormat="1" applyFont="1" applyFill="1" applyBorder="1"/>
    <xf numFmtId="165" fontId="84" fillId="64" borderId="25" xfId="1" applyNumberFormat="1" applyFont="1" applyFill="1" applyBorder="1"/>
    <xf numFmtId="165" fontId="81" fillId="64" borderId="76" xfId="1" applyNumberFormat="1" applyFont="1" applyFill="1" applyBorder="1" applyAlignment="1">
      <alignment horizontal="left"/>
    </xf>
    <xf numFmtId="0" fontId="81" fillId="64" borderId="0" xfId="0" applyFont="1" applyFill="1" applyBorder="1" applyAlignment="1">
      <alignment horizontal="right"/>
    </xf>
    <xf numFmtId="0" fontId="0" fillId="64" borderId="31" xfId="0" applyFill="1" applyBorder="1"/>
    <xf numFmtId="0" fontId="0" fillId="64" borderId="25" xfId="0" applyFill="1" applyBorder="1"/>
    <xf numFmtId="0" fontId="0" fillId="64" borderId="38" xfId="0" applyFill="1" applyBorder="1"/>
    <xf numFmtId="0" fontId="0" fillId="64" borderId="0" xfId="0" applyFill="1" applyBorder="1"/>
    <xf numFmtId="0" fontId="0" fillId="64" borderId="46" xfId="0" applyFill="1" applyBorder="1"/>
    <xf numFmtId="0" fontId="0" fillId="64" borderId="77" xfId="0" applyFill="1" applyBorder="1"/>
    <xf numFmtId="0" fontId="0" fillId="64" borderId="78" xfId="0" applyFill="1" applyBorder="1"/>
    <xf numFmtId="0" fontId="0" fillId="64" borderId="79" xfId="0" applyFill="1" applyBorder="1"/>
    <xf numFmtId="0" fontId="81" fillId="64" borderId="25" xfId="0" applyFont="1" applyFill="1" applyBorder="1"/>
    <xf numFmtId="9" fontId="84" fillId="64" borderId="0" xfId="111" applyFont="1" applyFill="1" applyBorder="1"/>
    <xf numFmtId="0" fontId="82" fillId="82" borderId="70" xfId="0" applyFont="1" applyFill="1" applyBorder="1" applyAlignment="1">
      <alignment horizontal="center" vertical="center"/>
    </xf>
    <xf numFmtId="0" fontId="82" fillId="82" borderId="71" xfId="0" applyFont="1" applyFill="1" applyBorder="1" applyAlignment="1">
      <alignment horizontal="center" vertical="center"/>
    </xf>
    <xf numFmtId="0" fontId="0" fillId="61" borderId="0" xfId="0" applyFill="1" applyAlignment="1">
      <alignment horizontal="center"/>
    </xf>
    <xf numFmtId="0" fontId="0" fillId="61" borderId="0" xfId="0" applyFill="1" applyAlignment="1">
      <alignment wrapText="1"/>
    </xf>
    <xf numFmtId="0" fontId="0" fillId="61" borderId="0" xfId="0" applyFill="1" applyAlignment="1">
      <alignment horizontal="center" wrapText="1"/>
    </xf>
    <xf numFmtId="0" fontId="35" fillId="83" borderId="71" xfId="0" applyFont="1" applyFill="1" applyBorder="1" applyAlignment="1">
      <alignment horizontal="left" indent="2"/>
    </xf>
    <xf numFmtId="0" fontId="83" fillId="61" borderId="0" xfId="0" applyFont="1" applyFill="1" applyBorder="1" applyAlignment="1">
      <alignment vertical="center"/>
    </xf>
    <xf numFmtId="0" fontId="83" fillId="61" borderId="0" xfId="0" applyFont="1" applyFill="1" applyBorder="1" applyAlignment="1">
      <alignment horizontal="left" vertical="center"/>
    </xf>
    <xf numFmtId="0" fontId="0" fillId="0" borderId="0" xfId="0" applyFont="1" applyAlignment="1"/>
    <xf numFmtId="0" fontId="0" fillId="0" borderId="0" xfId="0" applyFont="1" applyAlignment="1">
      <alignment horizontal="right"/>
    </xf>
    <xf numFmtId="0" fontId="0" fillId="41" borderId="0" xfId="0" applyFont="1" applyFill="1" applyAlignment="1">
      <alignment horizontal="right"/>
    </xf>
    <xf numFmtId="3" fontId="0" fillId="41" borderId="0" xfId="0" applyNumberFormat="1" applyFont="1" applyFill="1"/>
    <xf numFmtId="0" fontId="19" fillId="0" borderId="0" xfId="0" applyFont="1" applyFill="1"/>
    <xf numFmtId="165" fontId="0" fillId="0" borderId="0" xfId="0" applyNumberFormat="1" applyFill="1"/>
    <xf numFmtId="0" fontId="0" fillId="0" borderId="0" xfId="0" applyAlignment="1">
      <alignment horizontal="right"/>
    </xf>
    <xf numFmtId="0" fontId="85" fillId="61" borderId="71" xfId="0" applyFont="1" applyFill="1" applyBorder="1" applyAlignment="1">
      <alignment horizontal="center"/>
    </xf>
    <xf numFmtId="0" fontId="75" fillId="65" borderId="71" xfId="0" applyFont="1" applyFill="1" applyBorder="1"/>
    <xf numFmtId="0" fontId="75" fillId="65" borderId="71" xfId="0" applyFont="1" applyFill="1" applyBorder="1" applyAlignment="1">
      <alignment horizontal="left" indent="2"/>
    </xf>
    <xf numFmtId="0" fontId="0" fillId="0" borderId="31" xfId="0" applyFont="1" applyBorder="1"/>
    <xf numFmtId="0" fontId="0" fillId="0" borderId="25" xfId="0" applyFont="1" applyBorder="1"/>
    <xf numFmtId="0" fontId="0" fillId="0" borderId="76" xfId="0" applyFont="1" applyBorder="1"/>
    <xf numFmtId="0" fontId="0" fillId="0" borderId="38" xfId="0" applyFont="1" applyBorder="1"/>
    <xf numFmtId="0" fontId="0" fillId="0" borderId="77" xfId="0" applyFont="1" applyBorder="1"/>
    <xf numFmtId="165" fontId="0" fillId="40" borderId="38" xfId="1" applyNumberFormat="1" applyFont="1" applyFill="1" applyBorder="1"/>
    <xf numFmtId="165" fontId="0" fillId="40" borderId="0" xfId="1" applyNumberFormat="1" applyFont="1" applyFill="1" applyBorder="1"/>
    <xf numFmtId="165" fontId="0" fillId="40" borderId="46" xfId="1" applyNumberFormat="1" applyFont="1" applyFill="1" applyBorder="1"/>
    <xf numFmtId="165" fontId="0" fillId="40" borderId="78" xfId="1" applyNumberFormat="1" applyFont="1" applyFill="1" applyBorder="1"/>
    <xf numFmtId="165" fontId="0" fillId="0" borderId="38" xfId="1" applyNumberFormat="1" applyFont="1" applyBorder="1"/>
    <xf numFmtId="165" fontId="0" fillId="0" borderId="0" xfId="1" applyNumberFormat="1" applyFont="1" applyBorder="1"/>
    <xf numFmtId="167" fontId="0" fillId="0" borderId="0" xfId="0" applyNumberFormat="1" applyFont="1" applyBorder="1"/>
    <xf numFmtId="165" fontId="0" fillId="0" borderId="46" xfId="1" applyNumberFormat="1" applyFont="1" applyBorder="1"/>
    <xf numFmtId="165" fontId="0" fillId="0" borderId="78" xfId="1" applyNumberFormat="1" applyFont="1" applyBorder="1"/>
    <xf numFmtId="167" fontId="0" fillId="0" borderId="78" xfId="0" applyNumberFormat="1" applyFont="1" applyBorder="1"/>
    <xf numFmtId="0" fontId="0" fillId="65" borderId="0" xfId="0" applyFont="1" applyFill="1"/>
    <xf numFmtId="0" fontId="19" fillId="65" borderId="0" xfId="0" applyFont="1" applyFill="1"/>
    <xf numFmtId="0" fontId="38" fillId="0" borderId="0" xfId="47" applyAlignment="1" applyProtection="1"/>
    <xf numFmtId="38" fontId="0" fillId="0" borderId="53" xfId="0" applyNumberFormat="1" applyFill="1" applyBorder="1"/>
    <xf numFmtId="0" fontId="21" fillId="0" borderId="0" xfId="0" applyFont="1" applyBorder="1" applyAlignment="1">
      <alignment horizontal="left" vertical="center"/>
    </xf>
    <xf numFmtId="2" fontId="21" fillId="0" borderId="0" xfId="0" applyNumberFormat="1" applyFont="1" applyBorder="1" applyAlignment="1">
      <alignment horizontal="left" vertical="center"/>
    </xf>
    <xf numFmtId="0" fontId="21" fillId="0" borderId="0" xfId="0" applyFont="1" applyAlignment="1">
      <alignment horizontal="left" vertical="center"/>
    </xf>
    <xf numFmtId="0" fontId="21" fillId="86"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21" fillId="0" borderId="0" xfId="118" applyFont="1" applyFill="1" applyBorder="1" applyAlignment="1">
      <alignment horizontal="left" vertical="center"/>
    </xf>
    <xf numFmtId="0" fontId="36" fillId="0" borderId="0" xfId="118" applyFont="1" applyFill="1" applyBorder="1" applyAlignment="1">
      <alignment horizontal="left" vertical="center"/>
    </xf>
    <xf numFmtId="2" fontId="21" fillId="0" borderId="0" xfId="0" applyNumberFormat="1" applyFont="1" applyFill="1" applyBorder="1" applyAlignment="1">
      <alignment horizontal="left" vertical="center"/>
    </xf>
    <xf numFmtId="0" fontId="34" fillId="0" borderId="0" xfId="119" applyFont="1" applyFill="1" applyBorder="1" applyAlignment="1">
      <alignment horizontal="left" vertical="center"/>
    </xf>
    <xf numFmtId="0" fontId="34" fillId="0" borderId="0" xfId="119" applyFont="1" applyFill="1" applyBorder="1" applyAlignment="1">
      <alignment horizontal="left" vertical="center" wrapText="1"/>
    </xf>
    <xf numFmtId="0" fontId="21" fillId="0" borderId="0" xfId="119" applyFont="1" applyFill="1" applyBorder="1" applyAlignment="1">
      <alignment horizontal="left" vertical="center"/>
    </xf>
    <xf numFmtId="0" fontId="21" fillId="0" borderId="0" xfId="119" applyFont="1" applyFill="1" applyAlignment="1">
      <alignment horizontal="left" vertical="center"/>
    </xf>
    <xf numFmtId="0" fontId="21" fillId="86" borderId="0" xfId="119" applyFont="1" applyFill="1" applyBorder="1" applyAlignment="1">
      <alignment horizontal="left" vertical="center"/>
    </xf>
    <xf numFmtId="0" fontId="34" fillId="0" borderId="0" xfId="119" applyFont="1" applyBorder="1" applyAlignment="1">
      <alignment horizontal="left" vertical="center"/>
    </xf>
    <xf numFmtId="0" fontId="34" fillId="0" borderId="0" xfId="0" applyFont="1" applyFill="1" applyBorder="1" applyAlignment="1">
      <alignment horizontal="left" vertical="center"/>
    </xf>
    <xf numFmtId="2" fontId="36" fillId="0" borderId="0" xfId="118" applyNumberFormat="1" applyFont="1" applyFill="1" applyBorder="1" applyAlignment="1">
      <alignment horizontal="left" vertical="center"/>
    </xf>
    <xf numFmtId="0" fontId="36" fillId="86" borderId="0" xfId="118" applyFont="1" applyFill="1" applyBorder="1" applyAlignment="1">
      <alignment horizontal="left" vertical="center"/>
    </xf>
    <xf numFmtId="0" fontId="34" fillId="86" borderId="0" xfId="119" applyFont="1" applyFill="1" applyBorder="1" applyAlignment="1">
      <alignment horizontal="left" vertical="center"/>
    </xf>
    <xf numFmtId="0" fontId="34" fillId="0" borderId="0" xfId="121" applyFont="1" applyFill="1" applyBorder="1" applyAlignment="1">
      <alignment horizontal="left" vertical="center"/>
    </xf>
    <xf numFmtId="0" fontId="34" fillId="0" borderId="0" xfId="0" applyFont="1" applyFill="1" applyBorder="1" applyAlignment="1">
      <alignment horizontal="left" vertical="center" wrapText="1"/>
    </xf>
    <xf numFmtId="0" fontId="22" fillId="34" borderId="0" xfId="0" applyFont="1" applyFill="1"/>
    <xf numFmtId="14" fontId="87" fillId="35" borderId="11" xfId="0" applyNumberFormat="1" applyFont="1" applyFill="1" applyBorder="1" applyAlignment="1">
      <alignment wrapText="1"/>
    </xf>
    <xf numFmtId="0" fontId="33" fillId="37" borderId="10" xfId="0" applyFont="1" applyFill="1" applyBorder="1" applyAlignment="1">
      <alignment vertical="top" wrapText="1"/>
    </xf>
    <xf numFmtId="0" fontId="0" fillId="34" borderId="0" xfId="0" applyFill="1" applyAlignment="1">
      <alignment vertical="top"/>
    </xf>
    <xf numFmtId="14" fontId="88" fillId="36" borderId="11" xfId="0" applyNumberFormat="1" applyFont="1" applyFill="1" applyBorder="1" applyAlignment="1">
      <alignment wrapText="1"/>
    </xf>
    <xf numFmtId="0" fontId="21" fillId="86" borderId="0" xfId="0" applyFont="1" applyFill="1" applyAlignment="1">
      <alignment horizontal="left" vertical="center"/>
    </xf>
    <xf numFmtId="2" fontId="21" fillId="0" borderId="0" xfId="0" applyNumberFormat="1" applyFont="1" applyFill="1" applyAlignment="1">
      <alignment horizontal="left" vertical="center"/>
    </xf>
    <xf numFmtId="2" fontId="89" fillId="0" borderId="0" xfId="0" applyNumberFormat="1" applyFont="1" applyBorder="1" applyAlignment="1">
      <alignment horizontal="left" vertical="center"/>
    </xf>
    <xf numFmtId="169" fontId="90" fillId="0" borderId="0" xfId="0" applyNumberFormat="1" applyFont="1"/>
    <xf numFmtId="0" fontId="90" fillId="0" borderId="0" xfId="0" applyFont="1"/>
    <xf numFmtId="0" fontId="90" fillId="0" borderId="0" xfId="0" applyFont="1" applyFill="1" applyBorder="1"/>
    <xf numFmtId="0" fontId="79" fillId="85" borderId="0" xfId="0" applyFont="1" applyFill="1" applyAlignment="1">
      <alignment vertical="top"/>
    </xf>
    <xf numFmtId="2" fontId="79" fillId="85" borderId="0" xfId="0" applyNumberFormat="1" applyFont="1" applyFill="1" applyAlignment="1">
      <alignment vertical="top"/>
    </xf>
    <xf numFmtId="0" fontId="3" fillId="0" borderId="0" xfId="0" applyFont="1" applyAlignment="1">
      <alignment vertical="top"/>
    </xf>
    <xf numFmtId="0" fontId="79" fillId="77" borderId="0" xfId="0" applyFont="1" applyFill="1" applyAlignment="1">
      <alignment vertical="top"/>
    </xf>
    <xf numFmtId="0" fontId="79" fillId="77" borderId="0" xfId="0" applyFont="1" applyFill="1" applyAlignment="1">
      <alignment vertical="top" wrapText="1"/>
    </xf>
    <xf numFmtId="0" fontId="94" fillId="36" borderId="11" xfId="0" applyFont="1" applyFill="1" applyBorder="1" applyAlignment="1"/>
    <xf numFmtId="0" fontId="94" fillId="35" borderId="11" xfId="0" applyFont="1" applyFill="1" applyBorder="1" applyAlignment="1"/>
    <xf numFmtId="0" fontId="94" fillId="34" borderId="11" xfId="0" applyFont="1" applyFill="1" applyBorder="1" applyAlignment="1"/>
    <xf numFmtId="2" fontId="21" fillId="0" borderId="0" xfId="0" applyNumberFormat="1" applyFont="1" applyFill="1" applyBorder="1" applyAlignment="1">
      <alignment horizontal="left"/>
    </xf>
    <xf numFmtId="165" fontId="21" fillId="35" borderId="0" xfId="1" applyNumberFormat="1" applyFont="1" applyFill="1" applyBorder="1"/>
    <xf numFmtId="0" fontId="40" fillId="0" borderId="0" xfId="176" applyFont="1" applyAlignment="1">
      <alignment horizontal="center" vertical="center"/>
    </xf>
    <xf numFmtId="0" fontId="48" fillId="0" borderId="0" xfId="176" applyAlignment="1">
      <alignment horizontal="center" vertical="center"/>
    </xf>
    <xf numFmtId="0" fontId="39" fillId="0" borderId="0" xfId="176" applyFont="1" applyAlignment="1">
      <alignment horizontal="center" vertical="center"/>
    </xf>
    <xf numFmtId="0" fontId="48" fillId="0" borderId="0" xfId="176" applyAlignment="1">
      <alignment horizontal="left" vertical="center"/>
    </xf>
    <xf numFmtId="0" fontId="44" fillId="0" borderId="0" xfId="176" applyFont="1" applyAlignment="1">
      <alignment horizontal="left" vertical="center"/>
    </xf>
    <xf numFmtId="0" fontId="39" fillId="44" borderId="16" xfId="176" applyFont="1" applyFill="1" applyBorder="1" applyAlignment="1">
      <alignment horizontal="center" vertical="center"/>
    </xf>
    <xf numFmtId="0" fontId="45" fillId="0" borderId="25" xfId="176" applyFont="1" applyBorder="1" applyAlignment="1">
      <alignment horizontal="left" vertical="center"/>
    </xf>
    <xf numFmtId="22" fontId="48" fillId="0" borderId="25" xfId="176" applyNumberFormat="1" applyBorder="1" applyAlignment="1">
      <alignment horizontal="center" vertical="center"/>
    </xf>
    <xf numFmtId="0" fontId="45" fillId="0" borderId="25" xfId="176" applyFont="1" applyBorder="1" applyAlignment="1">
      <alignment horizontal="center" vertical="center"/>
    </xf>
    <xf numFmtId="0" fontId="48" fillId="0" borderId="25" xfId="176" applyBorder="1" applyAlignment="1">
      <alignment horizontal="center" vertical="center"/>
    </xf>
    <xf numFmtId="22" fontId="48" fillId="0" borderId="0" xfId="176" applyNumberFormat="1" applyAlignment="1">
      <alignment horizontal="center" vertical="center"/>
    </xf>
    <xf numFmtId="0" fontId="39" fillId="45" borderId="26" xfId="176" applyFont="1" applyFill="1" applyBorder="1" applyAlignment="1">
      <alignment horizontal="center" vertical="center"/>
    </xf>
    <xf numFmtId="0" fontId="45" fillId="0" borderId="0" xfId="176" applyFont="1" applyAlignment="1">
      <alignment horizontal="left" vertical="center"/>
    </xf>
    <xf numFmtId="0" fontId="39" fillId="46" borderId="16" xfId="176" applyFont="1" applyFill="1" applyBorder="1" applyAlignment="1">
      <alignment horizontal="center" vertical="center"/>
    </xf>
    <xf numFmtId="0" fontId="39" fillId="47" borderId="16" xfId="176" applyFont="1" applyFill="1" applyBorder="1" applyAlignment="1">
      <alignment horizontal="center" vertical="center"/>
    </xf>
    <xf numFmtId="0" fontId="39" fillId="48" borderId="16" xfId="176" applyFont="1" applyFill="1" applyBorder="1" applyAlignment="1">
      <alignment horizontal="center" vertical="center"/>
    </xf>
    <xf numFmtId="0" fontId="48" fillId="0" borderId="0" xfId="176" applyFill="1" applyBorder="1" applyAlignment="1">
      <alignment horizontal="center" vertical="center"/>
    </xf>
    <xf numFmtId="0" fontId="39" fillId="0" borderId="0" xfId="176" applyFont="1" applyBorder="1" applyAlignment="1">
      <alignment horizontal="center" vertical="center" wrapText="1"/>
    </xf>
    <xf numFmtId="0" fontId="46" fillId="0" borderId="27" xfId="176" applyNumberFormat="1" applyFont="1" applyFill="1" applyBorder="1" applyAlignment="1">
      <alignment horizontal="left" vertical="center" wrapText="1"/>
    </xf>
    <xf numFmtId="0" fontId="46" fillId="0" borderId="28" xfId="176" applyNumberFormat="1" applyFont="1" applyBorder="1" applyAlignment="1">
      <alignment horizontal="center" vertical="center" wrapText="1"/>
    </xf>
    <xf numFmtId="0" fontId="46" fillId="0" borderId="29" xfId="176" applyNumberFormat="1" applyFont="1" applyBorder="1" applyAlignment="1">
      <alignment horizontal="center" vertical="center" wrapText="1"/>
    </xf>
    <xf numFmtId="0" fontId="48" fillId="0" borderId="0" xfId="176" applyAlignment="1">
      <alignment horizontal="center" vertical="center" wrapText="1"/>
    </xf>
    <xf numFmtId="0" fontId="48" fillId="0" borderId="0" xfId="176" applyFont="1" applyBorder="1" applyAlignment="1">
      <alignment horizontal="center" vertical="center" wrapText="1"/>
    </xf>
    <xf numFmtId="0" fontId="47" fillId="45" borderId="30" xfId="176" quotePrefix="1" applyNumberFormat="1" applyFont="1" applyFill="1" applyBorder="1" applyAlignment="1">
      <alignment horizontal="left" vertical="center" wrapText="1"/>
    </xf>
    <xf numFmtId="0" fontId="47" fillId="45" borderId="31" xfId="176" quotePrefix="1" applyNumberFormat="1" applyFont="1" applyFill="1" applyBorder="1" applyAlignment="1">
      <alignment horizontal="center" vertical="center" wrapText="1"/>
    </xf>
    <xf numFmtId="0" fontId="49" fillId="44" borderId="31" xfId="176" quotePrefix="1" applyNumberFormat="1" applyFont="1" applyFill="1" applyBorder="1" applyAlignment="1">
      <alignment horizontal="center" vertical="center" wrapText="1"/>
    </xf>
    <xf numFmtId="3" fontId="47" fillId="45" borderId="31" xfId="176" applyNumberFormat="1" applyFont="1" applyFill="1" applyBorder="1" applyAlignment="1">
      <alignment horizontal="center" vertical="center" wrapText="1"/>
    </xf>
    <xf numFmtId="0" fontId="47" fillId="45" borderId="31" xfId="176" applyNumberFormat="1" applyFont="1" applyFill="1" applyBorder="1" applyAlignment="1">
      <alignment horizontal="center" vertical="center" wrapText="1"/>
    </xf>
    <xf numFmtId="0" fontId="47" fillId="45" borderId="32" xfId="176" quotePrefix="1" applyNumberFormat="1" applyFont="1" applyFill="1" applyBorder="1" applyAlignment="1">
      <alignment horizontal="center" vertical="center" wrapText="1"/>
    </xf>
    <xf numFmtId="0" fontId="48" fillId="0" borderId="0" xfId="176" quotePrefix="1" applyFont="1" applyBorder="1" applyAlignment="1">
      <alignment horizontal="center" vertical="center" wrapText="1"/>
    </xf>
    <xf numFmtId="0" fontId="50" fillId="0" borderId="0" xfId="176" quotePrefix="1" applyFont="1" applyBorder="1" applyAlignment="1">
      <alignment horizontal="center" vertical="center" wrapText="1"/>
    </xf>
    <xf numFmtId="0" fontId="51" fillId="45" borderId="30" xfId="176" quotePrefix="1" applyNumberFormat="1" applyFont="1" applyFill="1" applyBorder="1" applyAlignment="1">
      <alignment horizontal="left" vertical="center" wrapText="1"/>
    </xf>
    <xf numFmtId="0" fontId="51" fillId="45" borderId="31" xfId="176" quotePrefix="1" applyNumberFormat="1" applyFont="1" applyFill="1" applyBorder="1" applyAlignment="1">
      <alignment horizontal="center" vertical="center" wrapText="1"/>
    </xf>
    <xf numFmtId="0" fontId="52" fillId="44" borderId="31" xfId="176" quotePrefix="1" applyNumberFormat="1" applyFont="1" applyFill="1" applyBorder="1" applyAlignment="1">
      <alignment horizontal="center" vertical="center" wrapText="1"/>
    </xf>
    <xf numFmtId="3" fontId="51" fillId="45" borderId="31" xfId="176" applyNumberFormat="1" applyFont="1" applyFill="1" applyBorder="1" applyAlignment="1">
      <alignment horizontal="center" vertical="center" wrapText="1"/>
    </xf>
    <xf numFmtId="0" fontId="51" fillId="45" borderId="31" xfId="176" applyNumberFormat="1" applyFont="1" applyFill="1" applyBorder="1" applyAlignment="1">
      <alignment horizontal="center" vertical="center" wrapText="1"/>
    </xf>
    <xf numFmtId="0" fontId="51" fillId="45" borderId="32" xfId="176" quotePrefix="1" applyNumberFormat="1" applyFont="1" applyFill="1" applyBorder="1" applyAlignment="1">
      <alignment horizontal="center" vertical="center" wrapText="1"/>
    </xf>
    <xf numFmtId="0" fontId="53" fillId="0" borderId="0" xfId="176" quotePrefix="1" applyFont="1" applyBorder="1" applyAlignment="1">
      <alignment horizontal="center" vertical="center" wrapText="1"/>
    </xf>
    <xf numFmtId="3" fontId="54" fillId="43" borderId="16" xfId="176" applyNumberFormat="1" applyFont="1" applyFill="1" applyBorder="1" applyAlignment="1">
      <alignment horizontal="right" vertical="center" wrapText="1"/>
    </xf>
    <xf numFmtId="0" fontId="51" fillId="43" borderId="16" xfId="176" applyNumberFormat="1" applyFont="1" applyFill="1" applyBorder="1" applyAlignment="1">
      <alignment horizontal="center" vertical="center" wrapText="1"/>
    </xf>
    <xf numFmtId="0" fontId="51" fillId="43" borderId="16" xfId="176" quotePrefix="1" applyNumberFormat="1" applyFont="1" applyFill="1" applyBorder="1" applyAlignment="1">
      <alignment horizontal="center" vertical="center" wrapText="1"/>
    </xf>
    <xf numFmtId="0" fontId="51" fillId="43" borderId="17" xfId="176" quotePrefix="1" applyNumberFormat="1" applyFont="1" applyFill="1" applyBorder="1" applyAlignment="1">
      <alignment horizontal="center" vertical="center" wrapText="1"/>
    </xf>
    <xf numFmtId="3" fontId="52" fillId="44" borderId="31" xfId="176" quotePrefix="1" applyNumberFormat="1" applyFont="1" applyFill="1" applyBorder="1" applyAlignment="1">
      <alignment horizontal="center" vertical="center" wrapText="1"/>
    </xf>
    <xf numFmtId="3" fontId="49" fillId="44" borderId="31" xfId="176" quotePrefix="1" applyNumberFormat="1" applyFont="1" applyFill="1" applyBorder="1" applyAlignment="1">
      <alignment horizontal="center" vertical="center" wrapText="1"/>
    </xf>
    <xf numFmtId="0" fontId="53" fillId="0" borderId="0" xfId="176" applyFont="1" applyBorder="1" applyAlignment="1">
      <alignment horizontal="center" vertical="center" wrapText="1"/>
    </xf>
    <xf numFmtId="0" fontId="53" fillId="0" borderId="0" xfId="176" quotePrefix="1" applyFont="1" applyFill="1" applyBorder="1" applyAlignment="1">
      <alignment horizontal="center" vertical="center" wrapText="1"/>
    </xf>
    <xf numFmtId="3" fontId="54" fillId="0" borderId="16" xfId="176" applyNumberFormat="1" applyFont="1" applyFill="1" applyBorder="1" applyAlignment="1">
      <alignment horizontal="right" vertical="center" wrapText="1"/>
    </xf>
    <xf numFmtId="0" fontId="47" fillId="0" borderId="16" xfId="176" applyNumberFormat="1" applyFont="1" applyFill="1" applyBorder="1" applyAlignment="1">
      <alignment horizontal="center" vertical="center" wrapText="1"/>
    </xf>
    <xf numFmtId="0" fontId="47" fillId="0" borderId="16" xfId="176" quotePrefix="1" applyNumberFormat="1" applyFont="1" applyFill="1" applyBorder="1" applyAlignment="1">
      <alignment horizontal="center" vertical="center" wrapText="1"/>
    </xf>
    <xf numFmtId="0" fontId="47" fillId="0" borderId="17" xfId="176" quotePrefix="1" applyNumberFormat="1" applyFont="1" applyFill="1" applyBorder="1" applyAlignment="1">
      <alignment horizontal="center" vertical="center" wrapText="1"/>
    </xf>
    <xf numFmtId="0" fontId="48" fillId="0" borderId="0" xfId="176" applyFill="1" applyAlignment="1">
      <alignment horizontal="center" vertical="center" wrapText="1"/>
    </xf>
    <xf numFmtId="0" fontId="50" fillId="0" borderId="0" xfId="176" applyFont="1" applyBorder="1" applyAlignment="1">
      <alignment horizontal="center" vertical="center" wrapText="1"/>
    </xf>
    <xf numFmtId="3" fontId="54" fillId="0" borderId="36" xfId="176" applyNumberFormat="1" applyFont="1" applyFill="1" applyBorder="1" applyAlignment="1">
      <alignment horizontal="right" vertical="center" wrapText="1"/>
    </xf>
    <xf numFmtId="0" fontId="47" fillId="0" borderId="36" xfId="176" applyNumberFormat="1" applyFont="1" applyFill="1" applyBorder="1" applyAlignment="1">
      <alignment horizontal="center" vertical="center" wrapText="1"/>
    </xf>
    <xf numFmtId="0" fontId="47" fillId="0" borderId="36" xfId="176" quotePrefix="1" applyNumberFormat="1" applyFont="1" applyFill="1" applyBorder="1" applyAlignment="1">
      <alignment horizontal="center" vertical="center" wrapText="1"/>
    </xf>
    <xf numFmtId="0" fontId="47" fillId="0" borderId="32" xfId="176" quotePrefix="1" applyNumberFormat="1" applyFont="1" applyFill="1" applyBorder="1" applyAlignment="1">
      <alignment horizontal="center" vertical="center" wrapText="1"/>
    </xf>
    <xf numFmtId="0" fontId="39" fillId="0" borderId="0" xfId="176" quotePrefix="1" applyFont="1" applyBorder="1" applyAlignment="1">
      <alignment horizontal="center" vertical="center" wrapText="1"/>
    </xf>
    <xf numFmtId="0" fontId="47" fillId="45" borderId="33" xfId="176" applyNumberFormat="1" applyFont="1" applyFill="1" applyBorder="1" applyAlignment="1">
      <alignment horizontal="left" vertical="center" wrapText="1"/>
    </xf>
    <xf numFmtId="0" fontId="47" fillId="45" borderId="20" xfId="176" applyNumberFormat="1" applyFont="1" applyFill="1" applyBorder="1" applyAlignment="1">
      <alignment horizontal="center" vertical="center" wrapText="1"/>
    </xf>
    <xf numFmtId="3" fontId="49" fillId="44" borderId="20" xfId="176" quotePrefix="1" applyNumberFormat="1" applyFont="1" applyFill="1" applyBorder="1" applyAlignment="1">
      <alignment horizontal="center" vertical="center" wrapText="1"/>
    </xf>
    <xf numFmtId="14" fontId="47" fillId="45" borderId="20" xfId="176" quotePrefix="1" applyNumberFormat="1" applyFont="1" applyFill="1" applyBorder="1" applyAlignment="1">
      <alignment horizontal="center" vertical="center" wrapText="1"/>
    </xf>
    <xf numFmtId="49" fontId="47" fillId="45" borderId="20" xfId="176" applyNumberFormat="1" applyFont="1" applyFill="1" applyBorder="1" applyAlignment="1">
      <alignment horizontal="center" vertical="center" wrapText="1"/>
    </xf>
    <xf numFmtId="49" fontId="47" fillId="45" borderId="17" xfId="176" applyNumberFormat="1" applyFont="1" applyFill="1" applyBorder="1" applyAlignment="1">
      <alignment horizontal="center" vertical="center" wrapText="1"/>
    </xf>
    <xf numFmtId="0" fontId="48" fillId="0" borderId="0" xfId="176" applyFont="1" applyAlignment="1">
      <alignment horizontal="center" vertical="center" wrapText="1"/>
    </xf>
    <xf numFmtId="0" fontId="47" fillId="43" borderId="16" xfId="176" applyNumberFormat="1" applyFont="1" applyFill="1" applyBorder="1" applyAlignment="1">
      <alignment horizontal="center" vertical="center" wrapText="1"/>
    </xf>
    <xf numFmtId="0" fontId="47" fillId="43" borderId="16" xfId="176" quotePrefix="1" applyNumberFormat="1" applyFont="1" applyFill="1" applyBorder="1" applyAlignment="1">
      <alignment horizontal="center" vertical="center" wrapText="1"/>
    </xf>
    <xf numFmtId="0" fontId="47" fillId="43" borderId="17" xfId="176" quotePrefix="1" applyNumberFormat="1" applyFont="1" applyFill="1" applyBorder="1" applyAlignment="1">
      <alignment horizontal="center" vertical="center" wrapText="1"/>
    </xf>
    <xf numFmtId="0" fontId="47" fillId="45" borderId="33" xfId="176" quotePrefix="1" applyNumberFormat="1" applyFont="1" applyFill="1" applyBorder="1" applyAlignment="1">
      <alignment horizontal="left" vertical="center" wrapText="1"/>
    </xf>
    <xf numFmtId="0" fontId="47" fillId="45" borderId="20" xfId="176" quotePrefix="1" applyNumberFormat="1" applyFont="1" applyFill="1" applyBorder="1" applyAlignment="1">
      <alignment horizontal="center" vertical="center" wrapText="1"/>
    </xf>
    <xf numFmtId="0" fontId="49" fillId="44" borderId="20" xfId="176" applyNumberFormat="1" applyFont="1" applyFill="1" applyBorder="1" applyAlignment="1">
      <alignment horizontal="center" vertical="center" wrapText="1"/>
    </xf>
    <xf numFmtId="0" fontId="47" fillId="45" borderId="17" xfId="176" quotePrefix="1" applyNumberFormat="1" applyFont="1" applyFill="1" applyBorder="1" applyAlignment="1">
      <alignment horizontal="center" vertical="center" wrapText="1"/>
    </xf>
    <xf numFmtId="0" fontId="47" fillId="45" borderId="37" xfId="176" quotePrefix="1" applyNumberFormat="1" applyFont="1" applyFill="1" applyBorder="1" applyAlignment="1">
      <alignment horizontal="left" vertical="center" wrapText="1"/>
    </xf>
    <xf numFmtId="0" fontId="47" fillId="45" borderId="38" xfId="176" quotePrefix="1" applyNumberFormat="1" applyFont="1" applyFill="1" applyBorder="1" applyAlignment="1">
      <alignment horizontal="center" vertical="center" wrapText="1"/>
    </xf>
    <xf numFmtId="0" fontId="49" fillId="44" borderId="38" xfId="176" quotePrefix="1" applyNumberFormat="1" applyFont="1" applyFill="1" applyBorder="1" applyAlignment="1">
      <alignment horizontal="center" vertical="center" wrapText="1"/>
    </xf>
    <xf numFmtId="0" fontId="47" fillId="45" borderId="38" xfId="176" applyNumberFormat="1" applyFont="1" applyFill="1" applyBorder="1" applyAlignment="1">
      <alignment horizontal="center" vertical="center" wrapText="1"/>
    </xf>
    <xf numFmtId="14" fontId="45" fillId="45" borderId="39" xfId="176" applyNumberFormat="1" applyFont="1" applyFill="1" applyBorder="1" applyAlignment="1">
      <alignment horizontal="center" vertical="top" wrapText="1"/>
    </xf>
    <xf numFmtId="0" fontId="49" fillId="44" borderId="31" xfId="176" applyNumberFormat="1" applyFont="1" applyFill="1" applyBorder="1" applyAlignment="1">
      <alignment horizontal="center" vertical="center" wrapText="1"/>
    </xf>
    <xf numFmtId="14" fontId="47" fillId="45" borderId="31" xfId="176" quotePrefix="1" applyNumberFormat="1" applyFont="1" applyFill="1" applyBorder="1" applyAlignment="1">
      <alignment horizontal="center" vertical="center" wrapText="1"/>
    </xf>
    <xf numFmtId="49" fontId="47" fillId="45" borderId="32" xfId="176" quotePrefix="1" applyNumberFormat="1" applyFont="1" applyFill="1" applyBorder="1" applyAlignment="1">
      <alignment horizontal="center" vertical="center" wrapText="1"/>
    </xf>
    <xf numFmtId="0" fontId="39" fillId="0" borderId="0" xfId="176" quotePrefix="1" applyFont="1" applyFill="1" applyBorder="1" applyAlignment="1">
      <alignment horizontal="center" vertical="center" wrapText="1"/>
    </xf>
    <xf numFmtId="165" fontId="54" fillId="0" borderId="31" xfId="45" applyNumberFormat="1" applyFont="1" applyFill="1" applyBorder="1" applyAlignment="1">
      <alignment horizontal="right" vertical="top"/>
    </xf>
    <xf numFmtId="0" fontId="47" fillId="0" borderId="31" xfId="176" applyNumberFormat="1" applyFont="1" applyFill="1" applyBorder="1" applyAlignment="1">
      <alignment horizontal="center" vertical="center" wrapText="1"/>
    </xf>
    <xf numFmtId="0" fontId="47" fillId="0" borderId="31" xfId="176" quotePrefix="1" applyNumberFormat="1" applyFont="1" applyFill="1" applyBorder="1" applyAlignment="1">
      <alignment horizontal="center" vertical="center" wrapText="1"/>
    </xf>
    <xf numFmtId="0" fontId="47" fillId="45" borderId="15" xfId="176" quotePrefix="1" applyNumberFormat="1" applyFont="1" applyFill="1" applyBorder="1" applyAlignment="1">
      <alignment horizontal="left" vertical="center" wrapText="1"/>
    </xf>
    <xf numFmtId="0" fontId="47" fillId="45" borderId="16" xfId="176" quotePrefix="1" applyNumberFormat="1" applyFont="1" applyFill="1" applyBorder="1" applyAlignment="1">
      <alignment horizontal="center" vertical="center" wrapText="1"/>
    </xf>
    <xf numFmtId="0" fontId="49" fillId="44" borderId="16" xfId="176" quotePrefix="1" applyNumberFormat="1" applyFont="1" applyFill="1" applyBorder="1" applyAlignment="1">
      <alignment horizontal="center" vertical="center" wrapText="1"/>
    </xf>
    <xf numFmtId="0" fontId="47" fillId="45" borderId="16" xfId="176" applyNumberFormat="1" applyFont="1" applyFill="1" applyBorder="1" applyAlignment="1">
      <alignment horizontal="center" vertical="center" wrapText="1"/>
    </xf>
    <xf numFmtId="14" fontId="45" fillId="45" borderId="17" xfId="176" applyNumberFormat="1" applyFont="1" applyFill="1" applyBorder="1" applyAlignment="1">
      <alignment horizontal="center" vertical="top" wrapText="1"/>
    </xf>
    <xf numFmtId="3" fontId="47" fillId="45" borderId="31" xfId="176" quotePrefix="1" applyNumberFormat="1" applyFont="1" applyFill="1" applyBorder="1" applyAlignment="1">
      <alignment horizontal="center" vertical="center" wrapText="1"/>
    </xf>
    <xf numFmtId="14" fontId="47" fillId="45" borderId="16" xfId="176" quotePrefix="1" applyNumberFormat="1" applyFont="1" applyFill="1" applyBorder="1" applyAlignment="1">
      <alignment horizontal="center" vertical="center" wrapText="1"/>
    </xf>
    <xf numFmtId="49" fontId="47" fillId="45" borderId="16" xfId="176" quotePrefix="1" applyNumberFormat="1" applyFont="1" applyFill="1" applyBorder="1" applyAlignment="1">
      <alignment horizontal="center" vertical="center" wrapText="1"/>
    </xf>
    <xf numFmtId="0" fontId="55" fillId="0" borderId="0" xfId="176" applyFont="1" applyAlignment="1">
      <alignment horizontal="center" vertical="center"/>
    </xf>
    <xf numFmtId="16" fontId="47" fillId="45" borderId="31" xfId="176" quotePrefix="1" applyNumberFormat="1" applyFont="1" applyFill="1" applyBorder="1" applyAlignment="1">
      <alignment horizontal="center" vertical="center" wrapText="1"/>
    </xf>
    <xf numFmtId="49" fontId="47" fillId="45" borderId="31" xfId="176" quotePrefix="1" applyNumberFormat="1" applyFont="1" applyFill="1" applyBorder="1" applyAlignment="1">
      <alignment horizontal="center" vertical="center" wrapText="1"/>
    </xf>
    <xf numFmtId="14" fontId="47" fillId="45" borderId="32" xfId="176" quotePrefix="1" applyNumberFormat="1" applyFont="1" applyFill="1" applyBorder="1" applyAlignment="1">
      <alignment horizontal="center" vertical="center" wrapText="1"/>
    </xf>
    <xf numFmtId="49" fontId="47" fillId="45" borderId="32" xfId="176" applyNumberFormat="1" applyFont="1" applyFill="1" applyBorder="1" applyAlignment="1">
      <alignment horizontal="center" vertical="center" wrapText="1"/>
    </xf>
    <xf numFmtId="3" fontId="46" fillId="38" borderId="31" xfId="176" applyNumberFormat="1" applyFont="1" applyFill="1" applyBorder="1" applyAlignment="1">
      <alignment horizontal="right" vertical="center" wrapText="1"/>
    </xf>
    <xf numFmtId="0" fontId="47" fillId="38" borderId="31" xfId="176" quotePrefix="1" applyNumberFormat="1" applyFont="1" applyFill="1" applyBorder="1" applyAlignment="1">
      <alignment horizontal="center" vertical="center" wrapText="1"/>
    </xf>
    <xf numFmtId="14" fontId="47" fillId="38" borderId="31" xfId="176" quotePrefix="1" applyNumberFormat="1" applyFont="1" applyFill="1" applyBorder="1" applyAlignment="1">
      <alignment horizontal="center" vertical="center" wrapText="1"/>
    </xf>
    <xf numFmtId="49" fontId="47" fillId="38" borderId="32" xfId="176" applyNumberFormat="1" applyFont="1" applyFill="1" applyBorder="1" applyAlignment="1">
      <alignment horizontal="center" vertical="center" wrapText="1"/>
    </xf>
    <xf numFmtId="0" fontId="56" fillId="44" borderId="31" xfId="176" quotePrefix="1" applyNumberFormat="1" applyFont="1" applyFill="1" applyBorder="1" applyAlignment="1">
      <alignment horizontal="center" vertical="center" wrapText="1"/>
    </xf>
    <xf numFmtId="16" fontId="47" fillId="45" borderId="16" xfId="176" quotePrefix="1" applyNumberFormat="1" applyFont="1" applyFill="1" applyBorder="1" applyAlignment="1">
      <alignment horizontal="center" vertical="center" wrapText="1"/>
    </xf>
    <xf numFmtId="0" fontId="56" fillId="44" borderId="20" xfId="176" applyNumberFormat="1" applyFont="1" applyFill="1" applyBorder="1" applyAlignment="1">
      <alignment horizontal="center" vertical="center" wrapText="1"/>
    </xf>
    <xf numFmtId="3" fontId="47" fillId="45" borderId="20" xfId="176" quotePrefix="1" applyNumberFormat="1" applyFont="1" applyFill="1" applyBorder="1" applyAlignment="1">
      <alignment horizontal="center" vertical="center" wrapText="1"/>
    </xf>
    <xf numFmtId="3" fontId="54" fillId="43" borderId="18" xfId="176" applyNumberFormat="1" applyFont="1" applyFill="1" applyBorder="1" applyAlignment="1">
      <alignment horizontal="right" vertical="center" wrapText="1"/>
    </xf>
    <xf numFmtId="0" fontId="47" fillId="43" borderId="18" xfId="176" applyNumberFormat="1" applyFont="1" applyFill="1" applyBorder="1" applyAlignment="1">
      <alignment horizontal="center" vertical="center" wrapText="1"/>
    </xf>
    <xf numFmtId="0" fontId="47" fillId="43" borderId="18" xfId="176" quotePrefix="1" applyNumberFormat="1" applyFont="1" applyFill="1" applyBorder="1" applyAlignment="1">
      <alignment horizontal="center" vertical="center" wrapText="1"/>
    </xf>
    <xf numFmtId="0" fontId="47" fillId="43" borderId="19" xfId="176" quotePrefix="1" applyNumberFormat="1" applyFont="1" applyFill="1" applyBorder="1" applyAlignment="1">
      <alignment horizontal="center" vertical="center" wrapText="1"/>
    </xf>
    <xf numFmtId="0" fontId="47" fillId="45" borderId="43" xfId="176" applyNumberFormat="1" applyFont="1" applyFill="1" applyBorder="1" applyAlignment="1">
      <alignment horizontal="left" vertical="center" wrapText="1"/>
    </xf>
    <xf numFmtId="0" fontId="47" fillId="45" borderId="26" xfId="176" applyNumberFormat="1" applyFont="1" applyFill="1" applyBorder="1" applyAlignment="1">
      <alignment horizontal="center" vertical="center" wrapText="1"/>
    </xf>
    <xf numFmtId="0" fontId="56" fillId="44" borderId="26" xfId="176" applyFont="1" applyFill="1" applyBorder="1" applyAlignment="1">
      <alignment horizontal="center" vertical="center" wrapText="1"/>
    </xf>
    <xf numFmtId="14" fontId="47" fillId="45" borderId="26" xfId="176" quotePrefix="1" applyNumberFormat="1" applyFont="1" applyFill="1" applyBorder="1" applyAlignment="1">
      <alignment horizontal="center" vertical="center" wrapText="1"/>
    </xf>
    <xf numFmtId="1" fontId="47" fillId="45" borderId="39" xfId="176" quotePrefix="1" applyNumberFormat="1" applyFont="1" applyFill="1" applyBorder="1" applyAlignment="1">
      <alignment horizontal="center" vertical="center" wrapText="1"/>
    </xf>
    <xf numFmtId="0" fontId="47" fillId="45" borderId="43" xfId="176" applyFont="1" applyFill="1" applyBorder="1" applyAlignment="1">
      <alignment horizontal="left" vertical="center" wrapText="1"/>
    </xf>
    <xf numFmtId="0" fontId="47" fillId="45" borderId="26" xfId="176" applyFont="1" applyFill="1" applyBorder="1" applyAlignment="1">
      <alignment horizontal="center" vertical="center" wrapText="1"/>
    </xf>
    <xf numFmtId="16" fontId="47" fillId="45" borderId="26" xfId="176" quotePrefix="1" applyNumberFormat="1" applyFont="1" applyFill="1" applyBorder="1" applyAlignment="1">
      <alignment horizontal="center" vertical="center" wrapText="1"/>
    </xf>
    <xf numFmtId="17" fontId="47" fillId="45" borderId="26" xfId="176" quotePrefix="1" applyNumberFormat="1" applyFont="1" applyFill="1" applyBorder="1" applyAlignment="1">
      <alignment horizontal="center" vertical="center" wrapText="1"/>
    </xf>
    <xf numFmtId="17" fontId="47" fillId="45" borderId="39" xfId="176" quotePrefix="1" applyNumberFormat="1" applyFont="1" applyFill="1" applyBorder="1" applyAlignment="1">
      <alignment horizontal="center" vertical="center" wrapText="1"/>
    </xf>
    <xf numFmtId="0" fontId="56" fillId="44" borderId="31" xfId="176" applyNumberFormat="1" applyFont="1" applyFill="1" applyBorder="1" applyAlignment="1">
      <alignment horizontal="center" vertical="center" wrapText="1"/>
    </xf>
    <xf numFmtId="0" fontId="48" fillId="0" borderId="0" xfId="176" quotePrefix="1" applyFont="1" applyFill="1" applyBorder="1" applyAlignment="1">
      <alignment horizontal="center" vertical="center" wrapText="1"/>
    </xf>
    <xf numFmtId="49" fontId="47" fillId="45" borderId="20" xfId="176" quotePrefix="1" applyNumberFormat="1" applyFont="1" applyFill="1" applyBorder="1" applyAlignment="1">
      <alignment horizontal="center" vertical="center" wrapText="1"/>
    </xf>
    <xf numFmtId="17" fontId="47" fillId="45" borderId="20" xfId="176" quotePrefix="1" applyNumberFormat="1" applyFont="1" applyFill="1" applyBorder="1" applyAlignment="1">
      <alignment horizontal="center" vertical="center" wrapText="1"/>
    </xf>
    <xf numFmtId="3" fontId="47" fillId="45" borderId="20" xfId="176" applyNumberFormat="1" applyFont="1" applyFill="1" applyBorder="1" applyAlignment="1">
      <alignment horizontal="center" vertical="center" wrapText="1"/>
    </xf>
    <xf numFmtId="49" fontId="47" fillId="45" borderId="17" xfId="176" quotePrefix="1" applyNumberFormat="1" applyFont="1" applyFill="1" applyBorder="1" applyAlignment="1">
      <alignment horizontal="center" vertical="center" wrapText="1"/>
    </xf>
    <xf numFmtId="0" fontId="50" fillId="0" borderId="0" xfId="176" applyFont="1" applyAlignment="1">
      <alignment horizontal="center" vertical="center" wrapText="1"/>
    </xf>
    <xf numFmtId="0" fontId="47" fillId="45" borderId="30" xfId="176" applyFont="1" applyFill="1" applyBorder="1" applyAlignment="1">
      <alignment horizontal="left" vertical="center" wrapText="1"/>
    </xf>
    <xf numFmtId="0" fontId="47" fillId="45" borderId="31" xfId="176" applyFont="1" applyFill="1" applyBorder="1" applyAlignment="1">
      <alignment horizontal="center" vertical="center" wrapText="1"/>
    </xf>
    <xf numFmtId="0" fontId="56" fillId="44" borderId="31" xfId="176" applyFont="1" applyFill="1" applyBorder="1" applyAlignment="1">
      <alignment horizontal="center" vertical="center" wrapText="1"/>
    </xf>
    <xf numFmtId="0" fontId="47" fillId="45" borderId="31" xfId="176" quotePrefix="1" applyFont="1" applyFill="1" applyBorder="1" applyAlignment="1">
      <alignment horizontal="center" vertical="center" wrapText="1"/>
    </xf>
    <xf numFmtId="0" fontId="39" fillId="0" borderId="0" xfId="176" applyFont="1" applyAlignment="1">
      <alignment horizontal="center" vertical="center" wrapText="1"/>
    </xf>
    <xf numFmtId="0" fontId="47" fillId="45" borderId="17" xfId="176" quotePrefix="1" applyFont="1" applyFill="1" applyBorder="1" applyAlignment="1">
      <alignment horizontal="center" vertical="center" wrapText="1"/>
    </xf>
    <xf numFmtId="3" fontId="47" fillId="45" borderId="16" xfId="176" quotePrefix="1" applyNumberFormat="1" applyFont="1" applyFill="1" applyBorder="1" applyAlignment="1">
      <alignment horizontal="center" vertical="center" wrapText="1"/>
    </xf>
    <xf numFmtId="14" fontId="47" fillId="45" borderId="16" xfId="176" applyNumberFormat="1" applyFont="1" applyFill="1" applyBorder="1" applyAlignment="1">
      <alignment horizontal="center" vertical="center" wrapText="1"/>
    </xf>
    <xf numFmtId="0" fontId="47" fillId="45" borderId="16" xfId="176" quotePrefix="1" applyFont="1" applyFill="1" applyBorder="1" applyAlignment="1">
      <alignment horizontal="center" vertical="center" wrapText="1"/>
    </xf>
    <xf numFmtId="17" fontId="47" fillId="45" borderId="32" xfId="176" quotePrefix="1" applyNumberFormat="1" applyFont="1" applyFill="1" applyBorder="1" applyAlignment="1">
      <alignment horizontal="center" vertical="center" wrapText="1"/>
    </xf>
    <xf numFmtId="0" fontId="39" fillId="38" borderId="0" xfId="176" applyFont="1" applyFill="1" applyBorder="1" applyAlignment="1">
      <alignment horizontal="center" vertical="center" wrapText="1"/>
    </xf>
    <xf numFmtId="0" fontId="47" fillId="45" borderId="15" xfId="176" applyNumberFormat="1" applyFont="1" applyFill="1" applyBorder="1" applyAlignment="1">
      <alignment horizontal="left" vertical="center" wrapText="1"/>
    </xf>
    <xf numFmtId="0" fontId="56" fillId="44" borderId="16" xfId="176" applyNumberFormat="1" applyFont="1" applyFill="1" applyBorder="1" applyAlignment="1">
      <alignment horizontal="center" vertical="center" wrapText="1"/>
    </xf>
    <xf numFmtId="0" fontId="51" fillId="45" borderId="16" xfId="176" applyNumberFormat="1" applyFont="1" applyFill="1" applyBorder="1" applyAlignment="1">
      <alignment horizontal="center" vertical="center" wrapText="1"/>
    </xf>
    <xf numFmtId="0" fontId="47" fillId="45" borderId="17" xfId="176" applyNumberFormat="1" applyFont="1" applyFill="1" applyBorder="1" applyAlignment="1">
      <alignment horizontal="center" vertical="center" wrapText="1"/>
    </xf>
    <xf numFmtId="0" fontId="53" fillId="0" borderId="0" xfId="176" applyFont="1" applyAlignment="1">
      <alignment horizontal="center" vertical="center" wrapText="1"/>
    </xf>
    <xf numFmtId="0" fontId="47" fillId="43" borderId="18" xfId="176" applyFont="1" applyFill="1" applyBorder="1" applyAlignment="1">
      <alignment horizontal="center" vertical="center" wrapText="1"/>
    </xf>
    <xf numFmtId="0" fontId="47" fillId="43" borderId="19" xfId="176" applyFont="1" applyFill="1" applyBorder="1" applyAlignment="1">
      <alignment horizontal="center" vertical="center" wrapText="1"/>
    </xf>
    <xf numFmtId="3" fontId="51" fillId="43" borderId="0" xfId="176" applyNumberFormat="1" applyFont="1" applyFill="1" applyBorder="1" applyAlignment="1">
      <alignment horizontal="right" vertical="center"/>
    </xf>
    <xf numFmtId="3" fontId="47" fillId="43" borderId="0" xfId="176" applyNumberFormat="1" applyFont="1" applyFill="1" applyBorder="1" applyAlignment="1">
      <alignment horizontal="right" vertical="center"/>
    </xf>
    <xf numFmtId="3" fontId="54" fillId="43" borderId="0" xfId="176" applyNumberFormat="1" applyFont="1" applyFill="1" applyBorder="1" applyAlignment="1">
      <alignment horizontal="right" vertical="center" wrapText="1"/>
    </xf>
    <xf numFmtId="0" fontId="47" fillId="43" borderId="0" xfId="176" applyNumberFormat="1" applyFont="1" applyFill="1" applyBorder="1" applyAlignment="1">
      <alignment horizontal="center" vertical="center" wrapText="1"/>
    </xf>
    <xf numFmtId="0" fontId="47" fillId="43" borderId="0"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center" vertical="center" wrapText="1"/>
    </xf>
    <xf numFmtId="0" fontId="47" fillId="43" borderId="44" xfId="176" applyNumberFormat="1" applyFont="1" applyFill="1" applyBorder="1" applyAlignment="1">
      <alignment horizontal="center" vertical="center" wrapText="1"/>
    </xf>
    <xf numFmtId="0" fontId="47" fillId="43" borderId="44" xfId="176" quotePrefix="1" applyNumberFormat="1" applyFont="1" applyFill="1" applyBorder="1" applyAlignment="1">
      <alignment horizontal="center" vertical="center" wrapText="1"/>
    </xf>
    <xf numFmtId="3" fontId="44" fillId="43" borderId="55" xfId="176" applyNumberFormat="1" applyFont="1" applyFill="1" applyBorder="1" applyAlignment="1">
      <alignment horizontal="center" vertical="center" wrapText="1"/>
    </xf>
    <xf numFmtId="0" fontId="47" fillId="43" borderId="55" xfId="176" applyNumberFormat="1" applyFont="1" applyFill="1" applyBorder="1" applyAlignment="1">
      <alignment horizontal="center" vertical="center" wrapText="1"/>
    </xf>
    <xf numFmtId="0" fontId="47" fillId="43" borderId="55"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right" vertical="center"/>
    </xf>
    <xf numFmtId="0" fontId="46" fillId="0" borderId="12" xfId="176" applyNumberFormat="1" applyFont="1" applyFill="1" applyBorder="1" applyAlignment="1">
      <alignment horizontal="left" vertical="center" wrapText="1"/>
    </xf>
    <xf numFmtId="0" fontId="47" fillId="0" borderId="13" xfId="176" applyNumberFormat="1" applyFont="1" applyFill="1" applyBorder="1" applyAlignment="1">
      <alignment horizontal="center" vertical="center" wrapText="1"/>
    </xf>
    <xf numFmtId="0" fontId="47" fillId="0" borderId="13" xfId="176" applyNumberFormat="1" applyFont="1" applyBorder="1" applyAlignment="1">
      <alignment horizontal="center" vertical="center" wrapText="1"/>
    </xf>
    <xf numFmtId="0" fontId="47" fillId="0" borderId="14" xfId="176" applyNumberFormat="1" applyFont="1" applyBorder="1" applyAlignment="1">
      <alignment horizontal="center" vertical="center" wrapText="1"/>
    </xf>
    <xf numFmtId="0" fontId="39" fillId="38" borderId="0" xfId="176" applyFont="1" applyFill="1" applyAlignment="1">
      <alignment horizontal="center" vertical="center" wrapText="1"/>
    </xf>
    <xf numFmtId="0" fontId="47" fillId="49" borderId="16" xfId="176" applyNumberFormat="1" applyFont="1" applyFill="1" applyBorder="1" applyAlignment="1">
      <alignment horizontal="center" vertical="center" wrapText="1"/>
    </xf>
    <xf numFmtId="0" fontId="57" fillId="45" borderId="16" xfId="176" applyNumberFormat="1" applyFont="1" applyFill="1" applyBorder="1" applyAlignment="1">
      <alignment horizontal="center" vertical="center" wrapText="1"/>
    </xf>
    <xf numFmtId="16" fontId="47" fillId="45" borderId="17" xfId="176" quotePrefix="1" applyNumberFormat="1" applyFont="1" applyFill="1" applyBorder="1" applyAlignment="1">
      <alignment horizontal="center" vertical="center" wrapText="1"/>
    </xf>
    <xf numFmtId="0" fontId="48" fillId="0" borderId="0" xfId="176"/>
    <xf numFmtId="0" fontId="48" fillId="0" borderId="0" xfId="176" applyFont="1" applyAlignment="1">
      <alignment horizontal="center" vertical="center"/>
    </xf>
    <xf numFmtId="0" fontId="39" fillId="0" borderId="0" xfId="176" applyFont="1" applyFill="1" applyBorder="1" applyAlignment="1">
      <alignment horizontal="center" vertical="center" wrapText="1"/>
    </xf>
    <xf numFmtId="0" fontId="47" fillId="49" borderId="20" xfId="176" applyNumberFormat="1" applyFont="1" applyFill="1" applyBorder="1" applyAlignment="1">
      <alignment horizontal="center" vertical="center" wrapText="1"/>
    </xf>
    <xf numFmtId="3" fontId="57" fillId="45" borderId="20" xfId="176" quotePrefix="1" applyNumberFormat="1" applyFont="1" applyFill="1" applyBorder="1" applyAlignment="1">
      <alignment horizontal="center" vertical="center" wrapText="1"/>
    </xf>
    <xf numFmtId="0" fontId="47" fillId="45" borderId="15" xfId="176" applyFont="1" applyFill="1" applyBorder="1" applyAlignment="1">
      <alignment horizontal="left" vertical="center" wrapText="1"/>
    </xf>
    <xf numFmtId="0" fontId="47" fillId="45" borderId="16" xfId="176" applyFont="1" applyFill="1" applyBorder="1" applyAlignment="1">
      <alignment horizontal="center" vertical="center" wrapText="1"/>
    </xf>
    <xf numFmtId="0" fontId="47" fillId="49" borderId="16" xfId="176" applyFont="1" applyFill="1" applyBorder="1" applyAlignment="1">
      <alignment horizontal="center" vertical="center" wrapText="1"/>
    </xf>
    <xf numFmtId="3" fontId="47" fillId="45" borderId="16" xfId="176" applyNumberFormat="1" applyFont="1" applyFill="1" applyBorder="1" applyAlignment="1">
      <alignment horizontal="center" vertical="center" wrapText="1"/>
    </xf>
    <xf numFmtId="0" fontId="39" fillId="38" borderId="0" xfId="176" quotePrefix="1" applyFont="1" applyFill="1" applyBorder="1" applyAlignment="1">
      <alignment horizontal="center" vertical="center" wrapText="1"/>
    </xf>
    <xf numFmtId="0" fontId="46" fillId="38" borderId="30" xfId="176" quotePrefix="1" applyNumberFormat="1" applyFont="1" applyFill="1" applyBorder="1" applyAlignment="1">
      <alignment horizontal="left" vertical="center" wrapText="1"/>
    </xf>
    <xf numFmtId="166" fontId="58" fillId="38" borderId="31" xfId="176" quotePrefix="1" applyNumberFormat="1" applyFont="1" applyFill="1" applyBorder="1" applyAlignment="1">
      <alignment horizontal="center" vertical="center" wrapText="1"/>
    </xf>
    <xf numFmtId="0" fontId="46" fillId="38" borderId="31" xfId="176" quotePrefix="1" applyNumberFormat="1" applyFont="1" applyFill="1" applyBorder="1" applyAlignment="1">
      <alignment horizontal="center" vertical="center" wrapText="1"/>
    </xf>
    <xf numFmtId="14" fontId="46" fillId="38" borderId="31" xfId="176" quotePrefix="1" applyNumberFormat="1" applyFont="1" applyFill="1" applyBorder="1" applyAlignment="1">
      <alignment horizontal="center" vertical="center" wrapText="1"/>
    </xf>
    <xf numFmtId="49" fontId="46" fillId="38" borderId="31" xfId="176" applyNumberFormat="1" applyFont="1" applyFill="1" applyBorder="1" applyAlignment="1">
      <alignment horizontal="center" vertical="center" wrapText="1"/>
    </xf>
    <xf numFmtId="0" fontId="46" fillId="38" borderId="31" xfId="176" applyNumberFormat="1" applyFont="1" applyFill="1" applyBorder="1" applyAlignment="1">
      <alignment horizontal="center" vertical="center" wrapText="1"/>
    </xf>
    <xf numFmtId="0" fontId="46" fillId="38" borderId="32" xfId="176" applyNumberFormat="1" applyFont="1" applyFill="1" applyBorder="1" applyAlignment="1">
      <alignment horizontal="center" vertical="center" wrapText="1"/>
    </xf>
    <xf numFmtId="166" fontId="59" fillId="43" borderId="18" xfId="176" applyNumberFormat="1" applyFont="1" applyFill="1" applyBorder="1" applyAlignment="1">
      <alignment horizontal="center" vertical="center" wrapText="1"/>
    </xf>
    <xf numFmtId="0" fontId="46" fillId="43" borderId="18" xfId="176" quotePrefix="1" applyNumberFormat="1" applyFont="1" applyFill="1" applyBorder="1" applyAlignment="1">
      <alignment horizontal="center" vertical="center" wrapText="1"/>
    </xf>
    <xf numFmtId="0" fontId="55" fillId="0" borderId="0" xfId="176" applyFont="1"/>
    <xf numFmtId="0" fontId="55" fillId="38" borderId="0" xfId="176" applyFont="1" applyFill="1" applyAlignment="1">
      <alignment horizontal="center" vertical="center"/>
    </xf>
    <xf numFmtId="0" fontId="47" fillId="49" borderId="31" xfId="176" applyNumberFormat="1" applyFont="1" applyFill="1" applyBorder="1" applyAlignment="1">
      <alignment horizontal="center" vertical="center" wrapText="1"/>
    </xf>
    <xf numFmtId="49" fontId="47" fillId="45" borderId="31" xfId="176" applyNumberFormat="1" applyFont="1" applyFill="1" applyBorder="1" applyAlignment="1">
      <alignment horizontal="center" vertical="center" wrapText="1"/>
    </xf>
    <xf numFmtId="0" fontId="47" fillId="45" borderId="32" xfId="176" applyNumberFormat="1" applyFont="1" applyFill="1" applyBorder="1" applyAlignment="1">
      <alignment horizontal="center" vertical="center" wrapText="1"/>
    </xf>
    <xf numFmtId="0" fontId="47" fillId="49" borderId="31" xfId="176" quotePrefix="1" applyNumberFormat="1" applyFont="1" applyFill="1" applyBorder="1" applyAlignment="1">
      <alignment horizontal="center" vertical="center" wrapText="1"/>
    </xf>
    <xf numFmtId="17" fontId="47" fillId="45" borderId="32" xfId="176" applyNumberFormat="1" applyFont="1" applyFill="1" applyBorder="1" applyAlignment="1">
      <alignment horizontal="center" vertical="center" wrapText="1"/>
    </xf>
    <xf numFmtId="0" fontId="48" fillId="38" borderId="0" xfId="176" applyFont="1" applyFill="1" applyAlignment="1">
      <alignment horizontal="center" vertical="center"/>
    </xf>
    <xf numFmtId="0" fontId="47" fillId="45" borderId="30" xfId="176" applyNumberFormat="1" applyFont="1" applyFill="1" applyBorder="1" applyAlignment="1">
      <alignment horizontal="left" vertical="center" wrapText="1"/>
    </xf>
    <xf numFmtId="17" fontId="47" fillId="45" borderId="16" xfId="176" quotePrefix="1" applyNumberFormat="1" applyFont="1" applyFill="1" applyBorder="1" applyAlignment="1">
      <alignment horizontal="center" vertical="center" wrapText="1"/>
    </xf>
    <xf numFmtId="0" fontId="47" fillId="45" borderId="36" xfId="176" applyFont="1" applyFill="1" applyBorder="1" applyAlignment="1">
      <alignment horizontal="center" vertical="center" wrapText="1"/>
    </xf>
    <xf numFmtId="0" fontId="47" fillId="49" borderId="36" xfId="176" applyFont="1" applyFill="1" applyBorder="1" applyAlignment="1">
      <alignment horizontal="center" vertical="center" wrapText="1"/>
    </xf>
    <xf numFmtId="3" fontId="47" fillId="45" borderId="36" xfId="176" applyNumberFormat="1" applyFont="1" applyFill="1" applyBorder="1" applyAlignment="1">
      <alignment horizontal="center" vertical="center" wrapText="1"/>
    </xf>
    <xf numFmtId="16" fontId="47" fillId="45" borderId="47" xfId="176" quotePrefix="1" applyNumberFormat="1" applyFont="1" applyFill="1" applyBorder="1" applyAlignment="1">
      <alignment horizontal="center" vertical="center" wrapText="1"/>
    </xf>
    <xf numFmtId="49" fontId="47" fillId="45" borderId="36" xfId="176" applyNumberFormat="1" applyFont="1" applyFill="1" applyBorder="1" applyAlignment="1">
      <alignment horizontal="center" vertical="center" wrapText="1"/>
    </xf>
    <xf numFmtId="0" fontId="47" fillId="45" borderId="32" xfId="176" quotePrefix="1" applyFont="1" applyFill="1" applyBorder="1" applyAlignment="1">
      <alignment horizontal="center" vertical="center" wrapText="1"/>
    </xf>
    <xf numFmtId="0" fontId="46" fillId="45" borderId="16" xfId="176" applyNumberFormat="1" applyFont="1" applyFill="1" applyBorder="1" applyAlignment="1">
      <alignment horizontal="center" vertical="center" wrapText="1"/>
    </xf>
    <xf numFmtId="166" fontId="59" fillId="43" borderId="36" xfId="176" applyNumberFormat="1" applyFont="1" applyFill="1" applyBorder="1" applyAlignment="1">
      <alignment horizontal="center" vertical="center" wrapText="1"/>
    </xf>
    <xf numFmtId="0" fontId="47" fillId="43" borderId="51" xfId="176" applyNumberFormat="1" applyFont="1" applyFill="1" applyBorder="1" applyAlignment="1">
      <alignment horizontal="center" vertical="center" wrapText="1"/>
    </xf>
    <xf numFmtId="0" fontId="46" fillId="43" borderId="44" xfId="176" quotePrefix="1" applyNumberFormat="1" applyFont="1" applyFill="1" applyBorder="1" applyAlignment="1">
      <alignment horizontal="center" vertical="center" wrapText="1"/>
    </xf>
    <xf numFmtId="0" fontId="47" fillId="43" borderId="52" xfId="176" quotePrefix="1" applyNumberFormat="1" applyFont="1" applyFill="1" applyBorder="1" applyAlignment="1">
      <alignment horizontal="center" vertical="center" wrapText="1"/>
    </xf>
    <xf numFmtId="0" fontId="39" fillId="0" borderId="53" xfId="176" quotePrefix="1" applyFont="1" applyBorder="1" applyAlignment="1">
      <alignment horizontal="center" vertical="center" wrapText="1"/>
    </xf>
    <xf numFmtId="0" fontId="47" fillId="43" borderId="54" xfId="176" applyNumberFormat="1" applyFont="1" applyFill="1" applyBorder="1" applyAlignment="1">
      <alignment horizontal="center" vertical="center" wrapText="1"/>
    </xf>
    <xf numFmtId="0" fontId="46" fillId="43" borderId="55" xfId="176" quotePrefix="1" applyNumberFormat="1" applyFont="1" applyFill="1" applyBorder="1" applyAlignment="1">
      <alignment horizontal="center" vertical="center" wrapText="1"/>
    </xf>
    <xf numFmtId="0" fontId="47" fillId="43" borderId="56" xfId="176" quotePrefix="1" applyNumberFormat="1" applyFont="1" applyFill="1" applyBorder="1" applyAlignment="1">
      <alignment horizontal="center" vertical="center" wrapText="1"/>
    </xf>
    <xf numFmtId="0" fontId="47" fillId="43" borderId="0" xfId="176" quotePrefix="1" applyNumberFormat="1" applyFont="1" applyFill="1" applyBorder="1" applyAlignment="1">
      <alignment horizontal="left" vertical="center" wrapText="1"/>
    </xf>
    <xf numFmtId="3" fontId="51" fillId="43" borderId="0" xfId="176" applyNumberFormat="1" applyFont="1" applyFill="1" applyBorder="1" applyAlignment="1">
      <alignment horizontal="center" vertical="center"/>
    </xf>
    <xf numFmtId="3" fontId="51" fillId="43" borderId="0" xfId="176" applyNumberFormat="1" applyFont="1" applyFill="1" applyBorder="1" applyAlignment="1">
      <alignment horizontal="center" vertical="center" wrapText="1"/>
    </xf>
    <xf numFmtId="0" fontId="46" fillId="43" borderId="0" xfId="176" quotePrefix="1" applyNumberFormat="1" applyFont="1" applyFill="1" applyBorder="1" applyAlignment="1">
      <alignment horizontal="center" vertical="center" wrapText="1"/>
    </xf>
    <xf numFmtId="0" fontId="48" fillId="0" borderId="0" xfId="176" applyBorder="1" applyAlignment="1">
      <alignment horizontal="center" vertical="center" wrapText="1"/>
    </xf>
    <xf numFmtId="0" fontId="46" fillId="0" borderId="13" xfId="176" applyNumberFormat="1" applyFont="1" applyFill="1" applyBorder="1" applyAlignment="1">
      <alignment horizontal="center" vertical="center" wrapText="1"/>
    </xf>
    <xf numFmtId="0" fontId="46" fillId="0" borderId="13" xfId="176" applyNumberFormat="1" applyFont="1" applyBorder="1" applyAlignment="1">
      <alignment horizontal="center" vertical="center" wrapText="1"/>
    </xf>
    <xf numFmtId="0" fontId="46" fillId="0" borderId="14" xfId="176" applyNumberFormat="1" applyFont="1" applyBorder="1" applyAlignment="1">
      <alignment horizontal="center" vertical="center" wrapText="1"/>
    </xf>
    <xf numFmtId="0" fontId="47" fillId="50" borderId="31" xfId="176" quotePrefix="1" applyNumberFormat="1" applyFont="1" applyFill="1" applyBorder="1" applyAlignment="1">
      <alignment horizontal="center" vertical="center" wrapText="1"/>
    </xf>
    <xf numFmtId="0" fontId="47" fillId="50" borderId="32" xfId="176" quotePrefix="1" applyNumberFormat="1" applyFont="1" applyFill="1" applyBorder="1" applyAlignment="1">
      <alignment horizontal="center" vertical="center" wrapText="1"/>
    </xf>
    <xf numFmtId="3" fontId="46" fillId="0" borderId="31" xfId="176" applyNumberFormat="1" applyFont="1" applyFill="1" applyBorder="1" applyAlignment="1">
      <alignment horizontal="center" vertical="center" wrapText="1"/>
    </xf>
    <xf numFmtId="0" fontId="46" fillId="0" borderId="31" xfId="176" quotePrefix="1" applyNumberFormat="1" applyFont="1" applyFill="1" applyBorder="1" applyAlignment="1">
      <alignment horizontal="center" vertical="center" wrapText="1"/>
    </xf>
    <xf numFmtId="14" fontId="46" fillId="0" borderId="31" xfId="176" quotePrefix="1" applyNumberFormat="1" applyFont="1" applyFill="1" applyBorder="1" applyAlignment="1">
      <alignment horizontal="center" vertical="center" wrapText="1"/>
    </xf>
    <xf numFmtId="49" fontId="46" fillId="0" borderId="31" xfId="176" applyNumberFormat="1" applyFont="1" applyFill="1" applyBorder="1" applyAlignment="1">
      <alignment horizontal="center" vertical="center" wrapText="1"/>
    </xf>
    <xf numFmtId="0" fontId="46" fillId="0" borderId="32" xfId="176" quotePrefix="1" applyNumberFormat="1" applyFont="1" applyFill="1" applyBorder="1" applyAlignment="1">
      <alignment horizontal="center" vertical="center" wrapText="1"/>
    </xf>
    <xf numFmtId="0" fontId="49" fillId="51" borderId="31" xfId="176" applyNumberFormat="1" applyFont="1" applyFill="1" applyBorder="1" applyAlignment="1">
      <alignment horizontal="center" vertical="center" wrapText="1"/>
    </xf>
    <xf numFmtId="0" fontId="49" fillId="51" borderId="32" xfId="176" applyNumberFormat="1" applyFont="1" applyFill="1" applyBorder="1" applyAlignment="1">
      <alignment horizontal="center" vertical="center" wrapText="1"/>
    </xf>
    <xf numFmtId="0" fontId="60" fillId="0" borderId="0" xfId="176" applyFont="1" applyBorder="1" applyAlignment="1">
      <alignment horizontal="center" vertical="center" wrapText="1"/>
    </xf>
    <xf numFmtId="0" fontId="49" fillId="51" borderId="31" xfId="176" quotePrefix="1" applyNumberFormat="1" applyFont="1" applyFill="1" applyBorder="1" applyAlignment="1">
      <alignment horizontal="center" vertical="center" wrapText="1"/>
    </xf>
    <xf numFmtId="0" fontId="49" fillId="51" borderId="32" xfId="176" quotePrefix="1" applyNumberFormat="1" applyFont="1" applyFill="1" applyBorder="1" applyAlignment="1">
      <alignment horizontal="center" vertical="center" wrapText="1"/>
    </xf>
    <xf numFmtId="0" fontId="52" fillId="51" borderId="31" xfId="176" quotePrefix="1" applyNumberFormat="1" applyFont="1" applyFill="1" applyBorder="1" applyAlignment="1">
      <alignment horizontal="center" vertical="center" wrapText="1"/>
    </xf>
    <xf numFmtId="0" fontId="52" fillId="51" borderId="32" xfId="176" quotePrefix="1" applyNumberFormat="1" applyFont="1" applyFill="1" applyBorder="1" applyAlignment="1">
      <alignment horizontal="center" vertical="center" wrapText="1"/>
    </xf>
    <xf numFmtId="0" fontId="47" fillId="45" borderId="33" xfId="176" applyFont="1" applyFill="1" applyBorder="1" applyAlignment="1">
      <alignment horizontal="left" vertical="center" wrapText="1"/>
    </xf>
    <xf numFmtId="0" fontId="47" fillId="45" borderId="20" xfId="176" applyFont="1" applyFill="1" applyBorder="1" applyAlignment="1">
      <alignment horizontal="center" vertical="center" wrapText="1"/>
    </xf>
    <xf numFmtId="0" fontId="49" fillId="51" borderId="20" xfId="176" applyFont="1" applyFill="1" applyBorder="1" applyAlignment="1">
      <alignment horizontal="center" vertical="center" wrapText="1"/>
    </xf>
    <xf numFmtId="3" fontId="57" fillId="45" borderId="20" xfId="176" applyNumberFormat="1" applyFont="1" applyFill="1" applyBorder="1" applyAlignment="1">
      <alignment horizontal="center" vertical="center" wrapText="1"/>
    </xf>
    <xf numFmtId="0" fontId="49" fillId="51" borderId="17" xfId="176" applyNumberFormat="1" applyFont="1" applyFill="1" applyBorder="1" applyAlignment="1">
      <alignment horizontal="center" vertical="center" wrapText="1"/>
    </xf>
    <xf numFmtId="0" fontId="49" fillId="51" borderId="20" xfId="176" applyNumberFormat="1" applyFont="1" applyFill="1" applyBorder="1" applyAlignment="1">
      <alignment horizontal="center" vertical="center" wrapText="1"/>
    </xf>
    <xf numFmtId="166" fontId="57" fillId="45" borderId="20" xfId="176" applyNumberFormat="1" applyFont="1" applyFill="1" applyBorder="1" applyAlignment="1">
      <alignment horizontal="center" vertical="center" wrapText="1"/>
    </xf>
    <xf numFmtId="16" fontId="47" fillId="45" borderId="20" xfId="176" applyNumberFormat="1" applyFont="1" applyFill="1" applyBorder="1" applyAlignment="1">
      <alignment horizontal="center" vertical="center" wrapText="1"/>
    </xf>
    <xf numFmtId="0" fontId="60" fillId="0" borderId="53" xfId="176" applyFont="1" applyBorder="1" applyAlignment="1">
      <alignment horizontal="center" vertical="center" wrapText="1"/>
    </xf>
    <xf numFmtId="166" fontId="46" fillId="0" borderId="31" xfId="176" applyNumberFormat="1" applyFont="1" applyFill="1" applyBorder="1" applyAlignment="1">
      <alignment horizontal="center" vertical="center" wrapText="1"/>
    </xf>
    <xf numFmtId="0" fontId="49" fillId="0" borderId="32" xfId="176" quotePrefix="1" applyNumberFormat="1" applyFont="1" applyFill="1" applyBorder="1" applyAlignment="1">
      <alignment horizontal="center" vertical="center" wrapText="1"/>
    </xf>
    <xf numFmtId="3" fontId="51" fillId="43" borderId="18" xfId="176" applyNumberFormat="1" applyFont="1" applyFill="1" applyBorder="1" applyAlignment="1">
      <alignment horizontal="center" vertical="center" wrapText="1"/>
    </xf>
    <xf numFmtId="166" fontId="44" fillId="43" borderId="0" xfId="176" applyNumberFormat="1" applyFont="1" applyFill="1" applyBorder="1" applyAlignment="1">
      <alignment horizontal="center" vertical="center" wrapText="1"/>
    </xf>
    <xf numFmtId="3" fontId="44" fillId="43" borderId="0" xfId="176" applyNumberFormat="1" applyFont="1" applyFill="1" applyBorder="1" applyAlignment="1">
      <alignment horizontal="right" vertical="center"/>
    </xf>
    <xf numFmtId="3" fontId="44" fillId="43" borderId="0" xfId="176" applyNumberFormat="1" applyFont="1" applyFill="1" applyBorder="1" applyAlignment="1">
      <alignment horizontal="center" vertical="center" wrapText="1"/>
    </xf>
    <xf numFmtId="0" fontId="46" fillId="0" borderId="14" xfId="176" applyNumberFormat="1" applyFont="1" applyFill="1" applyBorder="1" applyAlignment="1">
      <alignment horizontal="center" vertical="center" wrapText="1"/>
    </xf>
    <xf numFmtId="0" fontId="47" fillId="48" borderId="33" xfId="176" quotePrefix="1" applyNumberFormat="1" applyFont="1" applyFill="1" applyBorder="1" applyAlignment="1">
      <alignment horizontal="left" vertical="center" wrapText="1"/>
    </xf>
    <xf numFmtId="0" fontId="47" fillId="48" borderId="20" xfId="176" quotePrefix="1" applyNumberFormat="1" applyFont="1" applyFill="1" applyBorder="1" applyAlignment="1">
      <alignment horizontal="center" vertical="center" wrapText="1"/>
    </xf>
    <xf numFmtId="3" fontId="47" fillId="48" borderId="20" xfId="176" quotePrefix="1" applyNumberFormat="1" applyFont="1" applyFill="1" applyBorder="1" applyAlignment="1">
      <alignment horizontal="center" vertical="center" wrapText="1"/>
    </xf>
    <xf numFmtId="49" fontId="47" fillId="48" borderId="20" xfId="176" applyNumberFormat="1" applyFont="1" applyFill="1" applyBorder="1" applyAlignment="1">
      <alignment horizontal="center" vertical="center" wrapText="1"/>
    </xf>
    <xf numFmtId="0" fontId="47" fillId="48" borderId="20" xfId="176" applyNumberFormat="1" applyFont="1" applyFill="1" applyBorder="1" applyAlignment="1">
      <alignment horizontal="center" vertical="center" wrapText="1"/>
    </xf>
    <xf numFmtId="0" fontId="47" fillId="48" borderId="17" xfId="176" applyNumberFormat="1" applyFont="1" applyFill="1" applyBorder="1" applyAlignment="1">
      <alignment horizontal="center" vertical="center" wrapText="1"/>
    </xf>
    <xf numFmtId="0" fontId="47" fillId="48" borderId="30" xfId="176" quotePrefix="1" applyNumberFormat="1" applyFont="1" applyFill="1" applyBorder="1" applyAlignment="1">
      <alignment horizontal="left" vertical="center" wrapText="1"/>
    </xf>
    <xf numFmtId="0" fontId="47" fillId="48" borderId="31" xfId="176" quotePrefix="1" applyNumberFormat="1" applyFont="1" applyFill="1" applyBorder="1" applyAlignment="1">
      <alignment horizontal="center" vertical="center" wrapText="1"/>
    </xf>
    <xf numFmtId="3" fontId="47" fillId="48" borderId="31" xfId="176" quotePrefix="1" applyNumberFormat="1" applyFont="1" applyFill="1" applyBorder="1" applyAlignment="1">
      <alignment horizontal="center" vertical="center" wrapText="1"/>
    </xf>
    <xf numFmtId="49" fontId="47" fillId="48" borderId="31" xfId="176" quotePrefix="1" applyNumberFormat="1" applyFont="1" applyFill="1" applyBorder="1" applyAlignment="1">
      <alignment horizontal="center" vertical="center" wrapText="1"/>
    </xf>
    <xf numFmtId="0" fontId="47" fillId="48" borderId="31" xfId="176" applyNumberFormat="1" applyFont="1" applyFill="1" applyBorder="1" applyAlignment="1">
      <alignment horizontal="center" vertical="center" wrapText="1"/>
    </xf>
    <xf numFmtId="0" fontId="47" fillId="48" borderId="32" xfId="176" quotePrefix="1" applyNumberFormat="1" applyFont="1" applyFill="1" applyBorder="1" applyAlignment="1">
      <alignment horizontal="center" vertical="center" wrapText="1"/>
    </xf>
    <xf numFmtId="0" fontId="48" fillId="48" borderId="80" xfId="176" applyFill="1" applyBorder="1" applyAlignment="1">
      <alignment horizontal="left" vertical="center"/>
    </xf>
    <xf numFmtId="0" fontId="48" fillId="48" borderId="36" xfId="176" applyFill="1" applyBorder="1" applyAlignment="1">
      <alignment horizontal="center" vertical="center"/>
    </xf>
    <xf numFmtId="14" fontId="48" fillId="48" borderId="36" xfId="176" applyNumberFormat="1" applyFill="1" applyBorder="1" applyAlignment="1">
      <alignment horizontal="center" vertical="center"/>
    </xf>
    <xf numFmtId="0" fontId="48" fillId="48" borderId="32" xfId="176" applyFill="1" applyBorder="1" applyAlignment="1">
      <alignment horizontal="center" vertical="center"/>
    </xf>
    <xf numFmtId="0" fontId="47" fillId="48" borderId="80" xfId="176" applyFont="1" applyFill="1" applyBorder="1" applyAlignment="1">
      <alignment horizontal="left" vertical="center" wrapText="1"/>
    </xf>
    <xf numFmtId="0" fontId="47" fillId="48" borderId="36" xfId="176" applyFont="1" applyFill="1" applyBorder="1" applyAlignment="1">
      <alignment horizontal="center" vertical="center" wrapText="1"/>
    </xf>
    <xf numFmtId="16" fontId="47" fillId="48" borderId="36" xfId="176" quotePrefix="1" applyNumberFormat="1" applyFont="1" applyFill="1" applyBorder="1" applyAlignment="1">
      <alignment horizontal="center" vertical="center" wrapText="1"/>
    </xf>
    <xf numFmtId="14" fontId="47" fillId="48" borderId="36" xfId="176" applyNumberFormat="1" applyFont="1" applyFill="1" applyBorder="1" applyAlignment="1">
      <alignment horizontal="center" vertical="center" wrapText="1"/>
    </xf>
    <xf numFmtId="0" fontId="46" fillId="48" borderId="36" xfId="176" applyFont="1" applyFill="1" applyBorder="1" applyAlignment="1">
      <alignment horizontal="center" vertical="center" wrapText="1"/>
    </xf>
    <xf numFmtId="0" fontId="47" fillId="48" borderId="32" xfId="176" applyNumberFormat="1" applyFont="1" applyFill="1" applyBorder="1" applyAlignment="1">
      <alignment horizontal="center" vertical="center" wrapText="1"/>
    </xf>
    <xf numFmtId="0" fontId="47" fillId="48" borderId="40" xfId="176" applyNumberFormat="1" applyFont="1" applyFill="1" applyBorder="1" applyAlignment="1">
      <alignment horizontal="left" vertical="center" wrapText="1"/>
    </xf>
    <xf numFmtId="0" fontId="47" fillId="48" borderId="58" xfId="176" applyNumberFormat="1" applyFont="1" applyFill="1" applyBorder="1" applyAlignment="1">
      <alignment horizontal="center" vertical="center" wrapText="1"/>
    </xf>
    <xf numFmtId="3" fontId="47" fillId="48" borderId="58" xfId="176" applyNumberFormat="1" applyFont="1" applyFill="1" applyBorder="1" applyAlignment="1">
      <alignment horizontal="center" vertical="center" wrapText="1"/>
    </xf>
    <xf numFmtId="14" fontId="47" fillId="48" borderId="58" xfId="176" quotePrefix="1" applyNumberFormat="1" applyFont="1" applyFill="1" applyBorder="1" applyAlignment="1">
      <alignment horizontal="center" vertical="center" wrapText="1"/>
    </xf>
    <xf numFmtId="0" fontId="47" fillId="48" borderId="19" xfId="176" applyNumberFormat="1" applyFont="1" applyFill="1" applyBorder="1" applyAlignment="1">
      <alignment horizontal="center" vertical="center" wrapText="1"/>
    </xf>
    <xf numFmtId="3" fontId="44" fillId="43" borderId="0" xfId="176" applyNumberFormat="1" applyFont="1" applyFill="1" applyBorder="1" applyAlignment="1">
      <alignment horizontal="center" vertical="center"/>
    </xf>
    <xf numFmtId="0" fontId="47" fillId="46" borderId="30" xfId="176" quotePrefix="1" applyNumberFormat="1" applyFont="1" applyFill="1" applyBorder="1" applyAlignment="1">
      <alignment horizontal="left" vertical="center" wrapText="1"/>
    </xf>
    <xf numFmtId="0" fontId="47" fillId="46" borderId="31" xfId="176" applyNumberFormat="1" applyFont="1" applyFill="1" applyBorder="1" applyAlignment="1">
      <alignment horizontal="center" vertical="center" wrapText="1"/>
    </xf>
    <xf numFmtId="0" fontId="47" fillId="46" borderId="31" xfId="176" quotePrefix="1" applyNumberFormat="1" applyFont="1" applyFill="1" applyBorder="1" applyAlignment="1">
      <alignment horizontal="center" vertical="center" wrapText="1"/>
    </xf>
    <xf numFmtId="1" fontId="47" fillId="46" borderId="31" xfId="176" quotePrefix="1" applyNumberFormat="1" applyFont="1" applyFill="1" applyBorder="1" applyAlignment="1">
      <alignment horizontal="center" vertical="center" wrapText="1"/>
    </xf>
    <xf numFmtId="0" fontId="46" fillId="46" borderId="31" xfId="176" applyNumberFormat="1" applyFont="1" applyFill="1" applyBorder="1" applyAlignment="1">
      <alignment horizontal="center" vertical="center" wrapText="1"/>
    </xf>
    <xf numFmtId="0" fontId="47" fillId="46" borderId="32" xfId="176" quotePrefix="1" applyNumberFormat="1" applyFont="1" applyFill="1" applyBorder="1" applyAlignment="1">
      <alignment horizontal="center" vertical="center" wrapText="1"/>
    </xf>
    <xf numFmtId="0" fontId="48" fillId="38" borderId="0" xfId="176" applyFill="1" applyAlignment="1">
      <alignment horizontal="center" vertical="center" wrapText="1"/>
    </xf>
    <xf numFmtId="0" fontId="47" fillId="46" borderId="30" xfId="176" applyFont="1" applyFill="1" applyBorder="1" applyAlignment="1">
      <alignment horizontal="left" vertical="center" wrapText="1"/>
    </xf>
    <xf numFmtId="0" fontId="47" fillId="46" borderId="31" xfId="176" applyFont="1" applyFill="1" applyBorder="1" applyAlignment="1">
      <alignment horizontal="center" vertical="center" wrapText="1"/>
    </xf>
    <xf numFmtId="3" fontId="47" fillId="46" borderId="31" xfId="176" applyNumberFormat="1" applyFont="1" applyFill="1" applyBorder="1" applyAlignment="1">
      <alignment horizontal="center" vertical="center" wrapText="1"/>
    </xf>
    <xf numFmtId="14" fontId="47" fillId="46" borderId="16" xfId="176" applyNumberFormat="1" applyFont="1" applyFill="1" applyBorder="1" applyAlignment="1">
      <alignment horizontal="center" vertical="center" wrapText="1"/>
    </xf>
    <xf numFmtId="16" fontId="47" fillId="46" borderId="16" xfId="176" applyNumberFormat="1" applyFont="1" applyFill="1" applyBorder="1" applyAlignment="1">
      <alignment horizontal="center" vertical="center" wrapText="1"/>
    </xf>
    <xf numFmtId="0" fontId="47" fillId="46" borderId="16" xfId="176" applyNumberFormat="1" applyFont="1" applyFill="1" applyBorder="1" applyAlignment="1">
      <alignment horizontal="center" vertical="center" wrapText="1"/>
    </xf>
    <xf numFmtId="0" fontId="47" fillId="46" borderId="17" xfId="176" applyNumberFormat="1" applyFont="1" applyFill="1" applyBorder="1" applyAlignment="1">
      <alignment horizontal="center" vertical="center" wrapText="1"/>
    </xf>
    <xf numFmtId="0" fontId="47" fillId="46" borderId="30" xfId="176" applyNumberFormat="1" applyFont="1" applyFill="1" applyBorder="1" applyAlignment="1">
      <alignment horizontal="left" vertical="center" wrapText="1"/>
    </xf>
    <xf numFmtId="14" fontId="47" fillId="46" borderId="31" xfId="176" quotePrefix="1" applyNumberFormat="1" applyFont="1" applyFill="1" applyBorder="1" applyAlignment="1">
      <alignment horizontal="center" vertical="center" wrapText="1"/>
    </xf>
    <xf numFmtId="0" fontId="47" fillId="50" borderId="38" xfId="176" applyNumberFormat="1" applyFont="1" applyFill="1" applyBorder="1" applyAlignment="1">
      <alignment horizontal="center" vertical="center" wrapText="1"/>
    </xf>
    <xf numFmtId="49" fontId="47" fillId="50" borderId="17" xfId="176" applyNumberFormat="1" applyFont="1" applyFill="1" applyBorder="1" applyAlignment="1">
      <alignment horizontal="center" vertical="center" wrapText="1"/>
    </xf>
    <xf numFmtId="14" fontId="47" fillId="46" borderId="31" xfId="176" applyNumberFormat="1" applyFont="1" applyFill="1" applyBorder="1" applyAlignment="1">
      <alignment horizontal="center" vertical="center" wrapText="1"/>
    </xf>
    <xf numFmtId="0" fontId="47" fillId="46" borderId="32" xfId="176" applyNumberFormat="1" applyFont="1" applyFill="1" applyBorder="1" applyAlignment="1">
      <alignment horizontal="center" vertical="center" wrapText="1"/>
    </xf>
    <xf numFmtId="0" fontId="47" fillId="46" borderId="15" xfId="176" applyNumberFormat="1" applyFont="1" applyFill="1" applyBorder="1" applyAlignment="1">
      <alignment horizontal="left" vertical="center" wrapText="1"/>
    </xf>
    <xf numFmtId="16" fontId="47" fillId="46" borderId="16" xfId="176" quotePrefix="1" applyNumberFormat="1" applyFont="1" applyFill="1" applyBorder="1" applyAlignment="1">
      <alignment horizontal="center" vertical="center" wrapText="1"/>
    </xf>
    <xf numFmtId="0" fontId="46" fillId="46" borderId="16" xfId="176" applyNumberFormat="1" applyFont="1" applyFill="1" applyBorder="1" applyAlignment="1">
      <alignment horizontal="center" vertical="center" wrapText="1"/>
    </xf>
    <xf numFmtId="0" fontId="46" fillId="46" borderId="17" xfId="176" applyNumberFormat="1" applyFont="1" applyFill="1" applyBorder="1" applyAlignment="1">
      <alignment horizontal="center" vertical="center" wrapText="1"/>
    </xf>
    <xf numFmtId="0" fontId="47" fillId="46" borderId="45" xfId="176" quotePrefix="1" applyNumberFormat="1" applyFont="1" applyFill="1" applyBorder="1" applyAlignment="1">
      <alignment horizontal="left" vertical="center" wrapText="1"/>
    </xf>
    <xf numFmtId="0" fontId="47" fillId="46" borderId="46" xfId="176" quotePrefix="1" applyNumberFormat="1" applyFont="1" applyFill="1" applyBorder="1" applyAlignment="1">
      <alignment horizontal="center" vertical="center" wrapText="1"/>
    </xf>
    <xf numFmtId="3" fontId="47" fillId="46" borderId="46" xfId="176" applyNumberFormat="1" applyFont="1" applyFill="1" applyBorder="1" applyAlignment="1">
      <alignment horizontal="center" vertical="center" wrapText="1"/>
    </xf>
    <xf numFmtId="0" fontId="47" fillId="46" borderId="26" xfId="176" quotePrefix="1" applyNumberFormat="1" applyFont="1" applyFill="1" applyBorder="1" applyAlignment="1">
      <alignment horizontal="center" vertical="center" wrapText="1"/>
    </xf>
    <xf numFmtId="0" fontId="47" fillId="46" borderId="26" xfId="176" applyNumberFormat="1" applyFont="1" applyFill="1" applyBorder="1" applyAlignment="1">
      <alignment horizontal="center" vertical="center" wrapText="1"/>
    </xf>
    <xf numFmtId="0" fontId="47" fillId="50" borderId="57" xfId="176" applyNumberFormat="1" applyFont="1" applyFill="1" applyBorder="1" applyAlignment="1">
      <alignment horizontal="center" vertical="center" wrapText="1"/>
    </xf>
    <xf numFmtId="0" fontId="62" fillId="46" borderId="16" xfId="176" applyNumberFormat="1" applyFont="1" applyFill="1" applyBorder="1" applyAlignment="1">
      <alignment horizontal="center" vertical="center" wrapText="1"/>
    </xf>
    <xf numFmtId="0" fontId="47" fillId="46" borderId="16" xfId="176" quotePrefix="1" applyNumberFormat="1" applyFont="1" applyFill="1" applyBorder="1" applyAlignment="1">
      <alignment horizontal="center" vertical="center" wrapText="1"/>
    </xf>
    <xf numFmtId="0" fontId="47" fillId="50" borderId="31" xfId="176" applyNumberFormat="1" applyFont="1" applyFill="1" applyBorder="1" applyAlignment="1">
      <alignment horizontal="center" vertical="center" wrapText="1"/>
    </xf>
    <xf numFmtId="0" fontId="47" fillId="50" borderId="17" xfId="176" applyNumberFormat="1" applyFont="1" applyFill="1" applyBorder="1" applyAlignment="1">
      <alignment horizontal="center" vertical="center" wrapText="1"/>
    </xf>
    <xf numFmtId="0" fontId="47" fillId="46" borderId="33" xfId="176" quotePrefix="1" applyNumberFormat="1" applyFont="1" applyFill="1" applyBorder="1" applyAlignment="1">
      <alignment horizontal="left" vertical="center" wrapText="1"/>
    </xf>
    <xf numFmtId="0" fontId="47" fillId="46" borderId="20" xfId="176" quotePrefix="1" applyNumberFormat="1" applyFont="1" applyFill="1" applyBorder="1" applyAlignment="1">
      <alignment horizontal="center" vertical="center" wrapText="1"/>
    </xf>
    <xf numFmtId="3" fontId="47" fillId="46" borderId="20" xfId="176" applyNumberFormat="1" applyFont="1" applyFill="1" applyBorder="1" applyAlignment="1">
      <alignment horizontal="center" vertical="center" wrapText="1"/>
    </xf>
    <xf numFmtId="49" fontId="47" fillId="50" borderId="20" xfId="176" applyNumberFormat="1" applyFont="1" applyFill="1" applyBorder="1" applyAlignment="1">
      <alignment horizontal="center" vertical="center" wrapText="1"/>
    </xf>
    <xf numFmtId="0" fontId="47" fillId="46" borderId="20" xfId="176" applyNumberFormat="1" applyFont="1" applyFill="1" applyBorder="1" applyAlignment="1">
      <alignment horizontal="center" vertical="center" wrapText="1"/>
    </xf>
    <xf numFmtId="0" fontId="47" fillId="46" borderId="37" xfId="176" quotePrefix="1" applyNumberFormat="1" applyFont="1" applyFill="1" applyBorder="1" applyAlignment="1">
      <alignment horizontal="left" vertical="center" wrapText="1"/>
    </xf>
    <xf numFmtId="0" fontId="47" fillId="46" borderId="38" xfId="176" applyNumberFormat="1" applyFont="1" applyFill="1" applyBorder="1" applyAlignment="1">
      <alignment horizontal="center" vertical="center" wrapText="1"/>
    </xf>
    <xf numFmtId="0" fontId="47" fillId="46" borderId="38" xfId="176" quotePrefix="1" applyNumberFormat="1" applyFont="1" applyFill="1" applyBorder="1" applyAlignment="1">
      <alignment horizontal="center" vertical="center" wrapText="1"/>
    </xf>
    <xf numFmtId="3" fontId="47" fillId="46" borderId="58" xfId="176" quotePrefix="1" applyNumberFormat="1" applyFont="1" applyFill="1" applyBorder="1" applyAlignment="1">
      <alignment horizontal="center" vertical="center" wrapText="1"/>
    </xf>
    <xf numFmtId="0" fontId="47" fillId="46" borderId="58" xfId="176" quotePrefix="1" applyNumberFormat="1" applyFont="1" applyFill="1" applyBorder="1" applyAlignment="1">
      <alignment horizontal="center" vertical="center" wrapText="1"/>
    </xf>
    <xf numFmtId="14" fontId="47" fillId="46" borderId="18" xfId="176" quotePrefix="1" applyNumberFormat="1" applyFont="1" applyFill="1" applyBorder="1" applyAlignment="1">
      <alignment horizontal="center" vertical="center" wrapText="1"/>
    </xf>
    <xf numFmtId="49" fontId="47" fillId="46" borderId="18" xfId="176" quotePrefix="1" applyNumberFormat="1" applyFont="1" applyFill="1" applyBorder="1" applyAlignment="1">
      <alignment horizontal="center" vertical="center" wrapText="1"/>
    </xf>
    <xf numFmtId="0" fontId="47" fillId="46" borderId="18" xfId="176" applyNumberFormat="1" applyFont="1" applyFill="1" applyBorder="1" applyAlignment="1">
      <alignment horizontal="center" vertical="center" wrapText="1"/>
    </xf>
    <xf numFmtId="49" fontId="47" fillId="46" borderId="19" xfId="176" applyNumberFormat="1" applyFont="1" applyFill="1" applyBorder="1" applyAlignment="1">
      <alignment horizontal="center" vertical="center" wrapText="1"/>
    </xf>
    <xf numFmtId="166" fontId="44" fillId="43" borderId="0" xfId="176" quotePrefix="1" applyNumberFormat="1" applyFont="1" applyFill="1" applyBorder="1" applyAlignment="1">
      <alignment horizontal="center" vertical="center" wrapText="1"/>
    </xf>
    <xf numFmtId="166" fontId="64" fillId="43" borderId="0" xfId="176" quotePrefix="1" applyNumberFormat="1" applyFont="1" applyFill="1" applyBorder="1" applyAlignment="1">
      <alignment horizontal="center" vertical="center" wrapText="1"/>
    </xf>
    <xf numFmtId="3" fontId="65" fillId="43" borderId="0" xfId="176" applyNumberFormat="1" applyFont="1" applyFill="1" applyBorder="1" applyAlignment="1">
      <alignment horizontal="right" vertical="center"/>
    </xf>
    <xf numFmtId="3" fontId="44" fillId="43" borderId="0" xfId="176" quotePrefix="1" applyNumberFormat="1" applyFont="1" applyFill="1" applyBorder="1" applyAlignment="1">
      <alignment horizontal="center" vertical="center" wrapText="1"/>
    </xf>
    <xf numFmtId="0" fontId="47" fillId="52" borderId="15" xfId="176" applyNumberFormat="1" applyFont="1" applyFill="1" applyBorder="1" applyAlignment="1">
      <alignment horizontal="left" vertical="center" wrapText="1"/>
    </xf>
    <xf numFmtId="0" fontId="47" fillId="52" borderId="16" xfId="176" applyNumberFormat="1" applyFont="1" applyFill="1" applyBorder="1" applyAlignment="1">
      <alignment horizontal="center" vertical="center" wrapText="1"/>
    </xf>
    <xf numFmtId="17" fontId="47" fillId="52" borderId="16" xfId="176" quotePrefix="1" applyNumberFormat="1" applyFont="1" applyFill="1" applyBorder="1" applyAlignment="1">
      <alignment horizontal="center" vertical="center" wrapText="1"/>
    </xf>
    <xf numFmtId="0" fontId="46" fillId="52" borderId="16" xfId="176" applyNumberFormat="1" applyFont="1" applyFill="1" applyBorder="1" applyAlignment="1">
      <alignment horizontal="center" vertical="center" wrapText="1"/>
    </xf>
    <xf numFmtId="0" fontId="46" fillId="52" borderId="17" xfId="176" applyNumberFormat="1" applyFont="1" applyFill="1" applyBorder="1" applyAlignment="1">
      <alignment horizontal="center" vertical="center" wrapText="1"/>
    </xf>
    <xf numFmtId="0" fontId="47" fillId="52" borderId="18" xfId="176" applyNumberFormat="1" applyFont="1" applyFill="1" applyBorder="1" applyAlignment="1">
      <alignment horizontal="center" vertical="center" wrapText="1"/>
    </xf>
    <xf numFmtId="16" fontId="47" fillId="52" borderId="18" xfId="176" applyNumberFormat="1" applyFont="1" applyFill="1" applyBorder="1" applyAlignment="1">
      <alignment horizontal="center" vertical="center" wrapText="1"/>
    </xf>
    <xf numFmtId="0" fontId="46" fillId="52" borderId="18" xfId="176" applyNumberFormat="1" applyFont="1" applyFill="1" applyBorder="1" applyAlignment="1">
      <alignment horizontal="center" vertical="center" wrapText="1"/>
    </xf>
    <xf numFmtId="0" fontId="46" fillId="52" borderId="19" xfId="176" applyNumberFormat="1" applyFont="1" applyFill="1" applyBorder="1" applyAlignment="1">
      <alignment horizontal="center" vertical="center" wrapText="1"/>
    </xf>
    <xf numFmtId="0" fontId="48" fillId="0" borderId="55" xfId="176" applyBorder="1" applyAlignment="1">
      <alignment horizontal="left" vertical="center"/>
    </xf>
    <xf numFmtId="0" fontId="48" fillId="0" borderId="55" xfId="176" applyBorder="1" applyAlignment="1">
      <alignment horizontal="center" vertical="center"/>
    </xf>
    <xf numFmtId="0" fontId="48" fillId="0" borderId="0" xfId="176" applyBorder="1" applyAlignment="1">
      <alignment horizontal="center" vertical="center"/>
    </xf>
    <xf numFmtId="0" fontId="47" fillId="0" borderId="64" xfId="176" applyFont="1" applyBorder="1" applyAlignment="1">
      <alignment horizontal="center" vertical="center"/>
    </xf>
    <xf numFmtId="0" fontId="47" fillId="0" borderId="66" xfId="176" applyFont="1" applyBorder="1" applyAlignment="1">
      <alignment horizontal="center" vertical="center"/>
    </xf>
    <xf numFmtId="0" fontId="48" fillId="39" borderId="0" xfId="176" applyFill="1" applyAlignment="1">
      <alignment horizontal="center" vertical="center" wrapText="1"/>
    </xf>
    <xf numFmtId="0" fontId="48" fillId="39" borderId="0" xfId="176" applyFill="1"/>
    <xf numFmtId="0" fontId="55" fillId="39" borderId="0" xfId="176" applyFont="1" applyFill="1" applyAlignment="1">
      <alignment horizontal="center" vertical="center"/>
    </xf>
    <xf numFmtId="0" fontId="48" fillId="39" borderId="0" xfId="176" applyFill="1" applyAlignment="1">
      <alignment horizontal="center" vertical="center"/>
    </xf>
    <xf numFmtId="0" fontId="55" fillId="39" borderId="0" xfId="176" applyFont="1" applyFill="1"/>
    <xf numFmtId="0" fontId="48" fillId="39" borderId="0" xfId="176" applyFont="1" applyFill="1" applyAlignment="1">
      <alignment horizontal="center" vertical="center"/>
    </xf>
    <xf numFmtId="0" fontId="35" fillId="85" borderId="71" xfId="0" applyFont="1" applyFill="1" applyBorder="1"/>
    <xf numFmtId="0" fontId="19" fillId="85" borderId="0" xfId="0" applyFont="1" applyFill="1"/>
    <xf numFmtId="0" fontId="0" fillId="85" borderId="0" xfId="0" applyFill="1"/>
    <xf numFmtId="165" fontId="0" fillId="85" borderId="0" xfId="1" applyNumberFormat="1" applyFont="1" applyFill="1"/>
    <xf numFmtId="170" fontId="95" fillId="46" borderId="16" xfId="182" applyNumberFormat="1" applyFont="1" applyFill="1" applyBorder="1" applyAlignment="1"/>
    <xf numFmtId="0" fontId="95" fillId="46" borderId="16" xfId="182" applyNumberFormat="1" applyFont="1" applyFill="1" applyBorder="1" applyAlignment="1"/>
    <xf numFmtId="170" fontId="95" fillId="46" borderId="16" xfId="182" applyNumberFormat="1" applyFont="1" applyFill="1" applyBorder="1" applyAlignment="1">
      <alignment horizontal="right"/>
    </xf>
    <xf numFmtId="170" fontId="95" fillId="46" borderId="16" xfId="182" applyNumberFormat="1" applyFont="1" applyFill="1" applyBorder="1" applyAlignment="1">
      <alignment horizontal="left"/>
    </xf>
    <xf numFmtId="1" fontId="95" fillId="46" borderId="16" xfId="182" applyNumberFormat="1" applyFont="1" applyFill="1" applyBorder="1" applyAlignment="1">
      <alignment horizontal="left"/>
    </xf>
    <xf numFmtId="170" fontId="95" fillId="87" borderId="16" xfId="182" applyNumberFormat="1" applyFont="1" applyFill="1" applyBorder="1" applyAlignment="1">
      <alignment horizontal="left"/>
    </xf>
    <xf numFmtId="49" fontId="95" fillId="46" borderId="16" xfId="182" applyNumberFormat="1" applyFont="1" applyFill="1" applyBorder="1" applyAlignment="1">
      <alignment horizontal="center"/>
    </xf>
    <xf numFmtId="0" fontId="96" fillId="0" borderId="0" xfId="182" applyFont="1" applyAlignment="1"/>
    <xf numFmtId="0" fontId="97" fillId="0" borderId="16" xfId="182" applyFont="1" applyBorder="1" applyAlignment="1"/>
    <xf numFmtId="0" fontId="97" fillId="0" borderId="16" xfId="182" applyFont="1" applyFill="1" applyBorder="1" applyAlignment="1"/>
    <xf numFmtId="1" fontId="97" fillId="0" borderId="16" xfId="182" applyNumberFormat="1" applyFont="1" applyFill="1" applyBorder="1" applyAlignment="1"/>
    <xf numFmtId="14" fontId="97" fillId="0" borderId="16" xfId="182" applyNumberFormat="1" applyFont="1" applyBorder="1" applyAlignment="1">
      <alignment horizontal="right"/>
    </xf>
    <xf numFmtId="0" fontId="97" fillId="0" borderId="16" xfId="182" applyFont="1" applyBorder="1" applyAlignment="1">
      <alignment horizontal="left"/>
    </xf>
    <xf numFmtId="1" fontId="97" fillId="0" borderId="16" xfId="182" applyNumberFormat="1" applyFont="1" applyFill="1" applyBorder="1" applyAlignment="1">
      <alignment horizontal="left"/>
    </xf>
    <xf numFmtId="0" fontId="97" fillId="0" borderId="16" xfId="183" applyFont="1" applyBorder="1" applyAlignment="1">
      <alignment horizontal="left"/>
    </xf>
    <xf numFmtId="0" fontId="97" fillId="61" borderId="16" xfId="184" applyFont="1" applyFill="1" applyBorder="1" applyAlignment="1">
      <alignment horizontal="left"/>
    </xf>
    <xf numFmtId="0" fontId="97" fillId="0" borderId="16" xfId="183" applyNumberFormat="1" applyFont="1" applyBorder="1" applyAlignment="1"/>
    <xf numFmtId="38" fontId="97" fillId="0" borderId="16" xfId="182" applyNumberFormat="1" applyFont="1" applyFill="1" applyBorder="1" applyAlignment="1">
      <alignment horizontal="right"/>
    </xf>
    <xf numFmtId="38" fontId="97" fillId="0" borderId="16" xfId="185" applyNumberFormat="1" applyFont="1" applyFill="1" applyBorder="1" applyAlignment="1">
      <alignment horizontal="right"/>
    </xf>
    <xf numFmtId="0" fontId="98" fillId="0" borderId="0" xfId="182" applyFont="1" applyAlignment="1"/>
    <xf numFmtId="0" fontId="97" fillId="0" borderId="16" xfId="186" applyNumberFormat="1" applyFont="1" applyBorder="1" applyAlignment="1"/>
    <xf numFmtId="0" fontId="97" fillId="0" borderId="16" xfId="186" applyFont="1" applyBorder="1" applyAlignment="1">
      <alignment horizontal="left"/>
    </xf>
    <xf numFmtId="38" fontId="97" fillId="0" borderId="16" xfId="186" applyNumberFormat="1" applyFont="1" applyFill="1" applyBorder="1" applyAlignment="1">
      <alignment horizontal="right"/>
    </xf>
    <xf numFmtId="0" fontId="99" fillId="0" borderId="16" xfId="187" applyFont="1" applyFill="1" applyBorder="1" applyAlignment="1"/>
    <xf numFmtId="0" fontId="97" fillId="0" borderId="16" xfId="188" applyFont="1" applyBorder="1" applyAlignment="1">
      <alignment horizontal="left"/>
    </xf>
    <xf numFmtId="38" fontId="97" fillId="0" borderId="16" xfId="188" applyNumberFormat="1" applyFont="1" applyFill="1" applyBorder="1" applyAlignment="1">
      <alignment horizontal="right"/>
    </xf>
    <xf numFmtId="171" fontId="97" fillId="0" borderId="16" xfId="188" applyNumberFormat="1" applyFont="1" applyFill="1" applyBorder="1" applyAlignment="1">
      <alignment horizontal="right"/>
    </xf>
    <xf numFmtId="0" fontId="90" fillId="0" borderId="0" xfId="182"/>
    <xf numFmtId="0" fontId="0" fillId="0" borderId="0" xfId="0" applyFill="1" applyAlignment="1">
      <alignment horizontal="left"/>
    </xf>
    <xf numFmtId="165" fontId="4" fillId="0" borderId="0" xfId="1" applyNumberFormat="1" applyFont="1" applyFill="1"/>
    <xf numFmtId="0" fontId="69" fillId="0" borderId="0" xfId="0" applyFont="1"/>
    <xf numFmtId="0" fontId="69" fillId="40" borderId="0" xfId="0" applyFont="1" applyFill="1"/>
    <xf numFmtId="0" fontId="0" fillId="61" borderId="0" xfId="0" applyFill="1" applyAlignment="1">
      <alignment horizontal="left" wrapText="1"/>
    </xf>
    <xf numFmtId="0" fontId="0" fillId="61" borderId="0" xfId="0" applyFill="1" applyBorder="1" applyAlignment="1">
      <alignment vertical="center"/>
    </xf>
    <xf numFmtId="0" fontId="78" fillId="61" borderId="13" xfId="0" applyFont="1" applyFill="1" applyBorder="1" applyAlignment="1">
      <alignment horizontal="center" vertical="center" wrapText="1"/>
    </xf>
    <xf numFmtId="0" fontId="0" fillId="61" borderId="0" xfId="0" applyFill="1" applyAlignment="1">
      <alignment vertical="center"/>
    </xf>
    <xf numFmtId="0" fontId="66" fillId="61" borderId="16" xfId="0" applyFont="1" applyFill="1" applyBorder="1" applyAlignment="1">
      <alignment horizontal="left" vertical="center" wrapText="1"/>
    </xf>
    <xf numFmtId="0" fontId="78" fillId="61" borderId="16" xfId="0" applyFont="1" applyFill="1" applyBorder="1" applyAlignment="1">
      <alignment horizontal="center" vertical="center" wrapText="1"/>
    </xf>
    <xf numFmtId="0" fontId="78" fillId="61" borderId="94" xfId="0" applyFont="1" applyFill="1" applyBorder="1" applyAlignment="1">
      <alignment horizontal="center" vertical="center" wrapText="1"/>
    </xf>
    <xf numFmtId="0" fontId="78" fillId="61" borderId="23" xfId="0" applyFont="1" applyFill="1" applyBorder="1" applyAlignment="1">
      <alignment horizontal="center" vertical="center" wrapText="1"/>
    </xf>
    <xf numFmtId="0" fontId="17" fillId="35" borderId="0" xfId="0" applyFont="1" applyFill="1"/>
    <xf numFmtId="0" fontId="17" fillId="35" borderId="0" xfId="0" applyFont="1" applyFill="1" applyAlignment="1">
      <alignment horizontal="left"/>
    </xf>
    <xf numFmtId="0" fontId="17" fillId="61" borderId="0" xfId="0" applyFont="1" applyFill="1"/>
    <xf numFmtId="0" fontId="69" fillId="61" borderId="0" xfId="0" applyFont="1" applyFill="1"/>
    <xf numFmtId="0" fontId="17" fillId="61" borderId="0" xfId="0" applyFont="1" applyFill="1" applyAlignment="1">
      <alignment horizontal="left"/>
    </xf>
    <xf numFmtId="0" fontId="0" fillId="61" borderId="0" xfId="0" applyFill="1" applyAlignment="1">
      <alignment horizontal="left"/>
    </xf>
    <xf numFmtId="0" fontId="0" fillId="61" borderId="0" xfId="0" applyFill="1" applyAlignment="1">
      <alignment horizontal="left" indent="2"/>
    </xf>
    <xf numFmtId="0" fontId="0" fillId="0" borderId="0" xfId="1" applyNumberFormat="1" applyFont="1" applyBorder="1"/>
    <xf numFmtId="14" fontId="0" fillId="0" borderId="0" xfId="1" applyNumberFormat="1" applyFont="1" applyBorder="1"/>
    <xf numFmtId="0" fontId="0" fillId="0" borderId="0" xfId="0" applyAlignment="1"/>
    <xf numFmtId="14" fontId="0" fillId="0" borderId="0" xfId="0" applyNumberFormat="1" applyFont="1" applyAlignment="1">
      <alignment vertical="top"/>
    </xf>
    <xf numFmtId="14" fontId="0" fillId="0" borderId="0" xfId="0" applyNumberFormat="1" applyFont="1"/>
    <xf numFmtId="167" fontId="81" fillId="64" borderId="0" xfId="0" applyNumberFormat="1" applyFont="1" applyFill="1" applyBorder="1"/>
    <xf numFmtId="0" fontId="81" fillId="64" borderId="0" xfId="0" applyFont="1" applyFill="1" applyBorder="1"/>
    <xf numFmtId="0" fontId="81" fillId="64" borderId="78" xfId="0" applyFont="1" applyFill="1" applyBorder="1" applyAlignment="1">
      <alignment horizontal="right"/>
    </xf>
    <xf numFmtId="0" fontId="81" fillId="64" borderId="78" xfId="0" applyFont="1" applyFill="1" applyBorder="1"/>
    <xf numFmtId="0" fontId="81" fillId="64" borderId="78" xfId="0" applyFont="1" applyFill="1" applyBorder="1" applyAlignment="1">
      <alignment horizontal="left"/>
    </xf>
    <xf numFmtId="0" fontId="0" fillId="61" borderId="0" xfId="0" applyFill="1" applyBorder="1" applyAlignment="1">
      <alignment vertical="center" wrapText="1"/>
    </xf>
    <xf numFmtId="14" fontId="22" fillId="72" borderId="21" xfId="0" applyNumberFormat="1" applyFont="1" applyFill="1" applyBorder="1" applyAlignment="1">
      <alignment vertical="center" wrapText="1"/>
    </xf>
    <xf numFmtId="0" fontId="0" fillId="61" borderId="55" xfId="0" applyFill="1" applyBorder="1" applyAlignment="1">
      <alignment vertical="center" wrapText="1"/>
    </xf>
    <xf numFmtId="14" fontId="0" fillId="0" borderId="0" xfId="0" applyNumberFormat="1" applyFont="1" applyFill="1" applyAlignment="1">
      <alignment vertical="top"/>
    </xf>
    <xf numFmtId="14" fontId="0" fillId="0" borderId="0" xfId="0" applyNumberFormat="1" applyFont="1" applyFill="1"/>
    <xf numFmtId="0" fontId="0" fillId="68" borderId="0" xfId="0" applyFont="1" applyFill="1"/>
    <xf numFmtId="14" fontId="19" fillId="0" borderId="0" xfId="0" applyNumberFormat="1" applyFont="1"/>
    <xf numFmtId="0" fontId="0" fillId="72" borderId="0" xfId="0" applyFont="1" applyFill="1"/>
    <xf numFmtId="0" fontId="0" fillId="35" borderId="0" xfId="0" applyFont="1" applyFill="1"/>
    <xf numFmtId="0" fontId="0" fillId="82" borderId="70" xfId="0" applyFill="1" applyBorder="1" applyAlignment="1">
      <alignment vertical="center"/>
    </xf>
    <xf numFmtId="0" fontId="0" fillId="61" borderId="44" xfId="0" applyFill="1" applyBorder="1"/>
    <xf numFmtId="0" fontId="19" fillId="54" borderId="71" xfId="0" applyFont="1" applyFill="1" applyBorder="1" applyAlignment="1">
      <alignment horizontal="left" vertical="center" wrapText="1" indent="2"/>
    </xf>
    <xf numFmtId="0" fontId="19" fillId="54" borderId="71" xfId="0" applyFont="1" applyFill="1" applyBorder="1" applyAlignment="1">
      <alignment horizontal="left" wrapText="1" indent="4"/>
    </xf>
    <xf numFmtId="0" fontId="0" fillId="61" borderId="97" xfId="0" applyFill="1" applyBorder="1"/>
    <xf numFmtId="0" fontId="19" fillId="41" borderId="21" xfId="0" applyFont="1" applyFill="1" applyBorder="1" applyAlignment="1">
      <alignment wrapText="1"/>
    </xf>
    <xf numFmtId="0" fontId="0" fillId="61" borderId="55" xfId="0" applyFill="1" applyBorder="1"/>
    <xf numFmtId="0" fontId="19" fillId="54" borderId="72" xfId="0" applyFont="1" applyFill="1" applyBorder="1" applyAlignment="1">
      <alignment horizontal="left" wrapText="1" indent="4"/>
    </xf>
    <xf numFmtId="0" fontId="19" fillId="79" borderId="71" xfId="0" applyFont="1" applyFill="1" applyBorder="1" applyAlignment="1">
      <alignment horizontal="left" vertical="center" wrapText="1" indent="2"/>
    </xf>
    <xf numFmtId="0" fontId="19" fillId="79" borderId="71" xfId="0" applyFont="1" applyFill="1" applyBorder="1" applyAlignment="1">
      <alignment horizontal="left" wrapText="1" indent="4"/>
    </xf>
    <xf numFmtId="0" fontId="19" fillId="79" borderId="72" xfId="0" applyFont="1" applyFill="1" applyBorder="1" applyAlignment="1">
      <alignment horizontal="left" wrapText="1" indent="4"/>
    </xf>
    <xf numFmtId="0" fontId="19" fillId="66" borderId="70" xfId="0" applyFont="1" applyFill="1" applyBorder="1" applyAlignment="1">
      <alignment wrapText="1"/>
    </xf>
    <xf numFmtId="0" fontId="19" fillId="66" borderId="71" xfId="0" applyFont="1" applyFill="1" applyBorder="1" applyAlignment="1">
      <alignment wrapText="1"/>
    </xf>
    <xf numFmtId="0" fontId="19" fillId="76" borderId="72" xfId="0" applyFont="1" applyFill="1" applyBorder="1" applyAlignment="1">
      <alignment wrapText="1"/>
    </xf>
    <xf numFmtId="0" fontId="0" fillId="61" borderId="21" xfId="0" applyFill="1" applyBorder="1"/>
    <xf numFmtId="0" fontId="19" fillId="81" borderId="21" xfId="0" applyFont="1" applyFill="1" applyBorder="1" applyAlignment="1">
      <alignment wrapText="1"/>
    </xf>
    <xf numFmtId="14" fontId="22" fillId="61" borderId="22" xfId="0" applyNumberFormat="1" applyFont="1" applyFill="1" applyBorder="1" applyAlignment="1">
      <alignment vertical="center"/>
    </xf>
    <xf numFmtId="0" fontId="19" fillId="61" borderId="98" xfId="0" applyFont="1" applyFill="1" applyBorder="1" applyAlignment="1">
      <alignment wrapText="1"/>
    </xf>
    <xf numFmtId="0" fontId="80" fillId="54" borderId="70" xfId="0" applyFont="1" applyFill="1" applyBorder="1" applyAlignment="1">
      <alignment wrapText="1"/>
    </xf>
    <xf numFmtId="0" fontId="80" fillId="79" borderId="70" xfId="0" applyFont="1" applyFill="1" applyBorder="1" applyAlignment="1">
      <alignment wrapText="1"/>
    </xf>
    <xf numFmtId="0" fontId="0" fillId="0" borderId="0" xfId="0" applyFont="1" applyAlignment="1">
      <alignment horizontal="center"/>
    </xf>
    <xf numFmtId="0" fontId="0" fillId="0" borderId="0" xfId="1" applyNumberFormat="1" applyFont="1" applyAlignment="1">
      <alignment horizontal="center"/>
    </xf>
    <xf numFmtId="169" fontId="22" fillId="72" borderId="21" xfId="0" applyNumberFormat="1" applyFont="1" applyFill="1" applyBorder="1" applyAlignment="1">
      <alignment vertical="center"/>
    </xf>
    <xf numFmtId="1" fontId="0" fillId="0" borderId="0" xfId="0" applyNumberFormat="1" applyFill="1"/>
    <xf numFmtId="1" fontId="0" fillId="0" borderId="0" xfId="0" applyNumberFormat="1"/>
    <xf numFmtId="1" fontId="0" fillId="0" borderId="0" xfId="0" applyNumberFormat="1" applyFont="1"/>
    <xf numFmtId="0" fontId="131" fillId="0" borderId="0" xfId="0" applyFont="1"/>
    <xf numFmtId="165" fontId="0" fillId="84" borderId="77" xfId="1" applyNumberFormat="1" applyFont="1" applyFill="1" applyBorder="1"/>
    <xf numFmtId="165" fontId="0" fillId="84" borderId="79" xfId="1" applyNumberFormat="1" applyFont="1" applyFill="1" applyBorder="1"/>
    <xf numFmtId="165" fontId="0" fillId="84" borderId="0" xfId="1" applyNumberFormat="1" applyFont="1" applyFill="1" applyBorder="1"/>
    <xf numFmtId="165" fontId="0" fillId="84" borderId="78" xfId="1" applyNumberFormat="1" applyFont="1" applyFill="1" applyBorder="1"/>
    <xf numFmtId="165" fontId="0" fillId="0" borderId="77" xfId="1" applyNumberFormat="1" applyFont="1" applyBorder="1"/>
    <xf numFmtId="165" fontId="0" fillId="0" borderId="79" xfId="1" applyNumberFormat="1" applyFont="1" applyBorder="1"/>
    <xf numFmtId="43" fontId="0" fillId="0" borderId="0" xfId="0" applyNumberFormat="1"/>
    <xf numFmtId="165" fontId="0" fillId="84" borderId="0" xfId="1" applyNumberFormat="1" applyFont="1" applyFill="1"/>
    <xf numFmtId="165" fontId="0" fillId="64" borderId="0" xfId="1" applyNumberFormat="1" applyFont="1" applyFill="1"/>
    <xf numFmtId="165" fontId="0" fillId="66" borderId="0" xfId="1" applyNumberFormat="1" applyFont="1" applyFill="1"/>
    <xf numFmtId="164" fontId="17" fillId="0" borderId="0" xfId="1" applyNumberFormat="1" applyFont="1"/>
    <xf numFmtId="165" fontId="132" fillId="0" borderId="0" xfId="1" applyNumberFormat="1" applyFont="1"/>
    <xf numFmtId="164" fontId="133" fillId="0" borderId="0" xfId="1" applyNumberFormat="1" applyFont="1"/>
    <xf numFmtId="2" fontId="17" fillId="0" borderId="0" xfId="0" applyNumberFormat="1" applyFont="1" applyFill="1"/>
    <xf numFmtId="0" fontId="0" fillId="61" borderId="0" xfId="0" applyFont="1" applyFill="1" applyAlignment="1">
      <alignment vertical="center"/>
    </xf>
    <xf numFmtId="0" fontId="127" fillId="61" borderId="36" xfId="0" applyFont="1" applyFill="1" applyBorder="1" applyAlignment="1">
      <alignment horizontal="center" vertical="center" wrapText="1"/>
    </xf>
    <xf numFmtId="0" fontId="127" fillId="61" borderId="36" xfId="0" applyFont="1" applyFill="1" applyBorder="1" applyAlignment="1">
      <alignment vertical="center" wrapText="1"/>
    </xf>
    <xf numFmtId="0" fontId="0" fillId="0" borderId="0" xfId="0" applyFont="1" applyAlignment="1">
      <alignment vertical="center"/>
    </xf>
    <xf numFmtId="0" fontId="136" fillId="63" borderId="76" xfId="0" applyFont="1" applyFill="1" applyBorder="1" applyAlignment="1">
      <alignment vertical="center" wrapText="1"/>
    </xf>
    <xf numFmtId="0" fontId="136" fillId="63" borderId="36" xfId="0" applyFont="1" applyFill="1" applyBorder="1" applyAlignment="1">
      <alignment vertical="center" wrapText="1"/>
    </xf>
    <xf numFmtId="0" fontId="136" fillId="61" borderId="47" xfId="0" applyFont="1" applyFill="1" applyBorder="1" applyAlignment="1">
      <alignment vertical="center" wrapText="1"/>
    </xf>
    <xf numFmtId="0" fontId="78" fillId="61" borderId="47" xfId="0" applyFont="1" applyFill="1" applyBorder="1" applyAlignment="1">
      <alignment horizontal="center" vertical="center" wrapText="1"/>
    </xf>
    <xf numFmtId="0" fontId="136" fillId="63" borderId="18" xfId="0" applyFont="1" applyFill="1" applyBorder="1" applyAlignment="1">
      <alignment vertical="center" wrapText="1"/>
    </xf>
    <xf numFmtId="0" fontId="138" fillId="61" borderId="13" xfId="0" applyFont="1" applyFill="1" applyBorder="1" applyAlignment="1">
      <alignment vertical="center" wrapText="1"/>
    </xf>
    <xf numFmtId="0" fontId="138" fillId="61" borderId="13" xfId="0" applyFont="1" applyFill="1" applyBorder="1" applyAlignment="1">
      <alignment horizontal="left" vertical="center" wrapText="1"/>
    </xf>
    <xf numFmtId="0" fontId="138" fillId="61" borderId="13" xfId="0" applyFont="1" applyFill="1" applyBorder="1" applyAlignment="1">
      <alignment horizontal="center" vertical="center" wrapText="1"/>
    </xf>
    <xf numFmtId="0" fontId="139" fillId="61" borderId="26" xfId="0" applyFont="1" applyFill="1" applyBorder="1" applyAlignment="1">
      <alignment vertical="center" wrapText="1"/>
    </xf>
    <xf numFmtId="0" fontId="138" fillId="61" borderId="14" xfId="0" applyFont="1" applyFill="1" applyBorder="1" applyAlignment="1">
      <alignment vertical="center" wrapText="1"/>
    </xf>
    <xf numFmtId="0" fontId="138" fillId="61" borderId="16" xfId="0" applyFont="1" applyFill="1" applyBorder="1" applyAlignment="1">
      <alignment vertical="center" wrapText="1"/>
    </xf>
    <xf numFmtId="0" fontId="138" fillId="61" borderId="16" xfId="0" applyFont="1" applyFill="1" applyBorder="1" applyAlignment="1">
      <alignment horizontal="left" vertical="center" wrapText="1"/>
    </xf>
    <xf numFmtId="0" fontId="138" fillId="61" borderId="16" xfId="0" applyFont="1" applyFill="1" applyBorder="1" applyAlignment="1">
      <alignment horizontal="center" vertical="center" wrapText="1"/>
    </xf>
    <xf numFmtId="0" fontId="138" fillId="35" borderId="16" xfId="0" applyFont="1" applyFill="1" applyBorder="1" applyAlignment="1">
      <alignment vertical="center" wrapText="1"/>
    </xf>
    <xf numFmtId="0" fontId="139" fillId="35" borderId="16" xfId="0" applyFont="1" applyFill="1" applyBorder="1" applyAlignment="1">
      <alignment vertical="center" wrapText="1"/>
    </xf>
    <xf numFmtId="0" fontId="138" fillId="61" borderId="17" xfId="0" applyFont="1" applyFill="1" applyBorder="1" applyAlignment="1">
      <alignment vertical="center" wrapText="1"/>
    </xf>
    <xf numFmtId="0" fontId="139" fillId="61" borderId="16" xfId="0" applyFont="1" applyFill="1" applyBorder="1" applyAlignment="1">
      <alignment vertical="center" wrapText="1"/>
    </xf>
    <xf numFmtId="0" fontId="138" fillId="61" borderId="94" xfId="0" applyFont="1" applyFill="1" applyBorder="1" applyAlignment="1">
      <alignment vertical="center" wrapText="1"/>
    </xf>
    <xf numFmtId="0" fontId="138" fillId="61" borderId="94" xfId="0" applyFont="1" applyFill="1" applyBorder="1" applyAlignment="1">
      <alignment horizontal="center" vertical="center" wrapText="1"/>
    </xf>
    <xf numFmtId="0" fontId="138" fillId="35" borderId="94" xfId="0" applyFont="1" applyFill="1" applyBorder="1" applyAlignment="1">
      <alignment vertical="center" wrapText="1"/>
    </xf>
    <xf numFmtId="0" fontId="3" fillId="35" borderId="16" xfId="0" applyFont="1" applyFill="1" applyBorder="1" applyAlignment="1">
      <alignment vertical="center" wrapText="1"/>
    </xf>
    <xf numFmtId="0" fontId="138" fillId="61" borderId="95" xfId="0" applyFont="1" applyFill="1" applyBorder="1" applyAlignment="1">
      <alignment vertical="center" wrapText="1"/>
    </xf>
    <xf numFmtId="0" fontId="138" fillId="61" borderId="36" xfId="0" applyFont="1" applyFill="1" applyBorder="1" applyAlignment="1">
      <alignment vertical="center" wrapText="1"/>
    </xf>
    <xf numFmtId="0" fontId="66" fillId="61" borderId="36" xfId="0" applyFont="1" applyFill="1" applyBorder="1" applyAlignment="1">
      <alignment horizontal="left" vertical="center" wrapText="1"/>
    </xf>
    <xf numFmtId="0" fontId="138" fillId="61" borderId="36" xfId="0" applyFont="1" applyFill="1" applyBorder="1" applyAlignment="1">
      <alignment horizontal="center" vertical="center" wrapText="1"/>
    </xf>
    <xf numFmtId="0" fontId="78" fillId="61" borderId="36" xfId="0" applyFont="1" applyFill="1" applyBorder="1" applyAlignment="1">
      <alignment horizontal="center" vertical="center" wrapText="1"/>
    </xf>
    <xf numFmtId="0" fontId="138" fillId="61" borderId="32" xfId="0" applyFont="1" applyFill="1" applyBorder="1" applyAlignment="1">
      <alignment vertical="center" wrapText="1"/>
    </xf>
    <xf numFmtId="0" fontId="3" fillId="61" borderId="99" xfId="0" applyFont="1" applyFill="1" applyBorder="1" applyAlignment="1">
      <alignment vertical="center" textRotation="90" wrapText="1"/>
    </xf>
    <xf numFmtId="0" fontId="137" fillId="61" borderId="18" xfId="0" applyFont="1" applyFill="1" applyBorder="1" applyAlignment="1">
      <alignment horizontal="center" vertical="center"/>
    </xf>
    <xf numFmtId="0" fontId="138" fillId="61" borderId="18" xfId="0" applyFont="1" applyFill="1" applyBorder="1" applyAlignment="1">
      <alignment vertical="center" wrapText="1"/>
    </xf>
    <xf numFmtId="0" fontId="138" fillId="61" borderId="18" xfId="0" applyFont="1" applyFill="1" applyBorder="1" applyAlignment="1">
      <alignment horizontal="left" vertical="center" wrapText="1"/>
    </xf>
    <xf numFmtId="0" fontId="138" fillId="61" borderId="18" xfId="0" applyFont="1" applyFill="1" applyBorder="1" applyAlignment="1">
      <alignment vertical="center"/>
    </xf>
    <xf numFmtId="0" fontId="138" fillId="35" borderId="18" xfId="0" applyFont="1" applyFill="1" applyBorder="1" applyAlignment="1">
      <alignment vertical="center" wrapText="1"/>
    </xf>
    <xf numFmtId="0" fontId="138" fillId="61" borderId="19" xfId="0" applyFont="1" applyFill="1" applyBorder="1" applyAlignment="1">
      <alignment vertical="center" wrapText="1"/>
    </xf>
    <xf numFmtId="0" fontId="138" fillId="61" borderId="23" xfId="0" applyFont="1" applyFill="1" applyBorder="1" applyAlignment="1">
      <alignment vertical="center" wrapText="1"/>
    </xf>
    <xf numFmtId="0" fontId="139" fillId="61" borderId="23" xfId="0" applyFont="1" applyFill="1" applyBorder="1" applyAlignment="1">
      <alignment horizontal="left" vertical="center" wrapText="1"/>
    </xf>
    <xf numFmtId="0" fontId="137" fillId="61" borderId="23" xfId="0" applyFont="1" applyFill="1" applyBorder="1" applyAlignment="1">
      <alignment horizontal="center" vertical="center" wrapText="1"/>
    </xf>
    <xf numFmtId="0" fontId="138" fillId="61" borderId="23" xfId="0" applyFont="1" applyFill="1" applyBorder="1" applyAlignment="1">
      <alignment horizontal="center" vertical="center" wrapText="1"/>
    </xf>
    <xf numFmtId="0" fontId="138" fillId="35" borderId="23" xfId="0" applyFont="1" applyFill="1" applyBorder="1" applyAlignment="1">
      <alignment vertical="center" wrapText="1"/>
    </xf>
    <xf numFmtId="0" fontId="138" fillId="61" borderId="23" xfId="0" applyFont="1" applyFill="1" applyBorder="1" applyAlignment="1">
      <alignment vertical="center"/>
    </xf>
    <xf numFmtId="0" fontId="138" fillId="61" borderId="24" xfId="0" applyFont="1" applyFill="1" applyBorder="1" applyAlignment="1">
      <alignment vertical="center" wrapText="1"/>
    </xf>
    <xf numFmtId="0" fontId="138" fillId="61" borderId="23" xfId="0" applyFont="1" applyFill="1" applyBorder="1" applyAlignment="1">
      <alignment horizontal="left" vertical="center" wrapText="1"/>
    </xf>
    <xf numFmtId="0" fontId="139" fillId="35" borderId="23" xfId="0" applyFont="1" applyFill="1" applyBorder="1" applyAlignment="1">
      <alignment vertical="center" wrapText="1"/>
    </xf>
    <xf numFmtId="0" fontId="139" fillId="61" borderId="23" xfId="0" applyFont="1" applyFill="1" applyBorder="1" applyAlignment="1">
      <alignment vertical="center" wrapText="1"/>
    </xf>
    <xf numFmtId="0" fontId="143" fillId="61" borderId="23" xfId="0" applyFont="1" applyFill="1" applyBorder="1" applyAlignment="1">
      <alignment horizontal="left" vertical="center" wrapText="1"/>
    </xf>
    <xf numFmtId="0" fontId="134" fillId="0" borderId="0" xfId="0" applyFont="1"/>
    <xf numFmtId="0" fontId="138" fillId="61" borderId="100" xfId="0" applyFont="1" applyFill="1" applyBorder="1" applyAlignment="1">
      <alignment vertical="center" wrapText="1"/>
    </xf>
    <xf numFmtId="0" fontId="138" fillId="61" borderId="97" xfId="0" applyFont="1" applyFill="1" applyBorder="1" applyAlignment="1">
      <alignment vertical="center" wrapText="1"/>
    </xf>
    <xf numFmtId="0" fontId="138" fillId="61" borderId="96" xfId="0" applyFont="1" applyFill="1" applyBorder="1" applyAlignment="1">
      <alignment vertical="center" wrapText="1"/>
    </xf>
    <xf numFmtId="0" fontId="138" fillId="61" borderId="98" xfId="0" applyFont="1" applyFill="1" applyBorder="1" applyAlignment="1">
      <alignment vertical="center" wrapText="1"/>
    </xf>
    <xf numFmtId="0" fontId="139" fillId="35" borderId="0" xfId="0" applyFont="1" applyFill="1"/>
    <xf numFmtId="0" fontId="73" fillId="72" borderId="21" xfId="0" applyFont="1" applyFill="1" applyBorder="1" applyAlignment="1">
      <alignment horizontal="right" vertical="center" wrapText="1"/>
    </xf>
    <xf numFmtId="0" fontId="35" fillId="78" borderId="71" xfId="0" applyFont="1" applyFill="1" applyBorder="1" applyAlignment="1">
      <alignment horizontal="left" vertical="center" indent="2"/>
    </xf>
    <xf numFmtId="38" fontId="0" fillId="61" borderId="53" xfId="0" applyNumberFormat="1" applyFill="1" applyBorder="1" applyAlignment="1">
      <alignment vertical="center"/>
    </xf>
    <xf numFmtId="0" fontId="144" fillId="39" borderId="0" xfId="176" applyFont="1" applyFill="1" applyAlignment="1">
      <alignment horizontal="center" vertical="center"/>
    </xf>
    <xf numFmtId="165" fontId="4" fillId="40" borderId="0" xfId="1" applyNumberFormat="1" applyFont="1" applyFill="1"/>
    <xf numFmtId="0" fontId="35" fillId="72" borderId="71" xfId="0" applyFont="1" applyFill="1" applyBorder="1" applyAlignment="1">
      <alignment horizontal="left" vertical="center" indent="2"/>
    </xf>
    <xf numFmtId="0" fontId="0" fillId="0" borderId="0" xfId="0" applyFont="1" applyFill="1" applyBorder="1"/>
    <xf numFmtId="0" fontId="19" fillId="35" borderId="31" xfId="0" applyFont="1" applyFill="1" applyBorder="1"/>
    <xf numFmtId="0" fontId="19" fillId="35" borderId="38" xfId="0" applyFont="1" applyFill="1" applyBorder="1"/>
    <xf numFmtId="0" fontId="19" fillId="35" borderId="0" xfId="0" applyFont="1" applyFill="1" applyBorder="1"/>
    <xf numFmtId="167" fontId="0" fillId="0" borderId="0" xfId="1" applyNumberFormat="1" applyFont="1" applyFill="1" applyBorder="1"/>
    <xf numFmtId="167" fontId="0" fillId="0" borderId="78" xfId="1" applyNumberFormat="1" applyFont="1" applyFill="1" applyBorder="1"/>
    <xf numFmtId="0" fontId="146" fillId="61" borderId="13" xfId="0" applyFont="1" applyFill="1" applyBorder="1" applyAlignment="1">
      <alignment horizontal="center" vertical="center" wrapText="1"/>
    </xf>
    <xf numFmtId="0" fontId="138" fillId="61" borderId="101" xfId="0" applyFont="1" applyFill="1" applyBorder="1" applyAlignment="1">
      <alignment vertical="center" wrapText="1"/>
    </xf>
    <xf numFmtId="0" fontId="146" fillId="61" borderId="16" xfId="0" applyFont="1" applyFill="1" applyBorder="1" applyAlignment="1">
      <alignment horizontal="center" vertical="center"/>
    </xf>
    <xf numFmtId="0" fontId="146" fillId="61" borderId="16" xfId="0" applyFont="1" applyFill="1" applyBorder="1" applyAlignment="1">
      <alignment horizontal="center" vertical="center" wrapText="1"/>
    </xf>
    <xf numFmtId="0" fontId="138" fillId="61" borderId="20" xfId="0" applyFont="1" applyFill="1" applyBorder="1" applyAlignment="1">
      <alignment vertical="center" wrapText="1"/>
    </xf>
    <xf numFmtId="0" fontId="146" fillId="61" borderId="94" xfId="0" applyFont="1" applyFill="1" applyBorder="1" applyAlignment="1">
      <alignment horizontal="center" vertical="center"/>
    </xf>
    <xf numFmtId="0" fontId="146" fillId="61" borderId="94" xfId="0" applyFont="1" applyFill="1" applyBorder="1" applyAlignment="1">
      <alignment horizontal="center" vertical="center" wrapText="1"/>
    </xf>
    <xf numFmtId="0" fontId="138" fillId="61" borderId="102" xfId="0" applyFont="1" applyFill="1" applyBorder="1" applyAlignment="1">
      <alignment vertical="center" wrapText="1"/>
    </xf>
    <xf numFmtId="0" fontId="146" fillId="61" borderId="36" xfId="0" applyFont="1" applyFill="1" applyBorder="1" applyAlignment="1">
      <alignment horizontal="center" vertical="center"/>
    </xf>
    <xf numFmtId="0" fontId="146" fillId="61" borderId="36" xfId="0" applyFont="1" applyFill="1" applyBorder="1" applyAlignment="1">
      <alignment horizontal="center" vertical="center" wrapText="1"/>
    </xf>
    <xf numFmtId="0" fontId="138" fillId="61" borderId="31" xfId="0" applyFont="1" applyFill="1" applyBorder="1" applyAlignment="1">
      <alignment vertical="center" wrapText="1"/>
    </xf>
    <xf numFmtId="0" fontId="146" fillId="61" borderId="18" xfId="0" applyFont="1" applyFill="1" applyBorder="1" applyAlignment="1">
      <alignment horizontal="center" vertical="center"/>
    </xf>
    <xf numFmtId="0" fontId="138" fillId="61" borderId="58" xfId="0" applyFont="1" applyFill="1" applyBorder="1" applyAlignment="1">
      <alignment vertical="center" wrapText="1"/>
    </xf>
    <xf numFmtId="0" fontId="146" fillId="61" borderId="23" xfId="0" applyFont="1" applyFill="1" applyBorder="1" applyAlignment="1">
      <alignment horizontal="center" vertical="center" wrapText="1"/>
    </xf>
    <xf numFmtId="0" fontId="34" fillId="66" borderId="0" xfId="120" applyFont="1" applyFill="1" applyBorder="1" applyAlignment="1">
      <alignment horizontal="left"/>
    </xf>
    <xf numFmtId="0" fontId="34" fillId="0" borderId="0" xfId="0" applyFont="1" applyFill="1" applyBorder="1" applyAlignment="1">
      <alignment horizontal="left"/>
    </xf>
    <xf numFmtId="0" fontId="21" fillId="66" borderId="0" xfId="0" applyFont="1" applyFill="1"/>
    <xf numFmtId="0" fontId="21" fillId="0" borderId="0" xfId="0" applyFont="1" applyFill="1"/>
    <xf numFmtId="2" fontId="21" fillId="0" borderId="0" xfId="0" applyNumberFormat="1" applyFont="1" applyFill="1"/>
    <xf numFmtId="0" fontId="21" fillId="0" borderId="0" xfId="0" applyFont="1" applyBorder="1" applyAlignment="1">
      <alignment horizontal="left"/>
    </xf>
    <xf numFmtId="0" fontId="21" fillId="0" borderId="0" xfId="0" applyFont="1"/>
    <xf numFmtId="0" fontId="21" fillId="86" borderId="0" xfId="0" applyFont="1" applyFill="1"/>
    <xf numFmtId="2" fontId="21" fillId="0" borderId="0" xfId="0" applyNumberFormat="1" applyFont="1" applyFill="1" applyAlignment="1">
      <alignment horizontal="left"/>
    </xf>
    <xf numFmtId="2" fontId="21" fillId="0" borderId="0" xfId="0" applyNumberFormat="1" applyFont="1"/>
    <xf numFmtId="0" fontId="21" fillId="0" borderId="0" xfId="0" applyFont="1" applyFill="1" applyBorder="1" applyAlignment="1">
      <alignment horizontal="left"/>
    </xf>
    <xf numFmtId="0" fontId="34" fillId="0" borderId="0" xfId="0" applyFont="1" applyFill="1" applyBorder="1"/>
    <xf numFmtId="0" fontId="21" fillId="0" borderId="0" xfId="0" applyFont="1" applyBorder="1"/>
    <xf numFmtId="2" fontId="21" fillId="0" borderId="0" xfId="0" applyNumberFormat="1" applyFont="1" applyBorder="1"/>
    <xf numFmtId="0" fontId="148" fillId="0" borderId="0" xfId="0" applyFont="1" applyFill="1"/>
    <xf numFmtId="0" fontId="2" fillId="61" borderId="16" xfId="0" applyFont="1" applyFill="1" applyBorder="1" applyAlignment="1">
      <alignment vertical="center" wrapText="1"/>
    </xf>
    <xf numFmtId="0" fontId="2" fillId="61" borderId="18" xfId="0" applyFont="1" applyFill="1" applyBorder="1" applyAlignment="1">
      <alignment vertical="center" wrapText="1"/>
    </xf>
    <xf numFmtId="0" fontId="2" fillId="35" borderId="23" xfId="0" applyFont="1" applyFill="1" applyBorder="1" applyAlignment="1">
      <alignment vertical="center" wrapText="1"/>
    </xf>
    <xf numFmtId="0" fontId="0" fillId="35" borderId="21" xfId="0" applyFill="1" applyBorder="1" applyAlignment="1">
      <alignment vertical="center" wrapText="1"/>
    </xf>
    <xf numFmtId="10" fontId="0" fillId="0" borderId="0" xfId="111" applyNumberFormat="1" applyFont="1"/>
    <xf numFmtId="0" fontId="0" fillId="41" borderId="71" xfId="0" applyFont="1" applyFill="1" applyBorder="1" applyAlignment="1">
      <alignment vertical="top"/>
    </xf>
    <xf numFmtId="0" fontId="0" fillId="41" borderId="71" xfId="0" applyFont="1" applyFill="1" applyBorder="1" applyAlignment="1">
      <alignment vertical="top" wrapText="1"/>
    </xf>
    <xf numFmtId="14" fontId="0" fillId="41" borderId="71" xfId="0" applyNumberFormat="1" applyFont="1" applyFill="1" applyBorder="1" applyAlignment="1">
      <alignment vertical="top"/>
    </xf>
    <xf numFmtId="0" fontId="0" fillId="81" borderId="71" xfId="0" applyFont="1" applyFill="1" applyBorder="1" applyAlignment="1">
      <alignment vertical="top"/>
    </xf>
    <xf numFmtId="0" fontId="0" fillId="81" borderId="71" xfId="0" applyFont="1" applyFill="1" applyBorder="1" applyAlignment="1">
      <alignment vertical="top" wrapText="1"/>
    </xf>
    <xf numFmtId="14" fontId="0" fillId="81" borderId="71" xfId="0" applyNumberFormat="1" applyFont="1" applyFill="1" applyBorder="1" applyAlignment="1">
      <alignment vertical="top"/>
    </xf>
    <xf numFmtId="14" fontId="0" fillId="81" borderId="71" xfId="0" applyNumberFormat="1" applyFont="1" applyFill="1" applyBorder="1" applyAlignment="1">
      <alignment vertical="top" wrapText="1"/>
    </xf>
    <xf numFmtId="0" fontId="43" fillId="0" borderId="0" xfId="176" applyFont="1" applyAlignment="1">
      <alignment horizontal="left" vertical="center"/>
    </xf>
    <xf numFmtId="0" fontId="151" fillId="39" borderId="0" xfId="176" applyFont="1" applyFill="1" applyAlignment="1">
      <alignment horizontal="left" vertical="center" wrapText="1"/>
    </xf>
    <xf numFmtId="0" fontId="43" fillId="0" borderId="0" xfId="182" applyFont="1" applyAlignment="1"/>
    <xf numFmtId="0" fontId="144" fillId="39" borderId="0" xfId="176" applyFont="1" applyFill="1"/>
    <xf numFmtId="0" fontId="144" fillId="39" borderId="0" xfId="176" applyFont="1" applyFill="1" applyAlignment="1">
      <alignment horizontal="center" vertical="center" wrapText="1"/>
    </xf>
    <xf numFmtId="165" fontId="0" fillId="0" borderId="31" xfId="1" applyNumberFormat="1" applyFont="1" applyFill="1" applyBorder="1"/>
    <xf numFmtId="165" fontId="0" fillId="0" borderId="25" xfId="1" applyNumberFormat="1" applyFont="1" applyFill="1" applyBorder="1"/>
    <xf numFmtId="165" fontId="0" fillId="0" borderId="76" xfId="1" applyNumberFormat="1" applyFont="1" applyFill="1" applyBorder="1"/>
    <xf numFmtId="165" fontId="0" fillId="40" borderId="77" xfId="1" applyNumberFormat="1" applyFont="1" applyFill="1" applyBorder="1"/>
    <xf numFmtId="165" fontId="0" fillId="40" borderId="79" xfId="1" applyNumberFormat="1" applyFont="1" applyFill="1" applyBorder="1"/>
    <xf numFmtId="0" fontId="73" fillId="59" borderId="76" xfId="0" applyFont="1" applyFill="1" applyBorder="1"/>
    <xf numFmtId="0" fontId="0" fillId="33" borderId="77" xfId="0" applyFill="1" applyBorder="1"/>
    <xf numFmtId="1" fontId="0" fillId="33" borderId="77" xfId="0" applyNumberFormat="1" applyFill="1" applyBorder="1"/>
    <xf numFmtId="3" fontId="0" fillId="33" borderId="77" xfId="0" applyNumberFormat="1" applyFill="1" applyBorder="1"/>
    <xf numFmtId="0" fontId="0" fillId="33" borderId="56" xfId="0" applyFill="1" applyBorder="1"/>
    <xf numFmtId="173" fontId="0" fillId="0" borderId="0" xfId="1" applyNumberFormat="1" applyFont="1" applyFill="1"/>
    <xf numFmtId="0" fontId="70" fillId="0" borderId="0" xfId="0" applyFont="1" applyAlignment="1">
      <alignment horizontal="left" vertical="center"/>
    </xf>
    <xf numFmtId="0" fontId="69" fillId="0" borderId="0" xfId="0" applyFont="1" applyAlignment="1">
      <alignment horizontal="center"/>
    </xf>
    <xf numFmtId="165" fontId="4" fillId="0" borderId="0" xfId="1" applyNumberFormat="1" applyFont="1"/>
    <xf numFmtId="174" fontId="0" fillId="0" borderId="0" xfId="0" applyNumberFormat="1" applyFont="1"/>
    <xf numFmtId="14" fontId="0" fillId="0" borderId="0" xfId="1" applyNumberFormat="1" applyFont="1" applyFill="1" applyBorder="1"/>
    <xf numFmtId="165" fontId="0" fillId="0" borderId="31" xfId="1" applyNumberFormat="1" applyFont="1" applyBorder="1"/>
    <xf numFmtId="165" fontId="0" fillId="0" borderId="25" xfId="1" applyNumberFormat="1" applyFont="1" applyBorder="1"/>
    <xf numFmtId="165" fontId="0" fillId="0" borderId="76" xfId="1" applyNumberFormat="1" applyFont="1" applyBorder="1"/>
    <xf numFmtId="165" fontId="0" fillId="0" borderId="0" xfId="1" applyNumberFormat="1" applyFont="1" applyAlignment="1">
      <alignment horizontal="left" indent="2"/>
    </xf>
    <xf numFmtId="0" fontId="152" fillId="35" borderId="0" xfId="0" applyFont="1" applyFill="1"/>
    <xf numFmtId="0" fontId="0" fillId="35" borderId="0" xfId="0" applyFill="1"/>
    <xf numFmtId="0" fontId="34" fillId="75" borderId="0" xfId="119" applyFont="1" applyFill="1" applyBorder="1" applyAlignment="1">
      <alignment horizontal="left" vertical="center"/>
    </xf>
    <xf numFmtId="0" fontId="21" fillId="75" borderId="0" xfId="0" applyFont="1" applyFill="1" applyBorder="1" applyAlignment="1">
      <alignment horizontal="left" vertical="center"/>
    </xf>
    <xf numFmtId="2" fontId="21" fillId="75" borderId="0" xfId="0" applyNumberFormat="1" applyFont="1" applyFill="1" applyBorder="1" applyAlignment="1">
      <alignment horizontal="left" vertical="center"/>
    </xf>
    <xf numFmtId="0" fontId="21" fillId="75" borderId="0" xfId="0" applyFont="1" applyFill="1" applyBorder="1"/>
    <xf numFmtId="0" fontId="21" fillId="75" borderId="0" xfId="0" applyFont="1" applyFill="1" applyAlignment="1">
      <alignment horizontal="left" vertical="center"/>
    </xf>
    <xf numFmtId="0" fontId="34" fillId="75" borderId="0" xfId="119" applyFont="1" applyFill="1" applyBorder="1" applyAlignment="1">
      <alignment horizontal="left" vertical="center" wrapText="1"/>
    </xf>
    <xf numFmtId="0" fontId="21" fillId="75" borderId="0" xfId="118" applyFont="1" applyFill="1" applyBorder="1" applyAlignment="1">
      <alignment horizontal="left" vertical="center"/>
    </xf>
    <xf numFmtId="0" fontId="90" fillId="0" borderId="0" xfId="0" applyFont="1" applyAlignment="1"/>
    <xf numFmtId="14" fontId="0" fillId="81" borderId="71" xfId="0" applyNumberFormat="1" applyFont="1" applyFill="1" applyBorder="1" applyAlignment="1">
      <alignment horizontal="right" vertical="top" wrapText="1"/>
    </xf>
    <xf numFmtId="0" fontId="0" fillId="81" borderId="71" xfId="0" applyFont="1" applyFill="1" applyBorder="1"/>
    <xf numFmtId="0" fontId="0" fillId="81" borderId="71" xfId="0" applyFont="1" applyFill="1" applyBorder="1" applyAlignment="1">
      <alignment wrapText="1"/>
    </xf>
    <xf numFmtId="165" fontId="0" fillId="61" borderId="0" xfId="1" applyNumberFormat="1" applyFont="1" applyFill="1" applyBorder="1"/>
    <xf numFmtId="0" fontId="22" fillId="35" borderId="0" xfId="0" applyFont="1" applyFill="1"/>
    <xf numFmtId="0" fontId="2" fillId="35" borderId="28" xfId="0" applyFont="1" applyFill="1" applyBorder="1" applyAlignment="1">
      <alignment horizontal="left" vertical="center" wrapText="1"/>
    </xf>
    <xf numFmtId="0" fontId="2" fillId="35" borderId="47" xfId="0" applyFont="1" applyFill="1" applyBorder="1" applyAlignment="1">
      <alignment horizontal="left" vertical="center" wrapText="1"/>
    </xf>
    <xf numFmtId="0" fontId="2" fillId="35" borderId="103" xfId="0" applyFont="1" applyFill="1" applyBorder="1" applyAlignment="1">
      <alignment horizontal="left" vertical="center" wrapText="1"/>
    </xf>
    <xf numFmtId="0" fontId="3" fillId="61" borderId="22" xfId="0" applyFont="1" applyFill="1" applyBorder="1" applyAlignment="1">
      <alignment horizontal="center" vertical="center" wrapText="1"/>
    </xf>
    <xf numFmtId="0" fontId="3" fillId="61" borderId="96" xfId="0" applyFont="1" applyFill="1" applyBorder="1" applyAlignment="1">
      <alignment horizontal="center" vertical="center" wrapText="1"/>
    </xf>
    <xf numFmtId="0" fontId="138" fillId="61" borderId="100" xfId="0" applyFont="1" applyFill="1" applyBorder="1" applyAlignment="1">
      <alignment horizontal="left" vertical="center" wrapText="1"/>
    </xf>
    <xf numFmtId="0" fontId="138" fillId="61" borderId="96" xfId="0" applyFont="1" applyFill="1" applyBorder="1" applyAlignment="1">
      <alignment horizontal="left" vertical="center" wrapText="1"/>
    </xf>
    <xf numFmtId="0" fontId="2" fillId="61" borderId="100" xfId="0" applyFont="1" applyFill="1" applyBorder="1" applyAlignment="1">
      <alignment horizontal="left" vertical="center" wrapText="1"/>
    </xf>
    <xf numFmtId="0" fontId="3" fillId="61" borderId="22" xfId="0" applyFont="1" applyFill="1" applyBorder="1" applyAlignment="1">
      <alignment horizontal="center" vertical="center"/>
    </xf>
    <xf numFmtId="0" fontId="3" fillId="61" borderId="96" xfId="0" applyFont="1" applyFill="1" applyBorder="1" applyAlignment="1">
      <alignment horizontal="center" vertical="center"/>
    </xf>
    <xf numFmtId="0" fontId="2" fillId="61" borderId="22" xfId="0" applyFont="1" applyFill="1" applyBorder="1" applyAlignment="1">
      <alignment horizontal="center" vertical="center" wrapText="1"/>
    </xf>
    <xf numFmtId="0" fontId="140" fillId="61" borderId="80" xfId="0" applyFont="1" applyFill="1" applyBorder="1" applyAlignment="1">
      <alignment horizontal="center" vertical="center" textRotation="90"/>
    </xf>
    <xf numFmtId="0" fontId="140" fillId="61" borderId="93" xfId="0" applyFont="1" applyFill="1" applyBorder="1" applyAlignment="1">
      <alignment horizontal="center" vertical="center" textRotation="90"/>
    </xf>
    <xf numFmtId="0" fontId="140" fillId="61" borderId="43" xfId="0" applyFont="1" applyFill="1" applyBorder="1" applyAlignment="1">
      <alignment horizontal="center" vertical="center" textRotation="90"/>
    </xf>
    <xf numFmtId="0" fontId="146" fillId="61" borderId="22" xfId="0" applyFont="1" applyFill="1" applyBorder="1" applyAlignment="1">
      <alignment horizontal="center" vertical="center"/>
    </xf>
    <xf numFmtId="0" fontId="146" fillId="61" borderId="96" xfId="0" applyFont="1" applyFill="1" applyBorder="1" applyAlignment="1">
      <alignment horizontal="center" vertical="center"/>
    </xf>
    <xf numFmtId="0" fontId="146" fillId="61" borderId="48" xfId="0" applyFont="1" applyFill="1" applyBorder="1" applyAlignment="1">
      <alignment horizontal="center" vertical="center"/>
    </xf>
    <xf numFmtId="0" fontId="146" fillId="61" borderId="50" xfId="0" applyFont="1" applyFill="1" applyBorder="1" applyAlignment="1">
      <alignment horizontal="center" vertical="center"/>
    </xf>
    <xf numFmtId="0" fontId="134" fillId="63" borderId="20" xfId="0" applyFont="1" applyFill="1" applyBorder="1" applyAlignment="1">
      <alignment horizontal="center" vertical="center" wrapText="1"/>
    </xf>
    <xf numFmtId="0" fontId="134" fillId="63" borderId="34" xfId="0" applyFont="1" applyFill="1" applyBorder="1" applyAlignment="1">
      <alignment horizontal="center" vertical="center" wrapText="1"/>
    </xf>
    <xf numFmtId="0" fontId="134" fillId="63" borderId="35" xfId="0" applyFont="1" applyFill="1" applyBorder="1" applyAlignment="1">
      <alignment horizontal="center" vertical="center" wrapText="1"/>
    </xf>
    <xf numFmtId="0" fontId="135" fillId="63" borderId="20" xfId="0" applyFont="1" applyFill="1" applyBorder="1" applyAlignment="1">
      <alignment horizontal="center" vertical="center" wrapText="1"/>
    </xf>
    <xf numFmtId="0" fontId="135" fillId="63" borderId="35" xfId="0" applyFont="1" applyFill="1" applyBorder="1" applyAlignment="1">
      <alignment horizontal="center" vertical="center" wrapText="1"/>
    </xf>
    <xf numFmtId="0" fontId="145" fillId="63" borderId="58" xfId="0" applyFont="1" applyFill="1" applyBorder="1" applyAlignment="1">
      <alignment horizontal="center" vertical="center" wrapText="1"/>
    </xf>
    <xf numFmtId="0" fontId="145" fillId="63" borderId="42" xfId="0" applyFont="1" applyFill="1" applyBorder="1" applyAlignment="1">
      <alignment horizontal="center" vertical="center" wrapText="1"/>
    </xf>
    <xf numFmtId="0" fontId="23" fillId="34" borderId="0" xfId="0" applyFont="1" applyFill="1" applyAlignment="1">
      <alignment wrapText="1"/>
    </xf>
    <xf numFmtId="0" fontId="29" fillId="34" borderId="0" xfId="0" applyFont="1" applyFill="1" applyAlignment="1">
      <alignment wrapText="1"/>
    </xf>
    <xf numFmtId="0" fontId="30"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wrapText="1"/>
    </xf>
    <xf numFmtId="0" fontId="26" fillId="34" borderId="0" xfId="0" applyFont="1" applyFill="1" applyAlignment="1">
      <alignment wrapText="1"/>
    </xf>
    <xf numFmtId="0" fontId="27" fillId="34" borderId="0" xfId="0" applyFont="1" applyFill="1" applyAlignment="1">
      <alignment wrapText="1"/>
    </xf>
    <xf numFmtId="0" fontId="28" fillId="35" borderId="0" xfId="0" applyFont="1" applyFill="1" applyAlignment="1">
      <alignment wrapText="1"/>
    </xf>
    <xf numFmtId="0" fontId="47" fillId="0" borderId="69" xfId="176" applyFont="1" applyBorder="1" applyAlignment="1">
      <alignment horizontal="left" vertical="center" wrapText="1"/>
    </xf>
    <xf numFmtId="0" fontId="47" fillId="0" borderId="55" xfId="176" applyFont="1" applyBorder="1" applyAlignment="1">
      <alignment horizontal="left" vertical="center" wrapText="1"/>
    </xf>
    <xf numFmtId="0" fontId="47" fillId="0" borderId="56" xfId="176" applyFont="1" applyBorder="1" applyAlignment="1">
      <alignment horizontal="left" vertical="center" wrapText="1"/>
    </xf>
    <xf numFmtId="0" fontId="47" fillId="0" borderId="37" xfId="176" applyFont="1" applyBorder="1" applyAlignment="1">
      <alignment horizontal="left" vertical="center" wrapText="1"/>
    </xf>
    <xf numFmtId="0" fontId="47" fillId="0" borderId="0" xfId="176" applyFont="1" applyBorder="1" applyAlignment="1">
      <alignment horizontal="left" vertical="center" wrapText="1"/>
    </xf>
    <xf numFmtId="0" fontId="47" fillId="0" borderId="53" xfId="176" applyFont="1" applyBorder="1" applyAlignment="1">
      <alignment horizontal="left" vertical="center" wrapText="1"/>
    </xf>
    <xf numFmtId="0" fontId="47" fillId="0" borderId="0" xfId="176" applyFont="1" applyBorder="1" applyAlignment="1">
      <alignment horizontal="left" vertical="center" indent="1"/>
    </xf>
    <xf numFmtId="0" fontId="47" fillId="0" borderId="65" xfId="176" applyFont="1" applyBorder="1" applyAlignment="1">
      <alignment horizontal="left" vertical="center" indent="1"/>
    </xf>
    <xf numFmtId="0" fontId="51" fillId="0" borderId="37" xfId="176" applyFont="1" applyBorder="1" applyAlignment="1">
      <alignment horizontal="left" vertical="center" wrapText="1"/>
    </xf>
    <xf numFmtId="0" fontId="51" fillId="0" borderId="0" xfId="176" applyFont="1" applyBorder="1" applyAlignment="1">
      <alignment horizontal="left" vertical="center" wrapText="1"/>
    </xf>
    <xf numFmtId="0" fontId="51" fillId="0" borderId="53" xfId="176" applyFont="1" applyBorder="1" applyAlignment="1">
      <alignment horizontal="left" vertical="center" wrapText="1"/>
    </xf>
    <xf numFmtId="0" fontId="47" fillId="0" borderId="67" xfId="176" applyFont="1" applyBorder="1" applyAlignment="1">
      <alignment horizontal="left" vertical="center" indent="1"/>
    </xf>
    <xf numFmtId="0" fontId="47" fillId="0" borderId="68" xfId="176" applyFont="1" applyBorder="1" applyAlignment="1">
      <alignment horizontal="left" vertical="center" indent="1"/>
    </xf>
    <xf numFmtId="3" fontId="44" fillId="43" borderId="44" xfId="176" applyNumberFormat="1" applyFont="1" applyFill="1" applyBorder="1" applyAlignment="1">
      <alignment horizontal="right" vertical="center"/>
    </xf>
    <xf numFmtId="3" fontId="44" fillId="43" borderId="0" xfId="176" applyNumberFormat="1" applyFont="1" applyFill="1" applyBorder="1" applyAlignment="1">
      <alignment horizontal="right" vertical="center"/>
    </xf>
    <xf numFmtId="3" fontId="63" fillId="43" borderId="44" xfId="176" applyNumberFormat="1" applyFont="1" applyFill="1" applyBorder="1" applyAlignment="1">
      <alignment horizontal="right" vertical="center"/>
    </xf>
    <xf numFmtId="3" fontId="59" fillId="43" borderId="0" xfId="176" applyNumberFormat="1" applyFont="1" applyFill="1" applyBorder="1" applyAlignment="1">
      <alignment horizontal="right" vertical="center"/>
    </xf>
    <xf numFmtId="0" fontId="65" fillId="0" borderId="0" xfId="176" applyFont="1" applyAlignment="1">
      <alignment horizontal="right" vertical="center"/>
    </xf>
    <xf numFmtId="0" fontId="56" fillId="53" borderId="48" xfId="176" applyFont="1" applyFill="1" applyBorder="1" applyAlignment="1">
      <alignment horizontal="center" vertical="center" wrapText="1"/>
    </xf>
    <xf numFmtId="0" fontId="56" fillId="53" borderId="49" xfId="176" applyFont="1" applyFill="1" applyBorder="1" applyAlignment="1">
      <alignment horizontal="center" vertical="center" wrapText="1"/>
    </xf>
    <xf numFmtId="0" fontId="56" fillId="53" borderId="59" xfId="176" applyFont="1" applyFill="1" applyBorder="1" applyAlignment="1">
      <alignment horizontal="center" vertical="center" wrapText="1"/>
    </xf>
    <xf numFmtId="0" fontId="56" fillId="53" borderId="60" xfId="176" applyFont="1" applyFill="1" applyBorder="1" applyAlignment="1">
      <alignment horizontal="center" vertical="center"/>
    </xf>
    <xf numFmtId="0" fontId="56" fillId="53" borderId="61" xfId="176" applyFont="1" applyFill="1" applyBorder="1" applyAlignment="1">
      <alignment horizontal="center" vertical="center"/>
    </xf>
    <xf numFmtId="0" fontId="56" fillId="53" borderId="62" xfId="176" applyFont="1" applyFill="1" applyBorder="1" applyAlignment="1">
      <alignment horizontal="center" vertical="center"/>
    </xf>
    <xf numFmtId="0" fontId="46" fillId="38" borderId="30" xfId="176" applyFont="1" applyFill="1" applyBorder="1" applyAlignment="1">
      <alignment horizontal="left" vertical="center" wrapText="1"/>
    </xf>
    <xf numFmtId="0" fontId="46" fillId="38" borderId="25" xfId="176" applyFont="1" applyFill="1" applyBorder="1" applyAlignment="1">
      <alignment horizontal="left" vertical="center" wrapText="1"/>
    </xf>
    <xf numFmtId="0" fontId="46" fillId="38" borderId="63" xfId="176" applyFont="1" applyFill="1" applyBorder="1" applyAlignment="1">
      <alignment horizontal="left" vertical="center" wrapText="1"/>
    </xf>
    <xf numFmtId="3" fontId="51" fillId="43" borderId="40" xfId="176" applyNumberFormat="1" applyFont="1" applyFill="1" applyBorder="1" applyAlignment="1">
      <alignment horizontal="right" vertical="center"/>
    </xf>
    <xf numFmtId="3" fontId="51" fillId="43" borderId="41" xfId="176" applyNumberFormat="1" applyFont="1" applyFill="1" applyBorder="1" applyAlignment="1">
      <alignment horizontal="right" vertical="center"/>
    </xf>
    <xf numFmtId="3" fontId="51" fillId="43" borderId="42" xfId="176" applyNumberFormat="1" applyFont="1" applyFill="1" applyBorder="1" applyAlignment="1">
      <alignment horizontal="right" vertical="center"/>
    </xf>
    <xf numFmtId="0" fontId="63" fillId="0" borderId="44" xfId="176" applyFont="1" applyBorder="1" applyAlignment="1">
      <alignment horizontal="right" vertical="center"/>
    </xf>
    <xf numFmtId="3" fontId="63" fillId="43" borderId="55" xfId="176" applyNumberFormat="1" applyFont="1" applyFill="1" applyBorder="1" applyAlignment="1">
      <alignment horizontal="right" vertical="center"/>
    </xf>
    <xf numFmtId="0" fontId="44" fillId="38" borderId="34" xfId="176" applyNumberFormat="1" applyFont="1" applyFill="1" applyBorder="1" applyAlignment="1">
      <alignment horizontal="right" vertical="center" wrapText="1"/>
    </xf>
    <xf numFmtId="0" fontId="44" fillId="38" borderId="35" xfId="176" applyNumberFormat="1" applyFont="1" applyFill="1" applyBorder="1" applyAlignment="1">
      <alignment horizontal="right" vertical="center" wrapText="1"/>
    </xf>
    <xf numFmtId="3" fontId="59" fillId="43" borderId="40" xfId="176" applyNumberFormat="1" applyFont="1" applyFill="1" applyBorder="1" applyAlignment="1">
      <alignment horizontal="right" vertical="center"/>
    </xf>
    <xf numFmtId="3" fontId="59" fillId="43" borderId="41" xfId="176" applyNumberFormat="1" applyFont="1" applyFill="1" applyBorder="1" applyAlignment="1">
      <alignment horizontal="right" vertical="center"/>
    </xf>
    <xf numFmtId="3" fontId="59" fillId="43" borderId="42" xfId="176" applyNumberFormat="1" applyFont="1" applyFill="1" applyBorder="1" applyAlignment="1">
      <alignment horizontal="right" vertical="center"/>
    </xf>
    <xf numFmtId="3" fontId="59" fillId="43" borderId="48" xfId="176" applyNumberFormat="1" applyFont="1" applyFill="1" applyBorder="1" applyAlignment="1">
      <alignment horizontal="right" vertical="center"/>
    </xf>
    <xf numFmtId="3" fontId="59" fillId="43" borderId="49" xfId="176" applyNumberFormat="1" applyFont="1" applyFill="1" applyBorder="1" applyAlignment="1">
      <alignment horizontal="right" vertical="center"/>
    </xf>
    <xf numFmtId="3" fontId="59" fillId="43" borderId="50" xfId="176" applyNumberFormat="1" applyFont="1" applyFill="1" applyBorder="1" applyAlignment="1">
      <alignment horizontal="right" vertical="center"/>
    </xf>
    <xf numFmtId="0" fontId="51" fillId="0" borderId="33" xfId="176" applyNumberFormat="1" applyFont="1" applyFill="1" applyBorder="1" applyAlignment="1">
      <alignment horizontal="right" vertical="center" wrapText="1"/>
    </xf>
    <xf numFmtId="0" fontId="51" fillId="0" borderId="34" xfId="176" applyNumberFormat="1" applyFont="1" applyFill="1" applyBorder="1" applyAlignment="1">
      <alignment horizontal="right" vertical="center" wrapText="1"/>
    </xf>
    <xf numFmtId="0" fontId="51" fillId="0" borderId="35" xfId="176" applyNumberFormat="1" applyFont="1" applyFill="1" applyBorder="1" applyAlignment="1">
      <alignment horizontal="right" vertical="center" wrapText="1"/>
    </xf>
    <xf numFmtId="0" fontId="41" fillId="0" borderId="0" xfId="176" applyFont="1" applyAlignment="1">
      <alignment horizontal="center" vertical="center" wrapText="1"/>
    </xf>
    <xf numFmtId="0" fontId="41" fillId="0" borderId="0" xfId="176" applyFont="1" applyAlignment="1">
      <alignment horizontal="center" vertical="center"/>
    </xf>
    <xf numFmtId="14" fontId="43" fillId="0" borderId="0" xfId="176" applyNumberFormat="1" applyFont="1" applyBorder="1" applyAlignment="1">
      <alignment horizontal="center" vertical="center" wrapText="1"/>
    </xf>
    <xf numFmtId="3" fontId="51" fillId="43" borderId="33" xfId="176" applyNumberFormat="1" applyFont="1" applyFill="1" applyBorder="1" applyAlignment="1">
      <alignment horizontal="right" vertical="center"/>
    </xf>
    <xf numFmtId="3" fontId="51" fillId="43" borderId="34" xfId="176" applyNumberFormat="1" applyFont="1" applyFill="1" applyBorder="1" applyAlignment="1">
      <alignment horizontal="right" vertical="center"/>
    </xf>
    <xf numFmtId="3" fontId="51" fillId="43" borderId="35" xfId="176" applyNumberFormat="1" applyFont="1" applyFill="1" applyBorder="1" applyAlignment="1">
      <alignment horizontal="right" vertical="center"/>
    </xf>
    <xf numFmtId="3" fontId="51" fillId="0" borderId="33" xfId="176" applyNumberFormat="1" applyFont="1" applyFill="1" applyBorder="1" applyAlignment="1">
      <alignment horizontal="right" vertical="center"/>
    </xf>
    <xf numFmtId="3" fontId="51" fillId="0" borderId="34" xfId="176" applyNumberFormat="1" applyFont="1" applyFill="1" applyBorder="1" applyAlignment="1">
      <alignment horizontal="right" vertical="center"/>
    </xf>
    <xf numFmtId="3" fontId="51" fillId="0" borderId="35" xfId="176" applyNumberFormat="1" applyFont="1" applyFill="1" applyBorder="1" applyAlignment="1">
      <alignment horizontal="right" vertical="center"/>
    </xf>
    <xf numFmtId="0" fontId="50" fillId="0" borderId="34" xfId="176" applyFont="1" applyBorder="1" applyAlignment="1">
      <alignment horizontal="right" vertical="center" wrapText="1"/>
    </xf>
    <xf numFmtId="0" fontId="50" fillId="0" borderId="35" xfId="176" applyFont="1" applyBorder="1" applyAlignment="1">
      <alignment horizontal="right" vertical="center" wrapText="1"/>
    </xf>
    <xf numFmtId="0" fontId="47" fillId="38" borderId="33" xfId="176" applyNumberFormat="1" applyFont="1" applyFill="1" applyBorder="1" applyAlignment="1">
      <alignment horizontal="right" vertical="center" wrapText="1"/>
    </xf>
    <xf numFmtId="0" fontId="47" fillId="38" borderId="34" xfId="176" applyNumberFormat="1" applyFont="1" applyFill="1" applyBorder="1" applyAlignment="1">
      <alignment horizontal="right" vertical="center" wrapText="1"/>
    </xf>
    <xf numFmtId="0" fontId="47" fillId="38" borderId="35" xfId="176" applyNumberFormat="1" applyFont="1" applyFill="1" applyBorder="1" applyAlignment="1">
      <alignment horizontal="right" vertical="center" wrapText="1"/>
    </xf>
  </cellXfs>
  <cellStyles count="8007">
    <cellStyle name="_x0010_“+ˆÉ•?pý¤" xfId="189"/>
    <cellStyle name="_x0010_“+ˆÉ•?pý¤ 5" xfId="190"/>
    <cellStyle name="20% - Accent1" xfId="20" builtinId="30" customBuiltin="1"/>
    <cellStyle name="20% - Accent1 10" xfId="191"/>
    <cellStyle name="20% - Accent1 11" xfId="192"/>
    <cellStyle name="20% - Accent1 12" xfId="193"/>
    <cellStyle name="20% - Accent1 13" xfId="194"/>
    <cellStyle name="20% - Accent1 14" xfId="195"/>
    <cellStyle name="20% - Accent1 15" xfId="196"/>
    <cellStyle name="20% - Accent1 16" xfId="197"/>
    <cellStyle name="20% - Accent1 17" xfId="198"/>
    <cellStyle name="20% - Accent1 18" xfId="199"/>
    <cellStyle name="20% - Accent1 19" xfId="200"/>
    <cellStyle name="20% - Accent1 2" xfId="201"/>
    <cellStyle name="20% - Accent1 2 2" xfId="202"/>
    <cellStyle name="20% - Accent1 2 2 2" xfId="203"/>
    <cellStyle name="20% - Accent1 2 2 3" xfId="204"/>
    <cellStyle name="20% - Accent1 2 3" xfId="205"/>
    <cellStyle name="20% - Accent1 2 4" xfId="206"/>
    <cellStyle name="20% - Accent1 2 5" xfId="207"/>
    <cellStyle name="20% - Accent1 2 6" xfId="208"/>
    <cellStyle name="20% - Accent1 20" xfId="209"/>
    <cellStyle name="20% - Accent1 21" xfId="210"/>
    <cellStyle name="20% - Accent1 22" xfId="211"/>
    <cellStyle name="20% - Accent1 23" xfId="212"/>
    <cellStyle name="20% - Accent1 24" xfId="213"/>
    <cellStyle name="20% - Accent1 25" xfId="214"/>
    <cellStyle name="20% - Accent1 26" xfId="215"/>
    <cellStyle name="20% - Accent1 27" xfId="216"/>
    <cellStyle name="20% - Accent1 28" xfId="217"/>
    <cellStyle name="20% - Accent1 29" xfId="218"/>
    <cellStyle name="20% - Accent1 3" xfId="219"/>
    <cellStyle name="20% - Accent1 30" xfId="220"/>
    <cellStyle name="20% - Accent1 31" xfId="221"/>
    <cellStyle name="20% - Accent1 32" xfId="222"/>
    <cellStyle name="20% - Accent1 33" xfId="223"/>
    <cellStyle name="20% - Accent1 34" xfId="224"/>
    <cellStyle name="20% - Accent1 35" xfId="225"/>
    <cellStyle name="20% - Accent1 36" xfId="226"/>
    <cellStyle name="20% - Accent1 37" xfId="227"/>
    <cellStyle name="20% - Accent1 38" xfId="228"/>
    <cellStyle name="20% - Accent1 39" xfId="229"/>
    <cellStyle name="20% - Accent1 4" xfId="230"/>
    <cellStyle name="20% - Accent1 40" xfId="231"/>
    <cellStyle name="20% - Accent1 41" xfId="232"/>
    <cellStyle name="20% - Accent1 42" xfId="233"/>
    <cellStyle name="20% - Accent1 43" xfId="234"/>
    <cellStyle name="20% - Accent1 44" xfId="235"/>
    <cellStyle name="20% - Accent1 45" xfId="236"/>
    <cellStyle name="20% - Accent1 46" xfId="237"/>
    <cellStyle name="20% - Accent1 47" xfId="238"/>
    <cellStyle name="20% - Accent1 48" xfId="239"/>
    <cellStyle name="20% - Accent1 49" xfId="240"/>
    <cellStyle name="20% - Accent1 5" xfId="241"/>
    <cellStyle name="20% - Accent1 50" xfId="242"/>
    <cellStyle name="20% - Accent1 51" xfId="243"/>
    <cellStyle name="20% - Accent1 52" xfId="244"/>
    <cellStyle name="20% - Accent1 53" xfId="245"/>
    <cellStyle name="20% - Accent1 54" xfId="246"/>
    <cellStyle name="20% - Accent1 55" xfId="247"/>
    <cellStyle name="20% - Accent1 56" xfId="248"/>
    <cellStyle name="20% - Accent1 57" xfId="249"/>
    <cellStyle name="20% - Accent1 58" xfId="250"/>
    <cellStyle name="20% - Accent1 59" xfId="251"/>
    <cellStyle name="20% - Accent1 6" xfId="252"/>
    <cellStyle name="20% - Accent1 60" xfId="253"/>
    <cellStyle name="20% - Accent1 61" xfId="254"/>
    <cellStyle name="20% - Accent1 62" xfId="255"/>
    <cellStyle name="20% - Accent1 63" xfId="256"/>
    <cellStyle name="20% - Accent1 64" xfId="257"/>
    <cellStyle name="20% - Accent1 65" xfId="258"/>
    <cellStyle name="20% - Accent1 66" xfId="259"/>
    <cellStyle name="20% - Accent1 67" xfId="260"/>
    <cellStyle name="20% - Accent1 68" xfId="261"/>
    <cellStyle name="20% - Accent1 69" xfId="262"/>
    <cellStyle name="20% - Accent1 7" xfId="263"/>
    <cellStyle name="20% - Accent1 70" xfId="264"/>
    <cellStyle name="20% - Accent1 71" xfId="265"/>
    <cellStyle name="20% - Accent1 72" xfId="266"/>
    <cellStyle name="20% - Accent1 73" xfId="267"/>
    <cellStyle name="20% - Accent1 74" xfId="268"/>
    <cellStyle name="20% - Accent1 75" xfId="269"/>
    <cellStyle name="20% - Accent1 76" xfId="270"/>
    <cellStyle name="20% - Accent1 77" xfId="271"/>
    <cellStyle name="20% - Accent1 78" xfId="272"/>
    <cellStyle name="20% - Accent1 79" xfId="273"/>
    <cellStyle name="20% - Accent1 8" xfId="274"/>
    <cellStyle name="20% - Accent1 80" xfId="275"/>
    <cellStyle name="20% - Accent1 81" xfId="276"/>
    <cellStyle name="20% - Accent1 9" xfId="277"/>
    <cellStyle name="20% - Accent2" xfId="24" builtinId="34" customBuiltin="1"/>
    <cellStyle name="20% - Accent2 10" xfId="278"/>
    <cellStyle name="20% - Accent2 11" xfId="279"/>
    <cellStyle name="20% - Accent2 12" xfId="280"/>
    <cellStyle name="20% - Accent2 13" xfId="281"/>
    <cellStyle name="20% - Accent2 14" xfId="282"/>
    <cellStyle name="20% - Accent2 15" xfId="283"/>
    <cellStyle name="20% - Accent2 16" xfId="284"/>
    <cellStyle name="20% - Accent2 17" xfId="285"/>
    <cellStyle name="20% - Accent2 18" xfId="286"/>
    <cellStyle name="20% - Accent2 19" xfId="287"/>
    <cellStyle name="20% - Accent2 2" xfId="288"/>
    <cellStyle name="20% - Accent2 2 2" xfId="289"/>
    <cellStyle name="20% - Accent2 2 2 2" xfId="290"/>
    <cellStyle name="20% - Accent2 2 2 3" xfId="291"/>
    <cellStyle name="20% - Accent2 2 3" xfId="292"/>
    <cellStyle name="20% - Accent2 2 4" xfId="293"/>
    <cellStyle name="20% - Accent2 2 5" xfId="294"/>
    <cellStyle name="20% - Accent2 2 6" xfId="295"/>
    <cellStyle name="20% - Accent2 20" xfId="296"/>
    <cellStyle name="20% - Accent2 21" xfId="297"/>
    <cellStyle name="20% - Accent2 22" xfId="298"/>
    <cellStyle name="20% - Accent2 23" xfId="299"/>
    <cellStyle name="20% - Accent2 24" xfId="300"/>
    <cellStyle name="20% - Accent2 25" xfId="301"/>
    <cellStyle name="20% - Accent2 26" xfId="302"/>
    <cellStyle name="20% - Accent2 27" xfId="303"/>
    <cellStyle name="20% - Accent2 28" xfId="304"/>
    <cellStyle name="20% - Accent2 29" xfId="305"/>
    <cellStyle name="20% - Accent2 3" xfId="306"/>
    <cellStyle name="20% - Accent2 30" xfId="307"/>
    <cellStyle name="20% - Accent2 31" xfId="308"/>
    <cellStyle name="20% - Accent2 32" xfId="309"/>
    <cellStyle name="20% - Accent2 33" xfId="310"/>
    <cellStyle name="20% - Accent2 34" xfId="311"/>
    <cellStyle name="20% - Accent2 35" xfId="312"/>
    <cellStyle name="20% - Accent2 36" xfId="313"/>
    <cellStyle name="20% - Accent2 37" xfId="314"/>
    <cellStyle name="20% - Accent2 38" xfId="315"/>
    <cellStyle name="20% - Accent2 39" xfId="316"/>
    <cellStyle name="20% - Accent2 4" xfId="317"/>
    <cellStyle name="20% - Accent2 40" xfId="318"/>
    <cellStyle name="20% - Accent2 41" xfId="319"/>
    <cellStyle name="20% - Accent2 42" xfId="320"/>
    <cellStyle name="20% - Accent2 43" xfId="321"/>
    <cellStyle name="20% - Accent2 44" xfId="322"/>
    <cellStyle name="20% - Accent2 45" xfId="323"/>
    <cellStyle name="20% - Accent2 46" xfId="324"/>
    <cellStyle name="20% - Accent2 47" xfId="325"/>
    <cellStyle name="20% - Accent2 48" xfId="326"/>
    <cellStyle name="20% - Accent2 49" xfId="327"/>
    <cellStyle name="20% - Accent2 5" xfId="328"/>
    <cellStyle name="20% - Accent2 50" xfId="329"/>
    <cellStyle name="20% - Accent2 51" xfId="330"/>
    <cellStyle name="20% - Accent2 52" xfId="331"/>
    <cellStyle name="20% - Accent2 53" xfId="332"/>
    <cellStyle name="20% - Accent2 54" xfId="333"/>
    <cellStyle name="20% - Accent2 55" xfId="334"/>
    <cellStyle name="20% - Accent2 56" xfId="335"/>
    <cellStyle name="20% - Accent2 57" xfId="336"/>
    <cellStyle name="20% - Accent2 58" xfId="337"/>
    <cellStyle name="20% - Accent2 59" xfId="338"/>
    <cellStyle name="20% - Accent2 6" xfId="339"/>
    <cellStyle name="20% - Accent2 60" xfId="340"/>
    <cellStyle name="20% - Accent2 61" xfId="341"/>
    <cellStyle name="20% - Accent2 62" xfId="342"/>
    <cellStyle name="20% - Accent2 63" xfId="343"/>
    <cellStyle name="20% - Accent2 64" xfId="344"/>
    <cellStyle name="20% - Accent2 65" xfId="345"/>
    <cellStyle name="20% - Accent2 66" xfId="346"/>
    <cellStyle name="20% - Accent2 67" xfId="347"/>
    <cellStyle name="20% - Accent2 68" xfId="348"/>
    <cellStyle name="20% - Accent2 69" xfId="349"/>
    <cellStyle name="20% - Accent2 7" xfId="350"/>
    <cellStyle name="20% - Accent2 70" xfId="351"/>
    <cellStyle name="20% - Accent2 71" xfId="352"/>
    <cellStyle name="20% - Accent2 72" xfId="353"/>
    <cellStyle name="20% - Accent2 73" xfId="354"/>
    <cellStyle name="20% - Accent2 74" xfId="355"/>
    <cellStyle name="20% - Accent2 75" xfId="356"/>
    <cellStyle name="20% - Accent2 76" xfId="357"/>
    <cellStyle name="20% - Accent2 77" xfId="358"/>
    <cellStyle name="20% - Accent2 78" xfId="359"/>
    <cellStyle name="20% - Accent2 79" xfId="360"/>
    <cellStyle name="20% - Accent2 8" xfId="361"/>
    <cellStyle name="20% - Accent2 80" xfId="362"/>
    <cellStyle name="20% - Accent2 81" xfId="363"/>
    <cellStyle name="20% - Accent2 9" xfId="364"/>
    <cellStyle name="20% - Accent3" xfId="28" builtinId="38" customBuiltin="1"/>
    <cellStyle name="20% - Accent3 10" xfId="365"/>
    <cellStyle name="20% - Accent3 11" xfId="366"/>
    <cellStyle name="20% - Accent3 12" xfId="367"/>
    <cellStyle name="20% - Accent3 13" xfId="368"/>
    <cellStyle name="20% - Accent3 14" xfId="369"/>
    <cellStyle name="20% - Accent3 15" xfId="370"/>
    <cellStyle name="20% - Accent3 16" xfId="371"/>
    <cellStyle name="20% - Accent3 17" xfId="372"/>
    <cellStyle name="20% - Accent3 18" xfId="373"/>
    <cellStyle name="20% - Accent3 19" xfId="374"/>
    <cellStyle name="20% - Accent3 2" xfId="375"/>
    <cellStyle name="20% - Accent3 2 2" xfId="376"/>
    <cellStyle name="20% - Accent3 2 2 2" xfId="377"/>
    <cellStyle name="20% - Accent3 2 2 3" xfId="378"/>
    <cellStyle name="20% - Accent3 2 3" xfId="379"/>
    <cellStyle name="20% - Accent3 2 4" xfId="380"/>
    <cellStyle name="20% - Accent3 2 5" xfId="381"/>
    <cellStyle name="20% - Accent3 2 6" xfId="382"/>
    <cellStyle name="20% - Accent3 20" xfId="383"/>
    <cellStyle name="20% - Accent3 21" xfId="384"/>
    <cellStyle name="20% - Accent3 22" xfId="385"/>
    <cellStyle name="20% - Accent3 23" xfId="386"/>
    <cellStyle name="20% - Accent3 24" xfId="387"/>
    <cellStyle name="20% - Accent3 25" xfId="388"/>
    <cellStyle name="20% - Accent3 26" xfId="389"/>
    <cellStyle name="20% - Accent3 27" xfId="390"/>
    <cellStyle name="20% - Accent3 28" xfId="391"/>
    <cellStyle name="20% - Accent3 29" xfId="392"/>
    <cellStyle name="20% - Accent3 3" xfId="393"/>
    <cellStyle name="20% - Accent3 30" xfId="394"/>
    <cellStyle name="20% - Accent3 31" xfId="395"/>
    <cellStyle name="20% - Accent3 32" xfId="396"/>
    <cellStyle name="20% - Accent3 33" xfId="397"/>
    <cellStyle name="20% - Accent3 34" xfId="398"/>
    <cellStyle name="20% - Accent3 35" xfId="399"/>
    <cellStyle name="20% - Accent3 36" xfId="400"/>
    <cellStyle name="20% - Accent3 37" xfId="401"/>
    <cellStyle name="20% - Accent3 38" xfId="402"/>
    <cellStyle name="20% - Accent3 39" xfId="403"/>
    <cellStyle name="20% - Accent3 4" xfId="404"/>
    <cellStyle name="20% - Accent3 40" xfId="405"/>
    <cellStyle name="20% - Accent3 41" xfId="406"/>
    <cellStyle name="20% - Accent3 42" xfId="407"/>
    <cellStyle name="20% - Accent3 43" xfId="408"/>
    <cellStyle name="20% - Accent3 44" xfId="409"/>
    <cellStyle name="20% - Accent3 45" xfId="410"/>
    <cellStyle name="20% - Accent3 46" xfId="411"/>
    <cellStyle name="20% - Accent3 47" xfId="412"/>
    <cellStyle name="20% - Accent3 48" xfId="413"/>
    <cellStyle name="20% - Accent3 49" xfId="414"/>
    <cellStyle name="20% - Accent3 5" xfId="415"/>
    <cellStyle name="20% - Accent3 50" xfId="416"/>
    <cellStyle name="20% - Accent3 51" xfId="417"/>
    <cellStyle name="20% - Accent3 52" xfId="418"/>
    <cellStyle name="20% - Accent3 53" xfId="419"/>
    <cellStyle name="20% - Accent3 54" xfId="420"/>
    <cellStyle name="20% - Accent3 55" xfId="421"/>
    <cellStyle name="20% - Accent3 56" xfId="422"/>
    <cellStyle name="20% - Accent3 57" xfId="423"/>
    <cellStyle name="20% - Accent3 58" xfId="424"/>
    <cellStyle name="20% - Accent3 59" xfId="425"/>
    <cellStyle name="20% - Accent3 6" xfId="426"/>
    <cellStyle name="20% - Accent3 60" xfId="427"/>
    <cellStyle name="20% - Accent3 61" xfId="428"/>
    <cellStyle name="20% - Accent3 62" xfId="429"/>
    <cellStyle name="20% - Accent3 63" xfId="430"/>
    <cellStyle name="20% - Accent3 64" xfId="431"/>
    <cellStyle name="20% - Accent3 65" xfId="432"/>
    <cellStyle name="20% - Accent3 66" xfId="433"/>
    <cellStyle name="20% - Accent3 67" xfId="434"/>
    <cellStyle name="20% - Accent3 68" xfId="435"/>
    <cellStyle name="20% - Accent3 69" xfId="436"/>
    <cellStyle name="20% - Accent3 7" xfId="437"/>
    <cellStyle name="20% - Accent3 70" xfId="438"/>
    <cellStyle name="20% - Accent3 71" xfId="439"/>
    <cellStyle name="20% - Accent3 72" xfId="440"/>
    <cellStyle name="20% - Accent3 73" xfId="441"/>
    <cellStyle name="20% - Accent3 74" xfId="442"/>
    <cellStyle name="20% - Accent3 75" xfId="443"/>
    <cellStyle name="20% - Accent3 76" xfId="444"/>
    <cellStyle name="20% - Accent3 77" xfId="445"/>
    <cellStyle name="20% - Accent3 78" xfId="446"/>
    <cellStyle name="20% - Accent3 79" xfId="447"/>
    <cellStyle name="20% - Accent3 8" xfId="448"/>
    <cellStyle name="20% - Accent3 80" xfId="449"/>
    <cellStyle name="20% - Accent3 81" xfId="450"/>
    <cellStyle name="20% - Accent3 9" xfId="451"/>
    <cellStyle name="20% - Accent4" xfId="32" builtinId="42" customBuiltin="1"/>
    <cellStyle name="20% - Accent4 10" xfId="452"/>
    <cellStyle name="20% - Accent4 11" xfId="453"/>
    <cellStyle name="20% - Accent4 12" xfId="454"/>
    <cellStyle name="20% - Accent4 13" xfId="455"/>
    <cellStyle name="20% - Accent4 14" xfId="456"/>
    <cellStyle name="20% - Accent4 15" xfId="457"/>
    <cellStyle name="20% - Accent4 16" xfId="458"/>
    <cellStyle name="20% - Accent4 17" xfId="459"/>
    <cellStyle name="20% - Accent4 18" xfId="460"/>
    <cellStyle name="20% - Accent4 19" xfId="461"/>
    <cellStyle name="20% - Accent4 2" xfId="462"/>
    <cellStyle name="20% - Accent4 2 2" xfId="463"/>
    <cellStyle name="20% - Accent4 2 2 2" xfId="464"/>
    <cellStyle name="20% - Accent4 2 2 3" xfId="465"/>
    <cellStyle name="20% - Accent4 2 3" xfId="466"/>
    <cellStyle name="20% - Accent4 2 4" xfId="467"/>
    <cellStyle name="20% - Accent4 2 5" xfId="468"/>
    <cellStyle name="20% - Accent4 2 6" xfId="469"/>
    <cellStyle name="20% - Accent4 20" xfId="470"/>
    <cellStyle name="20% - Accent4 21" xfId="471"/>
    <cellStyle name="20% - Accent4 22" xfId="472"/>
    <cellStyle name="20% - Accent4 23" xfId="473"/>
    <cellStyle name="20% - Accent4 24" xfId="474"/>
    <cellStyle name="20% - Accent4 25" xfId="475"/>
    <cellStyle name="20% - Accent4 26" xfId="476"/>
    <cellStyle name="20% - Accent4 27" xfId="477"/>
    <cellStyle name="20% - Accent4 28" xfId="478"/>
    <cellStyle name="20% - Accent4 29" xfId="479"/>
    <cellStyle name="20% - Accent4 3" xfId="480"/>
    <cellStyle name="20% - Accent4 30" xfId="481"/>
    <cellStyle name="20% - Accent4 31" xfId="482"/>
    <cellStyle name="20% - Accent4 32" xfId="483"/>
    <cellStyle name="20% - Accent4 33" xfId="484"/>
    <cellStyle name="20% - Accent4 34" xfId="485"/>
    <cellStyle name="20% - Accent4 35" xfId="486"/>
    <cellStyle name="20% - Accent4 36" xfId="487"/>
    <cellStyle name="20% - Accent4 37" xfId="488"/>
    <cellStyle name="20% - Accent4 38" xfId="489"/>
    <cellStyle name="20% - Accent4 39" xfId="490"/>
    <cellStyle name="20% - Accent4 4" xfId="491"/>
    <cellStyle name="20% - Accent4 40" xfId="492"/>
    <cellStyle name="20% - Accent4 41" xfId="493"/>
    <cellStyle name="20% - Accent4 42" xfId="494"/>
    <cellStyle name="20% - Accent4 43" xfId="495"/>
    <cellStyle name="20% - Accent4 44" xfId="496"/>
    <cellStyle name="20% - Accent4 45" xfId="497"/>
    <cellStyle name="20% - Accent4 46" xfId="498"/>
    <cellStyle name="20% - Accent4 47" xfId="499"/>
    <cellStyle name="20% - Accent4 48" xfId="500"/>
    <cellStyle name="20% - Accent4 49" xfId="501"/>
    <cellStyle name="20% - Accent4 5" xfId="502"/>
    <cellStyle name="20% - Accent4 50" xfId="503"/>
    <cellStyle name="20% - Accent4 51" xfId="504"/>
    <cellStyle name="20% - Accent4 52" xfId="505"/>
    <cellStyle name="20% - Accent4 53" xfId="506"/>
    <cellStyle name="20% - Accent4 54" xfId="507"/>
    <cellStyle name="20% - Accent4 55" xfId="508"/>
    <cellStyle name="20% - Accent4 56" xfId="509"/>
    <cellStyle name="20% - Accent4 57" xfId="510"/>
    <cellStyle name="20% - Accent4 58" xfId="511"/>
    <cellStyle name="20% - Accent4 59" xfId="512"/>
    <cellStyle name="20% - Accent4 6" xfId="513"/>
    <cellStyle name="20% - Accent4 60" xfId="514"/>
    <cellStyle name="20% - Accent4 61" xfId="515"/>
    <cellStyle name="20% - Accent4 62" xfId="516"/>
    <cellStyle name="20% - Accent4 63" xfId="517"/>
    <cellStyle name="20% - Accent4 64" xfId="518"/>
    <cellStyle name="20% - Accent4 65" xfId="519"/>
    <cellStyle name="20% - Accent4 66" xfId="520"/>
    <cellStyle name="20% - Accent4 67" xfId="521"/>
    <cellStyle name="20% - Accent4 68" xfId="522"/>
    <cellStyle name="20% - Accent4 69" xfId="523"/>
    <cellStyle name="20% - Accent4 7" xfId="524"/>
    <cellStyle name="20% - Accent4 70" xfId="525"/>
    <cellStyle name="20% - Accent4 71" xfId="526"/>
    <cellStyle name="20% - Accent4 72" xfId="527"/>
    <cellStyle name="20% - Accent4 73" xfId="528"/>
    <cellStyle name="20% - Accent4 74" xfId="529"/>
    <cellStyle name="20% - Accent4 75" xfId="530"/>
    <cellStyle name="20% - Accent4 76" xfId="531"/>
    <cellStyle name="20% - Accent4 77" xfId="532"/>
    <cellStyle name="20% - Accent4 78" xfId="533"/>
    <cellStyle name="20% - Accent4 79" xfId="534"/>
    <cellStyle name="20% - Accent4 8" xfId="535"/>
    <cellStyle name="20% - Accent4 80" xfId="536"/>
    <cellStyle name="20% - Accent4 81" xfId="537"/>
    <cellStyle name="20% - Accent4 9" xfId="538"/>
    <cellStyle name="20% - Accent5" xfId="36" builtinId="46" customBuiltin="1"/>
    <cellStyle name="20% - Accent5 10" xfId="539"/>
    <cellStyle name="20% - Accent5 11" xfId="540"/>
    <cellStyle name="20% - Accent5 12" xfId="541"/>
    <cellStyle name="20% - Accent5 13" xfId="542"/>
    <cellStyle name="20% - Accent5 14" xfId="543"/>
    <cellStyle name="20% - Accent5 15" xfId="544"/>
    <cellStyle name="20% - Accent5 16" xfId="545"/>
    <cellStyle name="20% - Accent5 17" xfId="546"/>
    <cellStyle name="20% - Accent5 18" xfId="547"/>
    <cellStyle name="20% - Accent5 19" xfId="548"/>
    <cellStyle name="20% - Accent5 2" xfId="549"/>
    <cellStyle name="20% - Accent5 2 2" xfId="550"/>
    <cellStyle name="20% - Accent5 2 2 2" xfId="551"/>
    <cellStyle name="20% - Accent5 2 2 3" xfId="552"/>
    <cellStyle name="20% - Accent5 2 3" xfId="553"/>
    <cellStyle name="20% - Accent5 2 4" xfId="554"/>
    <cellStyle name="20% - Accent5 2 5" xfId="555"/>
    <cellStyle name="20% - Accent5 2 6" xfId="556"/>
    <cellStyle name="20% - Accent5 20" xfId="557"/>
    <cellStyle name="20% - Accent5 21" xfId="558"/>
    <cellStyle name="20% - Accent5 22" xfId="559"/>
    <cellStyle name="20% - Accent5 23" xfId="560"/>
    <cellStyle name="20% - Accent5 24" xfId="561"/>
    <cellStyle name="20% - Accent5 25" xfId="562"/>
    <cellStyle name="20% - Accent5 26" xfId="563"/>
    <cellStyle name="20% - Accent5 27" xfId="564"/>
    <cellStyle name="20% - Accent5 28" xfId="565"/>
    <cellStyle name="20% - Accent5 29" xfId="566"/>
    <cellStyle name="20% - Accent5 3" xfId="567"/>
    <cellStyle name="20% - Accent5 30" xfId="568"/>
    <cellStyle name="20% - Accent5 31" xfId="569"/>
    <cellStyle name="20% - Accent5 32" xfId="570"/>
    <cellStyle name="20% - Accent5 33" xfId="571"/>
    <cellStyle name="20% - Accent5 34" xfId="572"/>
    <cellStyle name="20% - Accent5 35" xfId="573"/>
    <cellStyle name="20% - Accent5 36" xfId="574"/>
    <cellStyle name="20% - Accent5 37" xfId="575"/>
    <cellStyle name="20% - Accent5 38" xfId="576"/>
    <cellStyle name="20% - Accent5 39" xfId="577"/>
    <cellStyle name="20% - Accent5 4" xfId="578"/>
    <cellStyle name="20% - Accent5 40" xfId="579"/>
    <cellStyle name="20% - Accent5 41" xfId="580"/>
    <cellStyle name="20% - Accent5 42" xfId="581"/>
    <cellStyle name="20% - Accent5 43" xfId="582"/>
    <cellStyle name="20% - Accent5 44" xfId="583"/>
    <cellStyle name="20% - Accent5 45" xfId="584"/>
    <cellStyle name="20% - Accent5 46" xfId="585"/>
    <cellStyle name="20% - Accent5 47" xfId="586"/>
    <cellStyle name="20% - Accent5 48" xfId="587"/>
    <cellStyle name="20% - Accent5 49" xfId="588"/>
    <cellStyle name="20% - Accent5 5" xfId="589"/>
    <cellStyle name="20% - Accent5 50" xfId="590"/>
    <cellStyle name="20% - Accent5 51" xfId="591"/>
    <cellStyle name="20% - Accent5 52" xfId="592"/>
    <cellStyle name="20% - Accent5 53" xfId="593"/>
    <cellStyle name="20% - Accent5 54" xfId="594"/>
    <cellStyle name="20% - Accent5 55" xfId="595"/>
    <cellStyle name="20% - Accent5 56" xfId="596"/>
    <cellStyle name="20% - Accent5 57" xfId="597"/>
    <cellStyle name="20% - Accent5 58" xfId="598"/>
    <cellStyle name="20% - Accent5 59" xfId="599"/>
    <cellStyle name="20% - Accent5 6" xfId="600"/>
    <cellStyle name="20% - Accent5 60" xfId="601"/>
    <cellStyle name="20% - Accent5 61" xfId="602"/>
    <cellStyle name="20% - Accent5 62" xfId="603"/>
    <cellStyle name="20% - Accent5 63" xfId="604"/>
    <cellStyle name="20% - Accent5 64" xfId="605"/>
    <cellStyle name="20% - Accent5 65" xfId="606"/>
    <cellStyle name="20% - Accent5 66" xfId="607"/>
    <cellStyle name="20% - Accent5 67" xfId="608"/>
    <cellStyle name="20% - Accent5 68" xfId="609"/>
    <cellStyle name="20% - Accent5 69" xfId="610"/>
    <cellStyle name="20% - Accent5 7" xfId="611"/>
    <cellStyle name="20% - Accent5 70" xfId="612"/>
    <cellStyle name="20% - Accent5 71" xfId="613"/>
    <cellStyle name="20% - Accent5 72" xfId="614"/>
    <cellStyle name="20% - Accent5 73" xfId="615"/>
    <cellStyle name="20% - Accent5 74" xfId="616"/>
    <cellStyle name="20% - Accent5 75" xfId="617"/>
    <cellStyle name="20% - Accent5 76" xfId="618"/>
    <cellStyle name="20% - Accent5 77" xfId="619"/>
    <cellStyle name="20% - Accent5 78" xfId="620"/>
    <cellStyle name="20% - Accent5 79" xfId="621"/>
    <cellStyle name="20% - Accent5 8" xfId="622"/>
    <cellStyle name="20% - Accent5 80" xfId="623"/>
    <cellStyle name="20% - Accent5 81" xfId="624"/>
    <cellStyle name="20% - Accent5 9" xfId="625"/>
    <cellStyle name="20% - Accent6" xfId="40" builtinId="50" customBuiltin="1"/>
    <cellStyle name="20% - Accent6 10" xfId="626"/>
    <cellStyle name="20% - Accent6 11" xfId="627"/>
    <cellStyle name="20% - Accent6 12" xfId="628"/>
    <cellStyle name="20% - Accent6 13" xfId="629"/>
    <cellStyle name="20% - Accent6 14" xfId="630"/>
    <cellStyle name="20% - Accent6 15" xfId="631"/>
    <cellStyle name="20% - Accent6 16" xfId="632"/>
    <cellStyle name="20% - Accent6 17" xfId="633"/>
    <cellStyle name="20% - Accent6 18" xfId="634"/>
    <cellStyle name="20% - Accent6 19" xfId="635"/>
    <cellStyle name="20% - Accent6 2" xfId="636"/>
    <cellStyle name="20% - Accent6 2 2" xfId="637"/>
    <cellStyle name="20% - Accent6 2 2 2" xfId="638"/>
    <cellStyle name="20% - Accent6 2 2 3" xfId="639"/>
    <cellStyle name="20% - Accent6 2 3" xfId="640"/>
    <cellStyle name="20% - Accent6 2 4" xfId="641"/>
    <cellStyle name="20% - Accent6 2 5" xfId="642"/>
    <cellStyle name="20% - Accent6 2 6" xfId="643"/>
    <cellStyle name="20% - Accent6 20" xfId="644"/>
    <cellStyle name="20% - Accent6 21" xfId="645"/>
    <cellStyle name="20% - Accent6 22" xfId="646"/>
    <cellStyle name="20% - Accent6 23" xfId="647"/>
    <cellStyle name="20% - Accent6 24" xfId="648"/>
    <cellStyle name="20% - Accent6 25" xfId="649"/>
    <cellStyle name="20% - Accent6 26" xfId="650"/>
    <cellStyle name="20% - Accent6 27" xfId="651"/>
    <cellStyle name="20% - Accent6 28" xfId="652"/>
    <cellStyle name="20% - Accent6 29" xfId="653"/>
    <cellStyle name="20% - Accent6 3" xfId="654"/>
    <cellStyle name="20% - Accent6 30" xfId="655"/>
    <cellStyle name="20% - Accent6 31" xfId="656"/>
    <cellStyle name="20% - Accent6 32" xfId="657"/>
    <cellStyle name="20% - Accent6 33" xfId="658"/>
    <cellStyle name="20% - Accent6 34" xfId="659"/>
    <cellStyle name="20% - Accent6 35" xfId="660"/>
    <cellStyle name="20% - Accent6 36" xfId="661"/>
    <cellStyle name="20% - Accent6 37" xfId="662"/>
    <cellStyle name="20% - Accent6 38" xfId="663"/>
    <cellStyle name="20% - Accent6 39" xfId="664"/>
    <cellStyle name="20% - Accent6 4" xfId="665"/>
    <cellStyle name="20% - Accent6 40" xfId="666"/>
    <cellStyle name="20% - Accent6 41" xfId="667"/>
    <cellStyle name="20% - Accent6 42" xfId="668"/>
    <cellStyle name="20% - Accent6 43" xfId="669"/>
    <cellStyle name="20% - Accent6 44" xfId="670"/>
    <cellStyle name="20% - Accent6 45" xfId="671"/>
    <cellStyle name="20% - Accent6 46" xfId="672"/>
    <cellStyle name="20% - Accent6 47" xfId="673"/>
    <cellStyle name="20% - Accent6 48" xfId="674"/>
    <cellStyle name="20% - Accent6 49" xfId="675"/>
    <cellStyle name="20% - Accent6 5" xfId="676"/>
    <cellStyle name="20% - Accent6 50" xfId="677"/>
    <cellStyle name="20% - Accent6 51" xfId="678"/>
    <cellStyle name="20% - Accent6 52" xfId="679"/>
    <cellStyle name="20% - Accent6 53" xfId="680"/>
    <cellStyle name="20% - Accent6 54" xfId="681"/>
    <cellStyle name="20% - Accent6 55" xfId="682"/>
    <cellStyle name="20% - Accent6 56" xfId="683"/>
    <cellStyle name="20% - Accent6 57" xfId="684"/>
    <cellStyle name="20% - Accent6 58" xfId="685"/>
    <cellStyle name="20% - Accent6 59" xfId="686"/>
    <cellStyle name="20% - Accent6 6" xfId="687"/>
    <cellStyle name="20% - Accent6 60" xfId="688"/>
    <cellStyle name="20% - Accent6 61" xfId="689"/>
    <cellStyle name="20% - Accent6 62" xfId="690"/>
    <cellStyle name="20% - Accent6 63" xfId="691"/>
    <cellStyle name="20% - Accent6 64" xfId="692"/>
    <cellStyle name="20% - Accent6 65" xfId="693"/>
    <cellStyle name="20% - Accent6 66" xfId="694"/>
    <cellStyle name="20% - Accent6 67" xfId="695"/>
    <cellStyle name="20% - Accent6 68" xfId="696"/>
    <cellStyle name="20% - Accent6 69" xfId="697"/>
    <cellStyle name="20% - Accent6 7" xfId="698"/>
    <cellStyle name="20% - Accent6 70" xfId="699"/>
    <cellStyle name="20% - Accent6 71" xfId="700"/>
    <cellStyle name="20% - Accent6 72" xfId="701"/>
    <cellStyle name="20% - Accent6 73" xfId="702"/>
    <cellStyle name="20% - Accent6 74" xfId="703"/>
    <cellStyle name="20% - Accent6 75" xfId="704"/>
    <cellStyle name="20% - Accent6 76" xfId="705"/>
    <cellStyle name="20% - Accent6 77" xfId="706"/>
    <cellStyle name="20% - Accent6 78" xfId="707"/>
    <cellStyle name="20% - Accent6 79" xfId="708"/>
    <cellStyle name="20% - Accent6 8" xfId="709"/>
    <cellStyle name="20% - Accent6 80" xfId="710"/>
    <cellStyle name="20% - Accent6 81" xfId="711"/>
    <cellStyle name="20% - Accent6 9" xfId="712"/>
    <cellStyle name="40% - Accent1" xfId="21" builtinId="31" customBuiltin="1"/>
    <cellStyle name="40% - Accent1 10" xfId="713"/>
    <cellStyle name="40% - Accent1 11" xfId="714"/>
    <cellStyle name="40% - Accent1 12" xfId="715"/>
    <cellStyle name="40% - Accent1 13" xfId="716"/>
    <cellStyle name="40% - Accent1 14" xfId="717"/>
    <cellStyle name="40% - Accent1 15" xfId="718"/>
    <cellStyle name="40% - Accent1 16" xfId="719"/>
    <cellStyle name="40% - Accent1 17" xfId="720"/>
    <cellStyle name="40% - Accent1 18" xfId="721"/>
    <cellStyle name="40% - Accent1 19" xfId="722"/>
    <cellStyle name="40% - Accent1 2" xfId="723"/>
    <cellStyle name="40% - Accent1 2 2" xfId="724"/>
    <cellStyle name="40% - Accent1 2 2 2" xfId="725"/>
    <cellStyle name="40% - Accent1 2 2 3" xfId="726"/>
    <cellStyle name="40% - Accent1 2 3" xfId="727"/>
    <cellStyle name="40% - Accent1 2 4" xfId="728"/>
    <cellStyle name="40% - Accent1 2 5" xfId="729"/>
    <cellStyle name="40% - Accent1 2 6" xfId="730"/>
    <cellStyle name="40% - Accent1 20" xfId="731"/>
    <cellStyle name="40% - Accent1 21" xfId="732"/>
    <cellStyle name="40% - Accent1 22" xfId="733"/>
    <cellStyle name="40% - Accent1 23" xfId="734"/>
    <cellStyle name="40% - Accent1 24" xfId="735"/>
    <cellStyle name="40% - Accent1 25" xfId="736"/>
    <cellStyle name="40% - Accent1 26" xfId="737"/>
    <cellStyle name="40% - Accent1 27" xfId="738"/>
    <cellStyle name="40% - Accent1 28" xfId="739"/>
    <cellStyle name="40% - Accent1 29" xfId="740"/>
    <cellStyle name="40% - Accent1 3" xfId="741"/>
    <cellStyle name="40% - Accent1 30" xfId="742"/>
    <cellStyle name="40% - Accent1 31" xfId="743"/>
    <cellStyle name="40% - Accent1 32" xfId="744"/>
    <cellStyle name="40% - Accent1 33" xfId="745"/>
    <cellStyle name="40% - Accent1 34" xfId="746"/>
    <cellStyle name="40% - Accent1 35" xfId="747"/>
    <cellStyle name="40% - Accent1 36" xfId="748"/>
    <cellStyle name="40% - Accent1 37" xfId="749"/>
    <cellStyle name="40% - Accent1 38" xfId="750"/>
    <cellStyle name="40% - Accent1 39" xfId="751"/>
    <cellStyle name="40% - Accent1 4" xfId="752"/>
    <cellStyle name="40% - Accent1 40" xfId="753"/>
    <cellStyle name="40% - Accent1 41" xfId="754"/>
    <cellStyle name="40% - Accent1 42" xfId="755"/>
    <cellStyle name="40% - Accent1 43" xfId="756"/>
    <cellStyle name="40% - Accent1 44" xfId="757"/>
    <cellStyle name="40% - Accent1 45" xfId="758"/>
    <cellStyle name="40% - Accent1 46" xfId="759"/>
    <cellStyle name="40% - Accent1 47" xfId="760"/>
    <cellStyle name="40% - Accent1 48" xfId="761"/>
    <cellStyle name="40% - Accent1 49" xfId="762"/>
    <cellStyle name="40% - Accent1 5" xfId="763"/>
    <cellStyle name="40% - Accent1 50" xfId="764"/>
    <cellStyle name="40% - Accent1 51" xfId="765"/>
    <cellStyle name="40% - Accent1 52" xfId="766"/>
    <cellStyle name="40% - Accent1 53" xfId="767"/>
    <cellStyle name="40% - Accent1 54" xfId="768"/>
    <cellStyle name="40% - Accent1 55" xfId="769"/>
    <cellStyle name="40% - Accent1 56" xfId="770"/>
    <cellStyle name="40% - Accent1 57" xfId="771"/>
    <cellStyle name="40% - Accent1 58" xfId="772"/>
    <cellStyle name="40% - Accent1 59" xfId="773"/>
    <cellStyle name="40% - Accent1 6" xfId="774"/>
    <cellStyle name="40% - Accent1 60" xfId="775"/>
    <cellStyle name="40% - Accent1 61" xfId="776"/>
    <cellStyle name="40% - Accent1 62" xfId="777"/>
    <cellStyle name="40% - Accent1 63" xfId="778"/>
    <cellStyle name="40% - Accent1 64" xfId="779"/>
    <cellStyle name="40% - Accent1 65" xfId="780"/>
    <cellStyle name="40% - Accent1 66" xfId="781"/>
    <cellStyle name="40% - Accent1 67" xfId="782"/>
    <cellStyle name="40% - Accent1 68" xfId="783"/>
    <cellStyle name="40% - Accent1 69" xfId="784"/>
    <cellStyle name="40% - Accent1 7" xfId="785"/>
    <cellStyle name="40% - Accent1 70" xfId="786"/>
    <cellStyle name="40% - Accent1 71" xfId="787"/>
    <cellStyle name="40% - Accent1 72" xfId="788"/>
    <cellStyle name="40% - Accent1 73" xfId="789"/>
    <cellStyle name="40% - Accent1 74" xfId="790"/>
    <cellStyle name="40% - Accent1 75" xfId="791"/>
    <cellStyle name="40% - Accent1 76" xfId="792"/>
    <cellStyle name="40% - Accent1 77" xfId="793"/>
    <cellStyle name="40% - Accent1 78" xfId="794"/>
    <cellStyle name="40% - Accent1 79" xfId="795"/>
    <cellStyle name="40% - Accent1 8" xfId="796"/>
    <cellStyle name="40% - Accent1 80" xfId="797"/>
    <cellStyle name="40% - Accent1 81" xfId="798"/>
    <cellStyle name="40% - Accent1 9" xfId="799"/>
    <cellStyle name="40% - Accent2" xfId="25" builtinId="35" customBuiltin="1"/>
    <cellStyle name="40% - Accent2 10" xfId="800"/>
    <cellStyle name="40% - Accent2 11" xfId="801"/>
    <cellStyle name="40% - Accent2 12" xfId="802"/>
    <cellStyle name="40% - Accent2 13" xfId="803"/>
    <cellStyle name="40% - Accent2 14" xfId="804"/>
    <cellStyle name="40% - Accent2 15" xfId="805"/>
    <cellStyle name="40% - Accent2 16" xfId="806"/>
    <cellStyle name="40% - Accent2 17" xfId="807"/>
    <cellStyle name="40% - Accent2 18" xfId="808"/>
    <cellStyle name="40% - Accent2 19" xfId="809"/>
    <cellStyle name="40% - Accent2 2" xfId="810"/>
    <cellStyle name="40% - Accent2 2 2" xfId="811"/>
    <cellStyle name="40% - Accent2 2 2 2" xfId="812"/>
    <cellStyle name="40% - Accent2 2 2 3" xfId="813"/>
    <cellStyle name="40% - Accent2 2 3" xfId="814"/>
    <cellStyle name="40% - Accent2 2 4" xfId="815"/>
    <cellStyle name="40% - Accent2 2 5" xfId="816"/>
    <cellStyle name="40% - Accent2 2 6" xfId="817"/>
    <cellStyle name="40% - Accent2 20" xfId="818"/>
    <cellStyle name="40% - Accent2 21" xfId="819"/>
    <cellStyle name="40% - Accent2 22" xfId="820"/>
    <cellStyle name="40% - Accent2 23" xfId="821"/>
    <cellStyle name="40% - Accent2 24" xfId="822"/>
    <cellStyle name="40% - Accent2 25" xfId="823"/>
    <cellStyle name="40% - Accent2 26" xfId="824"/>
    <cellStyle name="40% - Accent2 27" xfId="825"/>
    <cellStyle name="40% - Accent2 28" xfId="826"/>
    <cellStyle name="40% - Accent2 29" xfId="827"/>
    <cellStyle name="40% - Accent2 3" xfId="828"/>
    <cellStyle name="40% - Accent2 30" xfId="829"/>
    <cellStyle name="40% - Accent2 31" xfId="830"/>
    <cellStyle name="40% - Accent2 32" xfId="831"/>
    <cellStyle name="40% - Accent2 33" xfId="832"/>
    <cellStyle name="40% - Accent2 34" xfId="833"/>
    <cellStyle name="40% - Accent2 35" xfId="834"/>
    <cellStyle name="40% - Accent2 36" xfId="835"/>
    <cellStyle name="40% - Accent2 37" xfId="836"/>
    <cellStyle name="40% - Accent2 38" xfId="837"/>
    <cellStyle name="40% - Accent2 39" xfId="838"/>
    <cellStyle name="40% - Accent2 4" xfId="839"/>
    <cellStyle name="40% - Accent2 40" xfId="840"/>
    <cellStyle name="40% - Accent2 41" xfId="841"/>
    <cellStyle name="40% - Accent2 42" xfId="842"/>
    <cellStyle name="40% - Accent2 43" xfId="843"/>
    <cellStyle name="40% - Accent2 44" xfId="844"/>
    <cellStyle name="40% - Accent2 45" xfId="845"/>
    <cellStyle name="40% - Accent2 46" xfId="846"/>
    <cellStyle name="40% - Accent2 47" xfId="847"/>
    <cellStyle name="40% - Accent2 48" xfId="848"/>
    <cellStyle name="40% - Accent2 49" xfId="849"/>
    <cellStyle name="40% - Accent2 5" xfId="850"/>
    <cellStyle name="40% - Accent2 50" xfId="851"/>
    <cellStyle name="40% - Accent2 51" xfId="852"/>
    <cellStyle name="40% - Accent2 52" xfId="853"/>
    <cellStyle name="40% - Accent2 53" xfId="854"/>
    <cellStyle name="40% - Accent2 54" xfId="855"/>
    <cellStyle name="40% - Accent2 55" xfId="856"/>
    <cellStyle name="40% - Accent2 56" xfId="857"/>
    <cellStyle name="40% - Accent2 57" xfId="858"/>
    <cellStyle name="40% - Accent2 58" xfId="859"/>
    <cellStyle name="40% - Accent2 59" xfId="860"/>
    <cellStyle name="40% - Accent2 6" xfId="861"/>
    <cellStyle name="40% - Accent2 60" xfId="862"/>
    <cellStyle name="40% - Accent2 61" xfId="863"/>
    <cellStyle name="40% - Accent2 62" xfId="864"/>
    <cellStyle name="40% - Accent2 63" xfId="865"/>
    <cellStyle name="40% - Accent2 64" xfId="866"/>
    <cellStyle name="40% - Accent2 65" xfId="867"/>
    <cellStyle name="40% - Accent2 66" xfId="868"/>
    <cellStyle name="40% - Accent2 67" xfId="869"/>
    <cellStyle name="40% - Accent2 68" xfId="870"/>
    <cellStyle name="40% - Accent2 69" xfId="871"/>
    <cellStyle name="40% - Accent2 7" xfId="872"/>
    <cellStyle name="40% - Accent2 70" xfId="873"/>
    <cellStyle name="40% - Accent2 71" xfId="874"/>
    <cellStyle name="40% - Accent2 72" xfId="875"/>
    <cellStyle name="40% - Accent2 73" xfId="876"/>
    <cellStyle name="40% - Accent2 74" xfId="877"/>
    <cellStyle name="40% - Accent2 75" xfId="878"/>
    <cellStyle name="40% - Accent2 76" xfId="879"/>
    <cellStyle name="40% - Accent2 77" xfId="880"/>
    <cellStyle name="40% - Accent2 78" xfId="881"/>
    <cellStyle name="40% - Accent2 79" xfId="882"/>
    <cellStyle name="40% - Accent2 8" xfId="883"/>
    <cellStyle name="40% - Accent2 80" xfId="884"/>
    <cellStyle name="40% - Accent2 81" xfId="885"/>
    <cellStyle name="40% - Accent2 9" xfId="886"/>
    <cellStyle name="40% - Accent3" xfId="29" builtinId="39" customBuiltin="1"/>
    <cellStyle name="40% - Accent3 10" xfId="887"/>
    <cellStyle name="40% - Accent3 11" xfId="888"/>
    <cellStyle name="40% - Accent3 12" xfId="889"/>
    <cellStyle name="40% - Accent3 13" xfId="890"/>
    <cellStyle name="40% - Accent3 14" xfId="891"/>
    <cellStyle name="40% - Accent3 15" xfId="892"/>
    <cellStyle name="40% - Accent3 16" xfId="893"/>
    <cellStyle name="40% - Accent3 17" xfId="894"/>
    <cellStyle name="40% - Accent3 18" xfId="895"/>
    <cellStyle name="40% - Accent3 19" xfId="896"/>
    <cellStyle name="40% - Accent3 2" xfId="897"/>
    <cellStyle name="40% - Accent3 2 2" xfId="898"/>
    <cellStyle name="40% - Accent3 2 2 2" xfId="899"/>
    <cellStyle name="40% - Accent3 2 2 3" xfId="900"/>
    <cellStyle name="40% - Accent3 2 3" xfId="901"/>
    <cellStyle name="40% - Accent3 2 4" xfId="902"/>
    <cellStyle name="40% - Accent3 2 5" xfId="903"/>
    <cellStyle name="40% - Accent3 2 6" xfId="904"/>
    <cellStyle name="40% - Accent3 20" xfId="905"/>
    <cellStyle name="40% - Accent3 21" xfId="906"/>
    <cellStyle name="40% - Accent3 22" xfId="907"/>
    <cellStyle name="40% - Accent3 23" xfId="908"/>
    <cellStyle name="40% - Accent3 24" xfId="909"/>
    <cellStyle name="40% - Accent3 25" xfId="910"/>
    <cellStyle name="40% - Accent3 26" xfId="911"/>
    <cellStyle name="40% - Accent3 27" xfId="912"/>
    <cellStyle name="40% - Accent3 28" xfId="913"/>
    <cellStyle name="40% - Accent3 29" xfId="914"/>
    <cellStyle name="40% - Accent3 3" xfId="915"/>
    <cellStyle name="40% - Accent3 30" xfId="916"/>
    <cellStyle name="40% - Accent3 31" xfId="917"/>
    <cellStyle name="40% - Accent3 32" xfId="918"/>
    <cellStyle name="40% - Accent3 33" xfId="919"/>
    <cellStyle name="40% - Accent3 34" xfId="920"/>
    <cellStyle name="40% - Accent3 35" xfId="921"/>
    <cellStyle name="40% - Accent3 36" xfId="922"/>
    <cellStyle name="40% - Accent3 37" xfId="923"/>
    <cellStyle name="40% - Accent3 38" xfId="924"/>
    <cellStyle name="40% - Accent3 39" xfId="925"/>
    <cellStyle name="40% - Accent3 4" xfId="926"/>
    <cellStyle name="40% - Accent3 40" xfId="927"/>
    <cellStyle name="40% - Accent3 41" xfId="928"/>
    <cellStyle name="40% - Accent3 42" xfId="929"/>
    <cellStyle name="40% - Accent3 43" xfId="930"/>
    <cellStyle name="40% - Accent3 44" xfId="931"/>
    <cellStyle name="40% - Accent3 45" xfId="932"/>
    <cellStyle name="40% - Accent3 46" xfId="933"/>
    <cellStyle name="40% - Accent3 47" xfId="934"/>
    <cellStyle name="40% - Accent3 48" xfId="935"/>
    <cellStyle name="40% - Accent3 49" xfId="936"/>
    <cellStyle name="40% - Accent3 5" xfId="937"/>
    <cellStyle name="40% - Accent3 50" xfId="938"/>
    <cellStyle name="40% - Accent3 51" xfId="939"/>
    <cellStyle name="40% - Accent3 52" xfId="940"/>
    <cellStyle name="40% - Accent3 53" xfId="941"/>
    <cellStyle name="40% - Accent3 54" xfId="942"/>
    <cellStyle name="40% - Accent3 55" xfId="943"/>
    <cellStyle name="40% - Accent3 56" xfId="944"/>
    <cellStyle name="40% - Accent3 57" xfId="945"/>
    <cellStyle name="40% - Accent3 58" xfId="946"/>
    <cellStyle name="40% - Accent3 59" xfId="947"/>
    <cellStyle name="40% - Accent3 6" xfId="948"/>
    <cellStyle name="40% - Accent3 60" xfId="949"/>
    <cellStyle name="40% - Accent3 61" xfId="950"/>
    <cellStyle name="40% - Accent3 62" xfId="951"/>
    <cellStyle name="40% - Accent3 63" xfId="952"/>
    <cellStyle name="40% - Accent3 64" xfId="953"/>
    <cellStyle name="40% - Accent3 65" xfId="954"/>
    <cellStyle name="40% - Accent3 66" xfId="955"/>
    <cellStyle name="40% - Accent3 67" xfId="956"/>
    <cellStyle name="40% - Accent3 68" xfId="957"/>
    <cellStyle name="40% - Accent3 69" xfId="958"/>
    <cellStyle name="40% - Accent3 7" xfId="959"/>
    <cellStyle name="40% - Accent3 70" xfId="960"/>
    <cellStyle name="40% - Accent3 71" xfId="961"/>
    <cellStyle name="40% - Accent3 72" xfId="962"/>
    <cellStyle name="40% - Accent3 73" xfId="963"/>
    <cellStyle name="40% - Accent3 74" xfId="964"/>
    <cellStyle name="40% - Accent3 75" xfId="965"/>
    <cellStyle name="40% - Accent3 76" xfId="966"/>
    <cellStyle name="40% - Accent3 77" xfId="967"/>
    <cellStyle name="40% - Accent3 78" xfId="968"/>
    <cellStyle name="40% - Accent3 79" xfId="969"/>
    <cellStyle name="40% - Accent3 8" xfId="970"/>
    <cellStyle name="40% - Accent3 80" xfId="971"/>
    <cellStyle name="40% - Accent3 81" xfId="972"/>
    <cellStyle name="40% - Accent3 9" xfId="973"/>
    <cellStyle name="40% - Accent4" xfId="33" builtinId="43" customBuiltin="1"/>
    <cellStyle name="40% - Accent4 10" xfId="974"/>
    <cellStyle name="40% - Accent4 11" xfId="975"/>
    <cellStyle name="40% - Accent4 12" xfId="976"/>
    <cellStyle name="40% - Accent4 13" xfId="977"/>
    <cellStyle name="40% - Accent4 14" xfId="978"/>
    <cellStyle name="40% - Accent4 15" xfId="979"/>
    <cellStyle name="40% - Accent4 16" xfId="980"/>
    <cellStyle name="40% - Accent4 17" xfId="981"/>
    <cellStyle name="40% - Accent4 18" xfId="982"/>
    <cellStyle name="40% - Accent4 19" xfId="983"/>
    <cellStyle name="40% - Accent4 2" xfId="984"/>
    <cellStyle name="40% - Accent4 2 2" xfId="985"/>
    <cellStyle name="40% - Accent4 2 2 2" xfId="986"/>
    <cellStyle name="40% - Accent4 2 2 3" xfId="987"/>
    <cellStyle name="40% - Accent4 2 3" xfId="988"/>
    <cellStyle name="40% - Accent4 2 4" xfId="989"/>
    <cellStyle name="40% - Accent4 2 5" xfId="990"/>
    <cellStyle name="40% - Accent4 2 6" xfId="991"/>
    <cellStyle name="40% - Accent4 20" xfId="992"/>
    <cellStyle name="40% - Accent4 21" xfId="993"/>
    <cellStyle name="40% - Accent4 22" xfId="994"/>
    <cellStyle name="40% - Accent4 23" xfId="995"/>
    <cellStyle name="40% - Accent4 24" xfId="996"/>
    <cellStyle name="40% - Accent4 25" xfId="997"/>
    <cellStyle name="40% - Accent4 26" xfId="998"/>
    <cellStyle name="40% - Accent4 27" xfId="999"/>
    <cellStyle name="40% - Accent4 28" xfId="1000"/>
    <cellStyle name="40% - Accent4 29" xfId="1001"/>
    <cellStyle name="40% - Accent4 3" xfId="1002"/>
    <cellStyle name="40% - Accent4 30" xfId="1003"/>
    <cellStyle name="40% - Accent4 31" xfId="1004"/>
    <cellStyle name="40% - Accent4 32" xfId="1005"/>
    <cellStyle name="40% - Accent4 33" xfId="1006"/>
    <cellStyle name="40% - Accent4 34" xfId="1007"/>
    <cellStyle name="40% - Accent4 35" xfId="1008"/>
    <cellStyle name="40% - Accent4 36" xfId="1009"/>
    <cellStyle name="40% - Accent4 37" xfId="1010"/>
    <cellStyle name="40% - Accent4 38" xfId="1011"/>
    <cellStyle name="40% - Accent4 39" xfId="1012"/>
    <cellStyle name="40% - Accent4 4" xfId="1013"/>
    <cellStyle name="40% - Accent4 40" xfId="1014"/>
    <cellStyle name="40% - Accent4 41" xfId="1015"/>
    <cellStyle name="40% - Accent4 42" xfId="1016"/>
    <cellStyle name="40% - Accent4 43" xfId="1017"/>
    <cellStyle name="40% - Accent4 44" xfId="1018"/>
    <cellStyle name="40% - Accent4 45" xfId="1019"/>
    <cellStyle name="40% - Accent4 46" xfId="1020"/>
    <cellStyle name="40% - Accent4 47" xfId="1021"/>
    <cellStyle name="40% - Accent4 48" xfId="1022"/>
    <cellStyle name="40% - Accent4 49" xfId="1023"/>
    <cellStyle name="40% - Accent4 5" xfId="1024"/>
    <cellStyle name="40% - Accent4 50" xfId="1025"/>
    <cellStyle name="40% - Accent4 51" xfId="1026"/>
    <cellStyle name="40% - Accent4 52" xfId="1027"/>
    <cellStyle name="40% - Accent4 53" xfId="1028"/>
    <cellStyle name="40% - Accent4 54" xfId="1029"/>
    <cellStyle name="40% - Accent4 55" xfId="1030"/>
    <cellStyle name="40% - Accent4 56" xfId="1031"/>
    <cellStyle name="40% - Accent4 57" xfId="1032"/>
    <cellStyle name="40% - Accent4 58" xfId="1033"/>
    <cellStyle name="40% - Accent4 59" xfId="1034"/>
    <cellStyle name="40% - Accent4 6" xfId="1035"/>
    <cellStyle name="40% - Accent4 60" xfId="1036"/>
    <cellStyle name="40% - Accent4 61" xfId="1037"/>
    <cellStyle name="40% - Accent4 62" xfId="1038"/>
    <cellStyle name="40% - Accent4 63" xfId="1039"/>
    <cellStyle name="40% - Accent4 64" xfId="1040"/>
    <cellStyle name="40% - Accent4 65" xfId="1041"/>
    <cellStyle name="40% - Accent4 66" xfId="1042"/>
    <cellStyle name="40% - Accent4 67" xfId="1043"/>
    <cellStyle name="40% - Accent4 68" xfId="1044"/>
    <cellStyle name="40% - Accent4 69" xfId="1045"/>
    <cellStyle name="40% - Accent4 7" xfId="1046"/>
    <cellStyle name="40% - Accent4 70" xfId="1047"/>
    <cellStyle name="40% - Accent4 71" xfId="1048"/>
    <cellStyle name="40% - Accent4 72" xfId="1049"/>
    <cellStyle name="40% - Accent4 73" xfId="1050"/>
    <cellStyle name="40% - Accent4 74" xfId="1051"/>
    <cellStyle name="40% - Accent4 75" xfId="1052"/>
    <cellStyle name="40% - Accent4 76" xfId="1053"/>
    <cellStyle name="40% - Accent4 77" xfId="1054"/>
    <cellStyle name="40% - Accent4 78" xfId="1055"/>
    <cellStyle name="40% - Accent4 79" xfId="1056"/>
    <cellStyle name="40% - Accent4 8" xfId="1057"/>
    <cellStyle name="40% - Accent4 80" xfId="1058"/>
    <cellStyle name="40% - Accent4 81" xfId="1059"/>
    <cellStyle name="40% - Accent4 9" xfId="1060"/>
    <cellStyle name="40% - Accent5" xfId="37" builtinId="47" customBuiltin="1"/>
    <cellStyle name="40% - Accent5 10" xfId="1061"/>
    <cellStyle name="40% - Accent5 11" xfId="1062"/>
    <cellStyle name="40% - Accent5 12" xfId="1063"/>
    <cellStyle name="40% - Accent5 13" xfId="1064"/>
    <cellStyle name="40% - Accent5 14" xfId="1065"/>
    <cellStyle name="40% - Accent5 15" xfId="1066"/>
    <cellStyle name="40% - Accent5 16" xfId="1067"/>
    <cellStyle name="40% - Accent5 17" xfId="1068"/>
    <cellStyle name="40% - Accent5 18" xfId="1069"/>
    <cellStyle name="40% - Accent5 19" xfId="1070"/>
    <cellStyle name="40% - Accent5 2" xfId="1071"/>
    <cellStyle name="40% - Accent5 2 2" xfId="1072"/>
    <cellStyle name="40% - Accent5 2 2 2" xfId="1073"/>
    <cellStyle name="40% - Accent5 2 2 3" xfId="1074"/>
    <cellStyle name="40% - Accent5 2 3" xfId="1075"/>
    <cellStyle name="40% - Accent5 2 4" xfId="1076"/>
    <cellStyle name="40% - Accent5 2 5" xfId="1077"/>
    <cellStyle name="40% - Accent5 2 6" xfId="1078"/>
    <cellStyle name="40% - Accent5 20" xfId="1079"/>
    <cellStyle name="40% - Accent5 21" xfId="1080"/>
    <cellStyle name="40% - Accent5 22" xfId="1081"/>
    <cellStyle name="40% - Accent5 23" xfId="1082"/>
    <cellStyle name="40% - Accent5 24" xfId="1083"/>
    <cellStyle name="40% - Accent5 25" xfId="1084"/>
    <cellStyle name="40% - Accent5 26" xfId="1085"/>
    <cellStyle name="40% - Accent5 27" xfId="1086"/>
    <cellStyle name="40% - Accent5 28" xfId="1087"/>
    <cellStyle name="40% - Accent5 29" xfId="1088"/>
    <cellStyle name="40% - Accent5 3" xfId="1089"/>
    <cellStyle name="40% - Accent5 30" xfId="1090"/>
    <cellStyle name="40% - Accent5 31" xfId="1091"/>
    <cellStyle name="40% - Accent5 32" xfId="1092"/>
    <cellStyle name="40% - Accent5 33" xfId="1093"/>
    <cellStyle name="40% - Accent5 34" xfId="1094"/>
    <cellStyle name="40% - Accent5 35" xfId="1095"/>
    <cellStyle name="40% - Accent5 36" xfId="1096"/>
    <cellStyle name="40% - Accent5 37" xfId="1097"/>
    <cellStyle name="40% - Accent5 38" xfId="1098"/>
    <cellStyle name="40% - Accent5 39" xfId="1099"/>
    <cellStyle name="40% - Accent5 4" xfId="1100"/>
    <cellStyle name="40% - Accent5 40" xfId="1101"/>
    <cellStyle name="40% - Accent5 41" xfId="1102"/>
    <cellStyle name="40% - Accent5 42" xfId="1103"/>
    <cellStyle name="40% - Accent5 43" xfId="1104"/>
    <cellStyle name="40% - Accent5 44" xfId="1105"/>
    <cellStyle name="40% - Accent5 45" xfId="1106"/>
    <cellStyle name="40% - Accent5 46" xfId="1107"/>
    <cellStyle name="40% - Accent5 47" xfId="1108"/>
    <cellStyle name="40% - Accent5 48" xfId="1109"/>
    <cellStyle name="40% - Accent5 49" xfId="1110"/>
    <cellStyle name="40% - Accent5 5" xfId="1111"/>
    <cellStyle name="40% - Accent5 50" xfId="1112"/>
    <cellStyle name="40% - Accent5 51" xfId="1113"/>
    <cellStyle name="40% - Accent5 52" xfId="1114"/>
    <cellStyle name="40% - Accent5 53" xfId="1115"/>
    <cellStyle name="40% - Accent5 54" xfId="1116"/>
    <cellStyle name="40% - Accent5 55" xfId="1117"/>
    <cellStyle name="40% - Accent5 56" xfId="1118"/>
    <cellStyle name="40% - Accent5 57" xfId="1119"/>
    <cellStyle name="40% - Accent5 58" xfId="1120"/>
    <cellStyle name="40% - Accent5 59" xfId="1121"/>
    <cellStyle name="40% - Accent5 6" xfId="1122"/>
    <cellStyle name="40% - Accent5 60" xfId="1123"/>
    <cellStyle name="40% - Accent5 61" xfId="1124"/>
    <cellStyle name="40% - Accent5 62" xfId="1125"/>
    <cellStyle name="40% - Accent5 63" xfId="1126"/>
    <cellStyle name="40% - Accent5 64" xfId="1127"/>
    <cellStyle name="40% - Accent5 65" xfId="1128"/>
    <cellStyle name="40% - Accent5 66" xfId="1129"/>
    <cellStyle name="40% - Accent5 67" xfId="1130"/>
    <cellStyle name="40% - Accent5 68" xfId="1131"/>
    <cellStyle name="40% - Accent5 69" xfId="1132"/>
    <cellStyle name="40% - Accent5 7" xfId="1133"/>
    <cellStyle name="40% - Accent5 70" xfId="1134"/>
    <cellStyle name="40% - Accent5 71" xfId="1135"/>
    <cellStyle name="40% - Accent5 72" xfId="1136"/>
    <cellStyle name="40% - Accent5 73" xfId="1137"/>
    <cellStyle name="40% - Accent5 74" xfId="1138"/>
    <cellStyle name="40% - Accent5 75" xfId="1139"/>
    <cellStyle name="40% - Accent5 76" xfId="1140"/>
    <cellStyle name="40% - Accent5 77" xfId="1141"/>
    <cellStyle name="40% - Accent5 78" xfId="1142"/>
    <cellStyle name="40% - Accent5 79" xfId="1143"/>
    <cellStyle name="40% - Accent5 8" xfId="1144"/>
    <cellStyle name="40% - Accent5 80" xfId="1145"/>
    <cellStyle name="40% - Accent5 81" xfId="1146"/>
    <cellStyle name="40% - Accent5 9" xfId="1147"/>
    <cellStyle name="40% - Accent6" xfId="41" builtinId="51" customBuiltin="1"/>
    <cellStyle name="40% - Accent6 10" xfId="1148"/>
    <cellStyle name="40% - Accent6 11" xfId="1149"/>
    <cellStyle name="40% - Accent6 12" xfId="1150"/>
    <cellStyle name="40% - Accent6 13" xfId="1151"/>
    <cellStyle name="40% - Accent6 14" xfId="1152"/>
    <cellStyle name="40% - Accent6 15" xfId="1153"/>
    <cellStyle name="40% - Accent6 16" xfId="1154"/>
    <cellStyle name="40% - Accent6 17" xfId="1155"/>
    <cellStyle name="40% - Accent6 18" xfId="1156"/>
    <cellStyle name="40% - Accent6 19" xfId="1157"/>
    <cellStyle name="40% - Accent6 2" xfId="1158"/>
    <cellStyle name="40% - Accent6 2 2" xfId="1159"/>
    <cellStyle name="40% - Accent6 2 2 2" xfId="1160"/>
    <cellStyle name="40% - Accent6 2 2 3" xfId="1161"/>
    <cellStyle name="40% - Accent6 2 3" xfId="1162"/>
    <cellStyle name="40% - Accent6 2 4" xfId="1163"/>
    <cellStyle name="40% - Accent6 2 5" xfId="1164"/>
    <cellStyle name="40% - Accent6 2 6" xfId="1165"/>
    <cellStyle name="40% - Accent6 20" xfId="1166"/>
    <cellStyle name="40% - Accent6 21" xfId="1167"/>
    <cellStyle name="40% - Accent6 22" xfId="1168"/>
    <cellStyle name="40% - Accent6 23" xfId="1169"/>
    <cellStyle name="40% - Accent6 24" xfId="1170"/>
    <cellStyle name="40% - Accent6 25" xfId="1171"/>
    <cellStyle name="40% - Accent6 26" xfId="1172"/>
    <cellStyle name="40% - Accent6 27" xfId="1173"/>
    <cellStyle name="40% - Accent6 28" xfId="1174"/>
    <cellStyle name="40% - Accent6 29" xfId="1175"/>
    <cellStyle name="40% - Accent6 3" xfId="1176"/>
    <cellStyle name="40% - Accent6 30" xfId="1177"/>
    <cellStyle name="40% - Accent6 31" xfId="1178"/>
    <cellStyle name="40% - Accent6 32" xfId="1179"/>
    <cellStyle name="40% - Accent6 33" xfId="1180"/>
    <cellStyle name="40% - Accent6 34" xfId="1181"/>
    <cellStyle name="40% - Accent6 35" xfId="1182"/>
    <cellStyle name="40% - Accent6 36" xfId="1183"/>
    <cellStyle name="40% - Accent6 37" xfId="1184"/>
    <cellStyle name="40% - Accent6 38" xfId="1185"/>
    <cellStyle name="40% - Accent6 39" xfId="1186"/>
    <cellStyle name="40% - Accent6 4" xfId="1187"/>
    <cellStyle name="40% - Accent6 40" xfId="1188"/>
    <cellStyle name="40% - Accent6 41" xfId="1189"/>
    <cellStyle name="40% - Accent6 42" xfId="1190"/>
    <cellStyle name="40% - Accent6 43" xfId="1191"/>
    <cellStyle name="40% - Accent6 44" xfId="1192"/>
    <cellStyle name="40% - Accent6 45" xfId="1193"/>
    <cellStyle name="40% - Accent6 46" xfId="1194"/>
    <cellStyle name="40% - Accent6 47" xfId="1195"/>
    <cellStyle name="40% - Accent6 48" xfId="1196"/>
    <cellStyle name="40% - Accent6 49" xfId="1197"/>
    <cellStyle name="40% - Accent6 5" xfId="1198"/>
    <cellStyle name="40% - Accent6 50" xfId="1199"/>
    <cellStyle name="40% - Accent6 51" xfId="1200"/>
    <cellStyle name="40% - Accent6 52" xfId="1201"/>
    <cellStyle name="40% - Accent6 53" xfId="1202"/>
    <cellStyle name="40% - Accent6 54" xfId="1203"/>
    <cellStyle name="40% - Accent6 55" xfId="1204"/>
    <cellStyle name="40% - Accent6 56" xfId="1205"/>
    <cellStyle name="40% - Accent6 57" xfId="1206"/>
    <cellStyle name="40% - Accent6 58" xfId="1207"/>
    <cellStyle name="40% - Accent6 59" xfId="1208"/>
    <cellStyle name="40% - Accent6 6" xfId="1209"/>
    <cellStyle name="40% - Accent6 60" xfId="1210"/>
    <cellStyle name="40% - Accent6 61" xfId="1211"/>
    <cellStyle name="40% - Accent6 62" xfId="1212"/>
    <cellStyle name="40% - Accent6 63" xfId="1213"/>
    <cellStyle name="40% - Accent6 64" xfId="1214"/>
    <cellStyle name="40% - Accent6 65" xfId="1215"/>
    <cellStyle name="40% - Accent6 66" xfId="1216"/>
    <cellStyle name="40% - Accent6 67" xfId="1217"/>
    <cellStyle name="40% - Accent6 68" xfId="1218"/>
    <cellStyle name="40% - Accent6 69" xfId="1219"/>
    <cellStyle name="40% - Accent6 7" xfId="1220"/>
    <cellStyle name="40% - Accent6 70" xfId="1221"/>
    <cellStyle name="40% - Accent6 71" xfId="1222"/>
    <cellStyle name="40% - Accent6 72" xfId="1223"/>
    <cellStyle name="40% - Accent6 73" xfId="1224"/>
    <cellStyle name="40% - Accent6 74" xfId="1225"/>
    <cellStyle name="40% - Accent6 75" xfId="1226"/>
    <cellStyle name="40% - Accent6 76" xfId="1227"/>
    <cellStyle name="40% - Accent6 77" xfId="1228"/>
    <cellStyle name="40% - Accent6 78" xfId="1229"/>
    <cellStyle name="40% - Accent6 79" xfId="1230"/>
    <cellStyle name="40% - Accent6 8" xfId="1231"/>
    <cellStyle name="40% - Accent6 80" xfId="1232"/>
    <cellStyle name="40% - Accent6 81" xfId="1233"/>
    <cellStyle name="40% - Accent6 9" xfId="1234"/>
    <cellStyle name="60% - Accent1" xfId="22" builtinId="32" customBuiltin="1"/>
    <cellStyle name="60% - Accent1 10" xfId="1235"/>
    <cellStyle name="60% - Accent1 11" xfId="1236"/>
    <cellStyle name="60% - Accent1 12" xfId="1237"/>
    <cellStyle name="60% - Accent1 13" xfId="1238"/>
    <cellStyle name="60% - Accent1 14" xfId="1239"/>
    <cellStyle name="60% - Accent1 15" xfId="1240"/>
    <cellStyle name="60% - Accent1 16" xfId="1241"/>
    <cellStyle name="60% - Accent1 17" xfId="1242"/>
    <cellStyle name="60% - Accent1 18" xfId="1243"/>
    <cellStyle name="60% - Accent1 19" xfId="1244"/>
    <cellStyle name="60% - Accent1 2" xfId="1245"/>
    <cellStyle name="60% - Accent1 2 2" xfId="1246"/>
    <cellStyle name="60% - Accent1 2 3" xfId="1247"/>
    <cellStyle name="60% - Accent1 20" xfId="1248"/>
    <cellStyle name="60% - Accent1 21" xfId="1249"/>
    <cellStyle name="60% - Accent1 22" xfId="1250"/>
    <cellStyle name="60% - Accent1 23" xfId="1251"/>
    <cellStyle name="60% - Accent1 24" xfId="1252"/>
    <cellStyle name="60% - Accent1 25" xfId="1253"/>
    <cellStyle name="60% - Accent1 26" xfId="1254"/>
    <cellStyle name="60% - Accent1 27" xfId="1255"/>
    <cellStyle name="60% - Accent1 28" xfId="1256"/>
    <cellStyle name="60% - Accent1 29" xfId="1257"/>
    <cellStyle name="60% - Accent1 3" xfId="1258"/>
    <cellStyle name="60% - Accent1 30" xfId="1259"/>
    <cellStyle name="60% - Accent1 31" xfId="1260"/>
    <cellStyle name="60% - Accent1 32" xfId="1261"/>
    <cellStyle name="60% - Accent1 33" xfId="1262"/>
    <cellStyle name="60% - Accent1 34" xfId="1263"/>
    <cellStyle name="60% - Accent1 35" xfId="1264"/>
    <cellStyle name="60% - Accent1 36" xfId="1265"/>
    <cellStyle name="60% - Accent1 37" xfId="1266"/>
    <cellStyle name="60% - Accent1 38" xfId="1267"/>
    <cellStyle name="60% - Accent1 39" xfId="1268"/>
    <cellStyle name="60% - Accent1 4" xfId="1269"/>
    <cellStyle name="60% - Accent1 40" xfId="1270"/>
    <cellStyle name="60% - Accent1 41" xfId="1271"/>
    <cellStyle name="60% - Accent1 42" xfId="1272"/>
    <cellStyle name="60% - Accent1 43" xfId="1273"/>
    <cellStyle name="60% - Accent1 44" xfId="1274"/>
    <cellStyle name="60% - Accent1 45" xfId="1275"/>
    <cellStyle name="60% - Accent1 46" xfId="1276"/>
    <cellStyle name="60% - Accent1 47" xfId="1277"/>
    <cellStyle name="60% - Accent1 48" xfId="1278"/>
    <cellStyle name="60% - Accent1 49" xfId="1279"/>
    <cellStyle name="60% - Accent1 5" xfId="1280"/>
    <cellStyle name="60% - Accent1 50" xfId="1281"/>
    <cellStyle name="60% - Accent1 51" xfId="1282"/>
    <cellStyle name="60% - Accent1 52" xfId="1283"/>
    <cellStyle name="60% - Accent1 53" xfId="1284"/>
    <cellStyle name="60% - Accent1 54" xfId="1285"/>
    <cellStyle name="60% - Accent1 55" xfId="1286"/>
    <cellStyle name="60% - Accent1 56" xfId="1287"/>
    <cellStyle name="60% - Accent1 57" xfId="1288"/>
    <cellStyle name="60% - Accent1 58" xfId="1289"/>
    <cellStyle name="60% - Accent1 59" xfId="1290"/>
    <cellStyle name="60% - Accent1 6" xfId="1291"/>
    <cellStyle name="60% - Accent1 60" xfId="1292"/>
    <cellStyle name="60% - Accent1 61" xfId="1293"/>
    <cellStyle name="60% - Accent1 62" xfId="1294"/>
    <cellStyle name="60% - Accent1 63" xfId="1295"/>
    <cellStyle name="60% - Accent1 64" xfId="1296"/>
    <cellStyle name="60% - Accent1 65" xfId="1297"/>
    <cellStyle name="60% - Accent1 66" xfId="1298"/>
    <cellStyle name="60% - Accent1 67" xfId="1299"/>
    <cellStyle name="60% - Accent1 68" xfId="1300"/>
    <cellStyle name="60% - Accent1 69" xfId="1301"/>
    <cellStyle name="60% - Accent1 7" xfId="1302"/>
    <cellStyle name="60% - Accent1 70" xfId="1303"/>
    <cellStyle name="60% - Accent1 71" xfId="1304"/>
    <cellStyle name="60% - Accent1 72" xfId="1305"/>
    <cellStyle name="60% - Accent1 73" xfId="1306"/>
    <cellStyle name="60% - Accent1 74" xfId="1307"/>
    <cellStyle name="60% - Accent1 75" xfId="1308"/>
    <cellStyle name="60% - Accent1 76" xfId="1309"/>
    <cellStyle name="60% - Accent1 77" xfId="1310"/>
    <cellStyle name="60% - Accent1 78" xfId="1311"/>
    <cellStyle name="60% - Accent1 79" xfId="1312"/>
    <cellStyle name="60% - Accent1 8" xfId="1313"/>
    <cellStyle name="60% - Accent1 9" xfId="1314"/>
    <cellStyle name="60% - Accent2" xfId="26" builtinId="36" customBuiltin="1"/>
    <cellStyle name="60% - Accent2 10" xfId="1315"/>
    <cellStyle name="60% - Accent2 11" xfId="1316"/>
    <cellStyle name="60% - Accent2 12" xfId="1317"/>
    <cellStyle name="60% - Accent2 13" xfId="1318"/>
    <cellStyle name="60% - Accent2 14" xfId="1319"/>
    <cellStyle name="60% - Accent2 15" xfId="1320"/>
    <cellStyle name="60% - Accent2 16" xfId="1321"/>
    <cellStyle name="60% - Accent2 17" xfId="1322"/>
    <cellStyle name="60% - Accent2 18" xfId="1323"/>
    <cellStyle name="60% - Accent2 19" xfId="1324"/>
    <cellStyle name="60% - Accent2 2" xfId="1325"/>
    <cellStyle name="60% - Accent2 2 2" xfId="1326"/>
    <cellStyle name="60% - Accent2 2 3" xfId="1327"/>
    <cellStyle name="60% - Accent2 20" xfId="1328"/>
    <cellStyle name="60% - Accent2 21" xfId="1329"/>
    <cellStyle name="60% - Accent2 22" xfId="1330"/>
    <cellStyle name="60% - Accent2 23" xfId="1331"/>
    <cellStyle name="60% - Accent2 24" xfId="1332"/>
    <cellStyle name="60% - Accent2 25" xfId="1333"/>
    <cellStyle name="60% - Accent2 26" xfId="1334"/>
    <cellStyle name="60% - Accent2 27" xfId="1335"/>
    <cellStyle name="60% - Accent2 28" xfId="1336"/>
    <cellStyle name="60% - Accent2 29" xfId="1337"/>
    <cellStyle name="60% - Accent2 3" xfId="1338"/>
    <cellStyle name="60% - Accent2 30" xfId="1339"/>
    <cellStyle name="60% - Accent2 31" xfId="1340"/>
    <cellStyle name="60% - Accent2 32" xfId="1341"/>
    <cellStyle name="60% - Accent2 33" xfId="1342"/>
    <cellStyle name="60% - Accent2 34" xfId="1343"/>
    <cellStyle name="60% - Accent2 35" xfId="1344"/>
    <cellStyle name="60% - Accent2 36" xfId="1345"/>
    <cellStyle name="60% - Accent2 37" xfId="1346"/>
    <cellStyle name="60% - Accent2 38" xfId="1347"/>
    <cellStyle name="60% - Accent2 39" xfId="1348"/>
    <cellStyle name="60% - Accent2 4" xfId="1349"/>
    <cellStyle name="60% - Accent2 40" xfId="1350"/>
    <cellStyle name="60% - Accent2 41" xfId="1351"/>
    <cellStyle name="60% - Accent2 42" xfId="1352"/>
    <cellStyle name="60% - Accent2 43" xfId="1353"/>
    <cellStyle name="60% - Accent2 44" xfId="1354"/>
    <cellStyle name="60% - Accent2 45" xfId="1355"/>
    <cellStyle name="60% - Accent2 46" xfId="1356"/>
    <cellStyle name="60% - Accent2 47" xfId="1357"/>
    <cellStyle name="60% - Accent2 48" xfId="1358"/>
    <cellStyle name="60% - Accent2 49" xfId="1359"/>
    <cellStyle name="60% - Accent2 5" xfId="1360"/>
    <cellStyle name="60% - Accent2 50" xfId="1361"/>
    <cellStyle name="60% - Accent2 51" xfId="1362"/>
    <cellStyle name="60% - Accent2 52" xfId="1363"/>
    <cellStyle name="60% - Accent2 53" xfId="1364"/>
    <cellStyle name="60% - Accent2 54" xfId="1365"/>
    <cellStyle name="60% - Accent2 55" xfId="1366"/>
    <cellStyle name="60% - Accent2 56" xfId="1367"/>
    <cellStyle name="60% - Accent2 57" xfId="1368"/>
    <cellStyle name="60% - Accent2 58" xfId="1369"/>
    <cellStyle name="60% - Accent2 59" xfId="1370"/>
    <cellStyle name="60% - Accent2 6" xfId="1371"/>
    <cellStyle name="60% - Accent2 60" xfId="1372"/>
    <cellStyle name="60% - Accent2 61" xfId="1373"/>
    <cellStyle name="60% - Accent2 62" xfId="1374"/>
    <cellStyle name="60% - Accent2 63" xfId="1375"/>
    <cellStyle name="60% - Accent2 64" xfId="1376"/>
    <cellStyle name="60% - Accent2 65" xfId="1377"/>
    <cellStyle name="60% - Accent2 66" xfId="1378"/>
    <cellStyle name="60% - Accent2 67" xfId="1379"/>
    <cellStyle name="60% - Accent2 68" xfId="1380"/>
    <cellStyle name="60% - Accent2 69" xfId="1381"/>
    <cellStyle name="60% - Accent2 7" xfId="1382"/>
    <cellStyle name="60% - Accent2 70" xfId="1383"/>
    <cellStyle name="60% - Accent2 71" xfId="1384"/>
    <cellStyle name="60% - Accent2 72" xfId="1385"/>
    <cellStyle name="60% - Accent2 73" xfId="1386"/>
    <cellStyle name="60% - Accent2 74" xfId="1387"/>
    <cellStyle name="60% - Accent2 75" xfId="1388"/>
    <cellStyle name="60% - Accent2 76" xfId="1389"/>
    <cellStyle name="60% - Accent2 77" xfId="1390"/>
    <cellStyle name="60% - Accent2 78" xfId="1391"/>
    <cellStyle name="60% - Accent2 8" xfId="1392"/>
    <cellStyle name="60% - Accent2 9" xfId="1393"/>
    <cellStyle name="60% - Accent3" xfId="30" builtinId="40" customBuiltin="1"/>
    <cellStyle name="60% - Accent3 10" xfId="1394"/>
    <cellStyle name="60% - Accent3 11" xfId="1395"/>
    <cellStyle name="60% - Accent3 12" xfId="1396"/>
    <cellStyle name="60% - Accent3 13" xfId="1397"/>
    <cellStyle name="60% - Accent3 14" xfId="1398"/>
    <cellStyle name="60% - Accent3 15" xfId="1399"/>
    <cellStyle name="60% - Accent3 16" xfId="1400"/>
    <cellStyle name="60% - Accent3 17" xfId="1401"/>
    <cellStyle name="60% - Accent3 18" xfId="1402"/>
    <cellStyle name="60% - Accent3 19" xfId="1403"/>
    <cellStyle name="60% - Accent3 2" xfId="1404"/>
    <cellStyle name="60% - Accent3 2 2" xfId="1405"/>
    <cellStyle name="60% - Accent3 2 3" xfId="1406"/>
    <cellStyle name="60% - Accent3 20" xfId="1407"/>
    <cellStyle name="60% - Accent3 21" xfId="1408"/>
    <cellStyle name="60% - Accent3 22" xfId="1409"/>
    <cellStyle name="60% - Accent3 23" xfId="1410"/>
    <cellStyle name="60% - Accent3 24" xfId="1411"/>
    <cellStyle name="60% - Accent3 25" xfId="1412"/>
    <cellStyle name="60% - Accent3 26" xfId="1413"/>
    <cellStyle name="60% - Accent3 27" xfId="1414"/>
    <cellStyle name="60% - Accent3 28" xfId="1415"/>
    <cellStyle name="60% - Accent3 29" xfId="1416"/>
    <cellStyle name="60% - Accent3 3" xfId="1417"/>
    <cellStyle name="60% - Accent3 30" xfId="1418"/>
    <cellStyle name="60% - Accent3 31" xfId="1419"/>
    <cellStyle name="60% - Accent3 32" xfId="1420"/>
    <cellStyle name="60% - Accent3 33" xfId="1421"/>
    <cellStyle name="60% - Accent3 34" xfId="1422"/>
    <cellStyle name="60% - Accent3 35" xfId="1423"/>
    <cellStyle name="60% - Accent3 36" xfId="1424"/>
    <cellStyle name="60% - Accent3 37" xfId="1425"/>
    <cellStyle name="60% - Accent3 38" xfId="1426"/>
    <cellStyle name="60% - Accent3 39" xfId="1427"/>
    <cellStyle name="60% - Accent3 4" xfId="1428"/>
    <cellStyle name="60% - Accent3 40" xfId="1429"/>
    <cellStyle name="60% - Accent3 41" xfId="1430"/>
    <cellStyle name="60% - Accent3 42" xfId="1431"/>
    <cellStyle name="60% - Accent3 43" xfId="1432"/>
    <cellStyle name="60% - Accent3 44" xfId="1433"/>
    <cellStyle name="60% - Accent3 45" xfId="1434"/>
    <cellStyle name="60% - Accent3 46" xfId="1435"/>
    <cellStyle name="60% - Accent3 47" xfId="1436"/>
    <cellStyle name="60% - Accent3 48" xfId="1437"/>
    <cellStyle name="60% - Accent3 49" xfId="1438"/>
    <cellStyle name="60% - Accent3 5" xfId="1439"/>
    <cellStyle name="60% - Accent3 50" xfId="1440"/>
    <cellStyle name="60% - Accent3 51" xfId="1441"/>
    <cellStyle name="60% - Accent3 52" xfId="1442"/>
    <cellStyle name="60% - Accent3 53" xfId="1443"/>
    <cellStyle name="60% - Accent3 54" xfId="1444"/>
    <cellStyle name="60% - Accent3 55" xfId="1445"/>
    <cellStyle name="60% - Accent3 56" xfId="1446"/>
    <cellStyle name="60% - Accent3 57" xfId="1447"/>
    <cellStyle name="60% - Accent3 58" xfId="1448"/>
    <cellStyle name="60% - Accent3 59" xfId="1449"/>
    <cellStyle name="60% - Accent3 6" xfId="1450"/>
    <cellStyle name="60% - Accent3 60" xfId="1451"/>
    <cellStyle name="60% - Accent3 61" xfId="1452"/>
    <cellStyle name="60% - Accent3 62" xfId="1453"/>
    <cellStyle name="60% - Accent3 63" xfId="1454"/>
    <cellStyle name="60% - Accent3 64" xfId="1455"/>
    <cellStyle name="60% - Accent3 65" xfId="1456"/>
    <cellStyle name="60% - Accent3 66" xfId="1457"/>
    <cellStyle name="60% - Accent3 67" xfId="1458"/>
    <cellStyle name="60% - Accent3 68" xfId="1459"/>
    <cellStyle name="60% - Accent3 69" xfId="1460"/>
    <cellStyle name="60% - Accent3 7" xfId="1461"/>
    <cellStyle name="60% - Accent3 70" xfId="1462"/>
    <cellStyle name="60% - Accent3 71" xfId="1463"/>
    <cellStyle name="60% - Accent3 72" xfId="1464"/>
    <cellStyle name="60% - Accent3 73" xfId="1465"/>
    <cellStyle name="60% - Accent3 74" xfId="1466"/>
    <cellStyle name="60% - Accent3 75" xfId="1467"/>
    <cellStyle name="60% - Accent3 76" xfId="1468"/>
    <cellStyle name="60% - Accent3 77" xfId="1469"/>
    <cellStyle name="60% - Accent3 78" xfId="1470"/>
    <cellStyle name="60% - Accent3 79" xfId="1471"/>
    <cellStyle name="60% - Accent3 8" xfId="1472"/>
    <cellStyle name="60% - Accent3 9" xfId="1473"/>
    <cellStyle name="60% - Accent4" xfId="34" builtinId="44" customBuiltin="1"/>
    <cellStyle name="60% - Accent4 10" xfId="1474"/>
    <cellStyle name="60% - Accent4 11" xfId="1475"/>
    <cellStyle name="60% - Accent4 12" xfId="1476"/>
    <cellStyle name="60% - Accent4 13" xfId="1477"/>
    <cellStyle name="60% - Accent4 14" xfId="1478"/>
    <cellStyle name="60% - Accent4 15" xfId="1479"/>
    <cellStyle name="60% - Accent4 16" xfId="1480"/>
    <cellStyle name="60% - Accent4 17" xfId="1481"/>
    <cellStyle name="60% - Accent4 18" xfId="1482"/>
    <cellStyle name="60% - Accent4 19" xfId="1483"/>
    <cellStyle name="60% - Accent4 2" xfId="1484"/>
    <cellStyle name="60% - Accent4 2 2" xfId="1485"/>
    <cellStyle name="60% - Accent4 2 3" xfId="1486"/>
    <cellStyle name="60% - Accent4 20" xfId="1487"/>
    <cellStyle name="60% - Accent4 21" xfId="1488"/>
    <cellStyle name="60% - Accent4 22" xfId="1489"/>
    <cellStyle name="60% - Accent4 23" xfId="1490"/>
    <cellStyle name="60% - Accent4 24" xfId="1491"/>
    <cellStyle name="60% - Accent4 25" xfId="1492"/>
    <cellStyle name="60% - Accent4 26" xfId="1493"/>
    <cellStyle name="60% - Accent4 27" xfId="1494"/>
    <cellStyle name="60% - Accent4 28" xfId="1495"/>
    <cellStyle name="60% - Accent4 29" xfId="1496"/>
    <cellStyle name="60% - Accent4 3" xfId="1497"/>
    <cellStyle name="60% - Accent4 30" xfId="1498"/>
    <cellStyle name="60% - Accent4 31" xfId="1499"/>
    <cellStyle name="60% - Accent4 32" xfId="1500"/>
    <cellStyle name="60% - Accent4 33" xfId="1501"/>
    <cellStyle name="60% - Accent4 34" xfId="1502"/>
    <cellStyle name="60% - Accent4 35" xfId="1503"/>
    <cellStyle name="60% - Accent4 36" xfId="1504"/>
    <cellStyle name="60% - Accent4 37" xfId="1505"/>
    <cellStyle name="60% - Accent4 38" xfId="1506"/>
    <cellStyle name="60% - Accent4 39" xfId="1507"/>
    <cellStyle name="60% - Accent4 4" xfId="1508"/>
    <cellStyle name="60% - Accent4 40" xfId="1509"/>
    <cellStyle name="60% - Accent4 41" xfId="1510"/>
    <cellStyle name="60% - Accent4 42" xfId="1511"/>
    <cellStyle name="60% - Accent4 43" xfId="1512"/>
    <cellStyle name="60% - Accent4 44" xfId="1513"/>
    <cellStyle name="60% - Accent4 45" xfId="1514"/>
    <cellStyle name="60% - Accent4 46" xfId="1515"/>
    <cellStyle name="60% - Accent4 47" xfId="1516"/>
    <cellStyle name="60% - Accent4 48" xfId="1517"/>
    <cellStyle name="60% - Accent4 49" xfId="1518"/>
    <cellStyle name="60% - Accent4 5" xfId="1519"/>
    <cellStyle name="60% - Accent4 50" xfId="1520"/>
    <cellStyle name="60% - Accent4 51" xfId="1521"/>
    <cellStyle name="60% - Accent4 52" xfId="1522"/>
    <cellStyle name="60% - Accent4 53" xfId="1523"/>
    <cellStyle name="60% - Accent4 54" xfId="1524"/>
    <cellStyle name="60% - Accent4 55" xfId="1525"/>
    <cellStyle name="60% - Accent4 56" xfId="1526"/>
    <cellStyle name="60% - Accent4 57" xfId="1527"/>
    <cellStyle name="60% - Accent4 58" xfId="1528"/>
    <cellStyle name="60% - Accent4 59" xfId="1529"/>
    <cellStyle name="60% - Accent4 6" xfId="1530"/>
    <cellStyle name="60% - Accent4 60" xfId="1531"/>
    <cellStyle name="60% - Accent4 61" xfId="1532"/>
    <cellStyle name="60% - Accent4 62" xfId="1533"/>
    <cellStyle name="60% - Accent4 63" xfId="1534"/>
    <cellStyle name="60% - Accent4 64" xfId="1535"/>
    <cellStyle name="60% - Accent4 65" xfId="1536"/>
    <cellStyle name="60% - Accent4 66" xfId="1537"/>
    <cellStyle name="60% - Accent4 67" xfId="1538"/>
    <cellStyle name="60% - Accent4 68" xfId="1539"/>
    <cellStyle name="60% - Accent4 69" xfId="1540"/>
    <cellStyle name="60% - Accent4 7" xfId="1541"/>
    <cellStyle name="60% - Accent4 70" xfId="1542"/>
    <cellStyle name="60% - Accent4 71" xfId="1543"/>
    <cellStyle name="60% - Accent4 72" xfId="1544"/>
    <cellStyle name="60% - Accent4 73" xfId="1545"/>
    <cellStyle name="60% - Accent4 74" xfId="1546"/>
    <cellStyle name="60% - Accent4 75" xfId="1547"/>
    <cellStyle name="60% - Accent4 76" xfId="1548"/>
    <cellStyle name="60% - Accent4 77" xfId="1549"/>
    <cellStyle name="60% - Accent4 78" xfId="1550"/>
    <cellStyle name="60% - Accent4 79" xfId="1551"/>
    <cellStyle name="60% - Accent4 8" xfId="1552"/>
    <cellStyle name="60% - Accent4 9" xfId="1553"/>
    <cellStyle name="60% - Accent5" xfId="38" builtinId="48" customBuiltin="1"/>
    <cellStyle name="60% - Accent5 10" xfId="1554"/>
    <cellStyle name="60% - Accent5 11" xfId="1555"/>
    <cellStyle name="60% - Accent5 12" xfId="1556"/>
    <cellStyle name="60% - Accent5 13" xfId="1557"/>
    <cellStyle name="60% - Accent5 14" xfId="1558"/>
    <cellStyle name="60% - Accent5 15" xfId="1559"/>
    <cellStyle name="60% - Accent5 16" xfId="1560"/>
    <cellStyle name="60% - Accent5 17" xfId="1561"/>
    <cellStyle name="60% - Accent5 18" xfId="1562"/>
    <cellStyle name="60% - Accent5 19" xfId="1563"/>
    <cellStyle name="60% - Accent5 2" xfId="1564"/>
    <cellStyle name="60% - Accent5 2 2" xfId="1565"/>
    <cellStyle name="60% - Accent5 2 3" xfId="1566"/>
    <cellStyle name="60% - Accent5 20" xfId="1567"/>
    <cellStyle name="60% - Accent5 21" xfId="1568"/>
    <cellStyle name="60% - Accent5 22" xfId="1569"/>
    <cellStyle name="60% - Accent5 23" xfId="1570"/>
    <cellStyle name="60% - Accent5 24" xfId="1571"/>
    <cellStyle name="60% - Accent5 25" xfId="1572"/>
    <cellStyle name="60% - Accent5 26" xfId="1573"/>
    <cellStyle name="60% - Accent5 27" xfId="1574"/>
    <cellStyle name="60% - Accent5 28" xfId="1575"/>
    <cellStyle name="60% - Accent5 29" xfId="1576"/>
    <cellStyle name="60% - Accent5 3" xfId="1577"/>
    <cellStyle name="60% - Accent5 30" xfId="1578"/>
    <cellStyle name="60% - Accent5 31" xfId="1579"/>
    <cellStyle name="60% - Accent5 32" xfId="1580"/>
    <cellStyle name="60% - Accent5 33" xfId="1581"/>
    <cellStyle name="60% - Accent5 34" xfId="1582"/>
    <cellStyle name="60% - Accent5 35" xfId="1583"/>
    <cellStyle name="60% - Accent5 36" xfId="1584"/>
    <cellStyle name="60% - Accent5 37" xfId="1585"/>
    <cellStyle name="60% - Accent5 38" xfId="1586"/>
    <cellStyle name="60% - Accent5 39" xfId="1587"/>
    <cellStyle name="60% - Accent5 4" xfId="1588"/>
    <cellStyle name="60% - Accent5 40" xfId="1589"/>
    <cellStyle name="60% - Accent5 41" xfId="1590"/>
    <cellStyle name="60% - Accent5 42" xfId="1591"/>
    <cellStyle name="60% - Accent5 43" xfId="1592"/>
    <cellStyle name="60% - Accent5 44" xfId="1593"/>
    <cellStyle name="60% - Accent5 45" xfId="1594"/>
    <cellStyle name="60% - Accent5 46" xfId="1595"/>
    <cellStyle name="60% - Accent5 47" xfId="1596"/>
    <cellStyle name="60% - Accent5 48" xfId="1597"/>
    <cellStyle name="60% - Accent5 49" xfId="1598"/>
    <cellStyle name="60% - Accent5 5" xfId="1599"/>
    <cellStyle name="60% - Accent5 50" xfId="1600"/>
    <cellStyle name="60% - Accent5 51" xfId="1601"/>
    <cellStyle name="60% - Accent5 52" xfId="1602"/>
    <cellStyle name="60% - Accent5 53" xfId="1603"/>
    <cellStyle name="60% - Accent5 54" xfId="1604"/>
    <cellStyle name="60% - Accent5 55" xfId="1605"/>
    <cellStyle name="60% - Accent5 56" xfId="1606"/>
    <cellStyle name="60% - Accent5 57" xfId="1607"/>
    <cellStyle name="60% - Accent5 58" xfId="1608"/>
    <cellStyle name="60% - Accent5 59" xfId="1609"/>
    <cellStyle name="60% - Accent5 6" xfId="1610"/>
    <cellStyle name="60% - Accent5 60" xfId="1611"/>
    <cellStyle name="60% - Accent5 61" xfId="1612"/>
    <cellStyle name="60% - Accent5 62" xfId="1613"/>
    <cellStyle name="60% - Accent5 63" xfId="1614"/>
    <cellStyle name="60% - Accent5 64" xfId="1615"/>
    <cellStyle name="60% - Accent5 65" xfId="1616"/>
    <cellStyle name="60% - Accent5 66" xfId="1617"/>
    <cellStyle name="60% - Accent5 67" xfId="1618"/>
    <cellStyle name="60% - Accent5 68" xfId="1619"/>
    <cellStyle name="60% - Accent5 69" xfId="1620"/>
    <cellStyle name="60% - Accent5 7" xfId="1621"/>
    <cellStyle name="60% - Accent5 70" xfId="1622"/>
    <cellStyle name="60% - Accent5 71" xfId="1623"/>
    <cellStyle name="60% - Accent5 72" xfId="1624"/>
    <cellStyle name="60% - Accent5 73" xfId="1625"/>
    <cellStyle name="60% - Accent5 74" xfId="1626"/>
    <cellStyle name="60% - Accent5 75" xfId="1627"/>
    <cellStyle name="60% - Accent5 76" xfId="1628"/>
    <cellStyle name="60% - Accent5 77" xfId="1629"/>
    <cellStyle name="60% - Accent5 78" xfId="1630"/>
    <cellStyle name="60% - Accent5 8" xfId="1631"/>
    <cellStyle name="60% - Accent5 9" xfId="1632"/>
    <cellStyle name="60% - Accent6" xfId="42" builtinId="52" customBuiltin="1"/>
    <cellStyle name="60% - Accent6 10" xfId="1633"/>
    <cellStyle name="60% - Accent6 11" xfId="1634"/>
    <cellStyle name="60% - Accent6 12" xfId="1635"/>
    <cellStyle name="60% - Accent6 13" xfId="1636"/>
    <cellStyle name="60% - Accent6 14" xfId="1637"/>
    <cellStyle name="60% - Accent6 15" xfId="1638"/>
    <cellStyle name="60% - Accent6 16" xfId="1639"/>
    <cellStyle name="60% - Accent6 17" xfId="1640"/>
    <cellStyle name="60% - Accent6 18" xfId="1641"/>
    <cellStyle name="60% - Accent6 19" xfId="1642"/>
    <cellStyle name="60% - Accent6 2" xfId="1643"/>
    <cellStyle name="60% - Accent6 2 2" xfId="1644"/>
    <cellStyle name="60% - Accent6 2 3" xfId="1645"/>
    <cellStyle name="60% - Accent6 20" xfId="1646"/>
    <cellStyle name="60% - Accent6 21" xfId="1647"/>
    <cellStyle name="60% - Accent6 22" xfId="1648"/>
    <cellStyle name="60% - Accent6 23" xfId="1649"/>
    <cellStyle name="60% - Accent6 24" xfId="1650"/>
    <cellStyle name="60% - Accent6 25" xfId="1651"/>
    <cellStyle name="60% - Accent6 26" xfId="1652"/>
    <cellStyle name="60% - Accent6 27" xfId="1653"/>
    <cellStyle name="60% - Accent6 28" xfId="1654"/>
    <cellStyle name="60% - Accent6 29" xfId="1655"/>
    <cellStyle name="60% - Accent6 3" xfId="1656"/>
    <cellStyle name="60% - Accent6 30" xfId="1657"/>
    <cellStyle name="60% - Accent6 31" xfId="1658"/>
    <cellStyle name="60% - Accent6 32" xfId="1659"/>
    <cellStyle name="60% - Accent6 33" xfId="1660"/>
    <cellStyle name="60% - Accent6 34" xfId="1661"/>
    <cellStyle name="60% - Accent6 35" xfId="1662"/>
    <cellStyle name="60% - Accent6 36" xfId="1663"/>
    <cellStyle name="60% - Accent6 37" xfId="1664"/>
    <cellStyle name="60% - Accent6 38" xfId="1665"/>
    <cellStyle name="60% - Accent6 39" xfId="1666"/>
    <cellStyle name="60% - Accent6 4" xfId="1667"/>
    <cellStyle name="60% - Accent6 40" xfId="1668"/>
    <cellStyle name="60% - Accent6 41" xfId="1669"/>
    <cellStyle name="60% - Accent6 42" xfId="1670"/>
    <cellStyle name="60% - Accent6 43" xfId="1671"/>
    <cellStyle name="60% - Accent6 44" xfId="1672"/>
    <cellStyle name="60% - Accent6 45" xfId="1673"/>
    <cellStyle name="60% - Accent6 46" xfId="1674"/>
    <cellStyle name="60% - Accent6 47" xfId="1675"/>
    <cellStyle name="60% - Accent6 48" xfId="1676"/>
    <cellStyle name="60% - Accent6 49" xfId="1677"/>
    <cellStyle name="60% - Accent6 5" xfId="1678"/>
    <cellStyle name="60% - Accent6 50" xfId="1679"/>
    <cellStyle name="60% - Accent6 51" xfId="1680"/>
    <cellStyle name="60% - Accent6 52" xfId="1681"/>
    <cellStyle name="60% - Accent6 53" xfId="1682"/>
    <cellStyle name="60% - Accent6 54" xfId="1683"/>
    <cellStyle name="60% - Accent6 55" xfId="1684"/>
    <cellStyle name="60% - Accent6 56" xfId="1685"/>
    <cellStyle name="60% - Accent6 57" xfId="1686"/>
    <cellStyle name="60% - Accent6 58" xfId="1687"/>
    <cellStyle name="60% - Accent6 59" xfId="1688"/>
    <cellStyle name="60% - Accent6 6" xfId="1689"/>
    <cellStyle name="60% - Accent6 60" xfId="1690"/>
    <cellStyle name="60% - Accent6 61" xfId="1691"/>
    <cellStyle name="60% - Accent6 62" xfId="1692"/>
    <cellStyle name="60% - Accent6 63" xfId="1693"/>
    <cellStyle name="60% - Accent6 64" xfId="1694"/>
    <cellStyle name="60% - Accent6 65" xfId="1695"/>
    <cellStyle name="60% - Accent6 66" xfId="1696"/>
    <cellStyle name="60% - Accent6 67" xfId="1697"/>
    <cellStyle name="60% - Accent6 68" xfId="1698"/>
    <cellStyle name="60% - Accent6 69" xfId="1699"/>
    <cellStyle name="60% - Accent6 7" xfId="1700"/>
    <cellStyle name="60% - Accent6 70" xfId="1701"/>
    <cellStyle name="60% - Accent6 71" xfId="1702"/>
    <cellStyle name="60% - Accent6 72" xfId="1703"/>
    <cellStyle name="60% - Accent6 73" xfId="1704"/>
    <cellStyle name="60% - Accent6 74" xfId="1705"/>
    <cellStyle name="60% - Accent6 75" xfId="1706"/>
    <cellStyle name="60% - Accent6 76" xfId="1707"/>
    <cellStyle name="60% - Accent6 77" xfId="1708"/>
    <cellStyle name="60% - Accent6 78" xfId="1709"/>
    <cellStyle name="60% - Accent6 79" xfId="1710"/>
    <cellStyle name="60% - Accent6 8" xfId="1711"/>
    <cellStyle name="60% - Accent6 9" xfId="1712"/>
    <cellStyle name="Accent1" xfId="19" builtinId="29" customBuiltin="1"/>
    <cellStyle name="Accent1 10" xfId="1713"/>
    <cellStyle name="Accent1 11" xfId="1714"/>
    <cellStyle name="Accent1 12" xfId="1715"/>
    <cellStyle name="Accent1 13" xfId="1716"/>
    <cellStyle name="Accent1 14" xfId="1717"/>
    <cellStyle name="Accent1 15" xfId="1718"/>
    <cellStyle name="Accent1 16" xfId="1719"/>
    <cellStyle name="Accent1 17" xfId="1720"/>
    <cellStyle name="Accent1 18" xfId="1721"/>
    <cellStyle name="Accent1 19" xfId="1722"/>
    <cellStyle name="Accent1 2" xfId="1723"/>
    <cellStyle name="Accent1 2 2" xfId="1724"/>
    <cellStyle name="Accent1 2 3" xfId="1725"/>
    <cellStyle name="Accent1 20" xfId="1726"/>
    <cellStyle name="Accent1 21" xfId="1727"/>
    <cellStyle name="Accent1 22" xfId="1728"/>
    <cellStyle name="Accent1 23" xfId="1729"/>
    <cellStyle name="Accent1 24" xfId="1730"/>
    <cellStyle name="Accent1 25" xfId="1731"/>
    <cellStyle name="Accent1 26" xfId="1732"/>
    <cellStyle name="Accent1 27" xfId="1733"/>
    <cellStyle name="Accent1 28" xfId="1734"/>
    <cellStyle name="Accent1 29" xfId="1735"/>
    <cellStyle name="Accent1 3" xfId="1736"/>
    <cellStyle name="Accent1 30" xfId="1737"/>
    <cellStyle name="Accent1 31" xfId="1738"/>
    <cellStyle name="Accent1 32" xfId="1739"/>
    <cellStyle name="Accent1 33" xfId="1740"/>
    <cellStyle name="Accent1 34" xfId="1741"/>
    <cellStyle name="Accent1 35" xfId="1742"/>
    <cellStyle name="Accent1 36" xfId="1743"/>
    <cellStyle name="Accent1 37" xfId="1744"/>
    <cellStyle name="Accent1 38" xfId="1745"/>
    <cellStyle name="Accent1 39" xfId="1746"/>
    <cellStyle name="Accent1 4" xfId="1747"/>
    <cellStyle name="Accent1 40" xfId="1748"/>
    <cellStyle name="Accent1 41" xfId="1749"/>
    <cellStyle name="Accent1 42" xfId="1750"/>
    <cellStyle name="Accent1 43" xfId="1751"/>
    <cellStyle name="Accent1 44" xfId="1752"/>
    <cellStyle name="Accent1 45" xfId="1753"/>
    <cellStyle name="Accent1 46" xfId="1754"/>
    <cellStyle name="Accent1 47" xfId="1755"/>
    <cellStyle name="Accent1 48" xfId="1756"/>
    <cellStyle name="Accent1 49" xfId="1757"/>
    <cellStyle name="Accent1 5" xfId="1758"/>
    <cellStyle name="Accent1 50" xfId="1759"/>
    <cellStyle name="Accent1 51" xfId="1760"/>
    <cellStyle name="Accent1 52" xfId="1761"/>
    <cellStyle name="Accent1 53" xfId="1762"/>
    <cellStyle name="Accent1 54" xfId="1763"/>
    <cellStyle name="Accent1 55" xfId="1764"/>
    <cellStyle name="Accent1 56" xfId="1765"/>
    <cellStyle name="Accent1 57" xfId="1766"/>
    <cellStyle name="Accent1 58" xfId="1767"/>
    <cellStyle name="Accent1 59" xfId="1768"/>
    <cellStyle name="Accent1 6" xfId="1769"/>
    <cellStyle name="Accent1 60" xfId="1770"/>
    <cellStyle name="Accent1 61" xfId="1771"/>
    <cellStyle name="Accent1 62" xfId="1772"/>
    <cellStyle name="Accent1 63" xfId="1773"/>
    <cellStyle name="Accent1 64" xfId="1774"/>
    <cellStyle name="Accent1 65" xfId="1775"/>
    <cellStyle name="Accent1 66" xfId="1776"/>
    <cellStyle name="Accent1 67" xfId="1777"/>
    <cellStyle name="Accent1 68" xfId="1778"/>
    <cellStyle name="Accent1 69" xfId="1779"/>
    <cellStyle name="Accent1 7" xfId="1780"/>
    <cellStyle name="Accent1 70" xfId="1781"/>
    <cellStyle name="Accent1 71" xfId="1782"/>
    <cellStyle name="Accent1 72" xfId="1783"/>
    <cellStyle name="Accent1 73" xfId="1784"/>
    <cellStyle name="Accent1 74" xfId="1785"/>
    <cellStyle name="Accent1 75" xfId="1786"/>
    <cellStyle name="Accent1 76" xfId="1787"/>
    <cellStyle name="Accent1 77" xfId="1788"/>
    <cellStyle name="Accent1 78" xfId="1789"/>
    <cellStyle name="Accent1 79" xfId="1790"/>
    <cellStyle name="Accent1 8" xfId="1791"/>
    <cellStyle name="Accent1 9" xfId="1792"/>
    <cellStyle name="Accent2" xfId="23" builtinId="33" customBuiltin="1"/>
    <cellStyle name="Accent2 10" xfId="1793"/>
    <cellStyle name="Accent2 11" xfId="1794"/>
    <cellStyle name="Accent2 12" xfId="1795"/>
    <cellStyle name="Accent2 13" xfId="1796"/>
    <cellStyle name="Accent2 14" xfId="1797"/>
    <cellStyle name="Accent2 15" xfId="1798"/>
    <cellStyle name="Accent2 16" xfId="1799"/>
    <cellStyle name="Accent2 17" xfId="1800"/>
    <cellStyle name="Accent2 18" xfId="1801"/>
    <cellStyle name="Accent2 19" xfId="1802"/>
    <cellStyle name="Accent2 2" xfId="1803"/>
    <cellStyle name="Accent2 2 2" xfId="1804"/>
    <cellStyle name="Accent2 2 3" xfId="1805"/>
    <cellStyle name="Accent2 20" xfId="1806"/>
    <cellStyle name="Accent2 21" xfId="1807"/>
    <cellStyle name="Accent2 22" xfId="1808"/>
    <cellStyle name="Accent2 23" xfId="1809"/>
    <cellStyle name="Accent2 24" xfId="1810"/>
    <cellStyle name="Accent2 25" xfId="1811"/>
    <cellStyle name="Accent2 26" xfId="1812"/>
    <cellStyle name="Accent2 27" xfId="1813"/>
    <cellStyle name="Accent2 28" xfId="1814"/>
    <cellStyle name="Accent2 29" xfId="1815"/>
    <cellStyle name="Accent2 3" xfId="1816"/>
    <cellStyle name="Accent2 30" xfId="1817"/>
    <cellStyle name="Accent2 31" xfId="1818"/>
    <cellStyle name="Accent2 32" xfId="1819"/>
    <cellStyle name="Accent2 33" xfId="1820"/>
    <cellStyle name="Accent2 34" xfId="1821"/>
    <cellStyle name="Accent2 35" xfId="1822"/>
    <cellStyle name="Accent2 36" xfId="1823"/>
    <cellStyle name="Accent2 37" xfId="1824"/>
    <cellStyle name="Accent2 38" xfId="1825"/>
    <cellStyle name="Accent2 39" xfId="1826"/>
    <cellStyle name="Accent2 4" xfId="1827"/>
    <cellStyle name="Accent2 40" xfId="1828"/>
    <cellStyle name="Accent2 41" xfId="1829"/>
    <cellStyle name="Accent2 42" xfId="1830"/>
    <cellStyle name="Accent2 43" xfId="1831"/>
    <cellStyle name="Accent2 44" xfId="1832"/>
    <cellStyle name="Accent2 45" xfId="1833"/>
    <cellStyle name="Accent2 46" xfId="1834"/>
    <cellStyle name="Accent2 47" xfId="1835"/>
    <cellStyle name="Accent2 48" xfId="1836"/>
    <cellStyle name="Accent2 49" xfId="1837"/>
    <cellStyle name="Accent2 5" xfId="1838"/>
    <cellStyle name="Accent2 50" xfId="1839"/>
    <cellStyle name="Accent2 51" xfId="1840"/>
    <cellStyle name="Accent2 52" xfId="1841"/>
    <cellStyle name="Accent2 53" xfId="1842"/>
    <cellStyle name="Accent2 54" xfId="1843"/>
    <cellStyle name="Accent2 55" xfId="1844"/>
    <cellStyle name="Accent2 56" xfId="1845"/>
    <cellStyle name="Accent2 57" xfId="1846"/>
    <cellStyle name="Accent2 58" xfId="1847"/>
    <cellStyle name="Accent2 59" xfId="1848"/>
    <cellStyle name="Accent2 6" xfId="1849"/>
    <cellStyle name="Accent2 60" xfId="1850"/>
    <cellStyle name="Accent2 61" xfId="1851"/>
    <cellStyle name="Accent2 62" xfId="1852"/>
    <cellStyle name="Accent2 63" xfId="1853"/>
    <cellStyle name="Accent2 64" xfId="1854"/>
    <cellStyle name="Accent2 65" xfId="1855"/>
    <cellStyle name="Accent2 66" xfId="1856"/>
    <cellStyle name="Accent2 67" xfId="1857"/>
    <cellStyle name="Accent2 68" xfId="1858"/>
    <cellStyle name="Accent2 69" xfId="1859"/>
    <cellStyle name="Accent2 7" xfId="1860"/>
    <cellStyle name="Accent2 70" xfId="1861"/>
    <cellStyle name="Accent2 71" xfId="1862"/>
    <cellStyle name="Accent2 72" xfId="1863"/>
    <cellStyle name="Accent2 73" xfId="1864"/>
    <cellStyle name="Accent2 74" xfId="1865"/>
    <cellStyle name="Accent2 75" xfId="1866"/>
    <cellStyle name="Accent2 76" xfId="1867"/>
    <cellStyle name="Accent2 77" xfId="1868"/>
    <cellStyle name="Accent2 78" xfId="1869"/>
    <cellStyle name="Accent2 8" xfId="1870"/>
    <cellStyle name="Accent2 9" xfId="1871"/>
    <cellStyle name="Accent3" xfId="27" builtinId="37" customBuiltin="1"/>
    <cellStyle name="Accent3 10" xfId="1872"/>
    <cellStyle name="Accent3 11" xfId="1873"/>
    <cellStyle name="Accent3 12" xfId="1874"/>
    <cellStyle name="Accent3 13" xfId="1875"/>
    <cellStyle name="Accent3 14" xfId="1876"/>
    <cellStyle name="Accent3 15" xfId="1877"/>
    <cellStyle name="Accent3 16" xfId="1878"/>
    <cellStyle name="Accent3 17" xfId="1879"/>
    <cellStyle name="Accent3 18" xfId="1880"/>
    <cellStyle name="Accent3 19" xfId="1881"/>
    <cellStyle name="Accent3 2" xfId="1882"/>
    <cellStyle name="Accent3 2 2" xfId="1883"/>
    <cellStyle name="Accent3 2 3" xfId="1884"/>
    <cellStyle name="Accent3 20" xfId="1885"/>
    <cellStyle name="Accent3 21" xfId="1886"/>
    <cellStyle name="Accent3 22" xfId="1887"/>
    <cellStyle name="Accent3 23" xfId="1888"/>
    <cellStyle name="Accent3 24" xfId="1889"/>
    <cellStyle name="Accent3 25" xfId="1890"/>
    <cellStyle name="Accent3 26" xfId="1891"/>
    <cellStyle name="Accent3 27" xfId="1892"/>
    <cellStyle name="Accent3 28" xfId="1893"/>
    <cellStyle name="Accent3 29" xfId="1894"/>
    <cellStyle name="Accent3 3" xfId="1895"/>
    <cellStyle name="Accent3 30" xfId="1896"/>
    <cellStyle name="Accent3 31" xfId="1897"/>
    <cellStyle name="Accent3 32" xfId="1898"/>
    <cellStyle name="Accent3 33" xfId="1899"/>
    <cellStyle name="Accent3 34" xfId="1900"/>
    <cellStyle name="Accent3 35" xfId="1901"/>
    <cellStyle name="Accent3 36" xfId="1902"/>
    <cellStyle name="Accent3 37" xfId="1903"/>
    <cellStyle name="Accent3 38" xfId="1904"/>
    <cellStyle name="Accent3 39" xfId="1905"/>
    <cellStyle name="Accent3 4" xfId="1906"/>
    <cellStyle name="Accent3 40" xfId="1907"/>
    <cellStyle name="Accent3 41" xfId="1908"/>
    <cellStyle name="Accent3 42" xfId="1909"/>
    <cellStyle name="Accent3 43" xfId="1910"/>
    <cellStyle name="Accent3 44" xfId="1911"/>
    <cellStyle name="Accent3 45" xfId="1912"/>
    <cellStyle name="Accent3 46" xfId="1913"/>
    <cellStyle name="Accent3 47" xfId="1914"/>
    <cellStyle name="Accent3 48" xfId="1915"/>
    <cellStyle name="Accent3 49" xfId="1916"/>
    <cellStyle name="Accent3 5" xfId="1917"/>
    <cellStyle name="Accent3 50" xfId="1918"/>
    <cellStyle name="Accent3 51" xfId="1919"/>
    <cellStyle name="Accent3 52" xfId="1920"/>
    <cellStyle name="Accent3 53" xfId="1921"/>
    <cellStyle name="Accent3 54" xfId="1922"/>
    <cellStyle name="Accent3 55" xfId="1923"/>
    <cellStyle name="Accent3 56" xfId="1924"/>
    <cellStyle name="Accent3 57" xfId="1925"/>
    <cellStyle name="Accent3 58" xfId="1926"/>
    <cellStyle name="Accent3 59" xfId="1927"/>
    <cellStyle name="Accent3 6" xfId="1928"/>
    <cellStyle name="Accent3 60" xfId="1929"/>
    <cellStyle name="Accent3 61" xfId="1930"/>
    <cellStyle name="Accent3 62" xfId="1931"/>
    <cellStyle name="Accent3 63" xfId="1932"/>
    <cellStyle name="Accent3 64" xfId="1933"/>
    <cellStyle name="Accent3 65" xfId="1934"/>
    <cellStyle name="Accent3 66" xfId="1935"/>
    <cellStyle name="Accent3 67" xfId="1936"/>
    <cellStyle name="Accent3 68" xfId="1937"/>
    <cellStyle name="Accent3 69" xfId="1938"/>
    <cellStyle name="Accent3 7" xfId="1939"/>
    <cellStyle name="Accent3 70" xfId="1940"/>
    <cellStyle name="Accent3 71" xfId="1941"/>
    <cellStyle name="Accent3 72" xfId="1942"/>
    <cellStyle name="Accent3 73" xfId="1943"/>
    <cellStyle name="Accent3 74" xfId="1944"/>
    <cellStyle name="Accent3 75" xfId="1945"/>
    <cellStyle name="Accent3 76" xfId="1946"/>
    <cellStyle name="Accent3 77" xfId="1947"/>
    <cellStyle name="Accent3 78" xfId="1948"/>
    <cellStyle name="Accent3 8" xfId="1949"/>
    <cellStyle name="Accent3 9" xfId="1950"/>
    <cellStyle name="Accent4" xfId="31" builtinId="41" customBuiltin="1"/>
    <cellStyle name="Accent4 10" xfId="1951"/>
    <cellStyle name="Accent4 11" xfId="1952"/>
    <cellStyle name="Accent4 12" xfId="1953"/>
    <cellStyle name="Accent4 13" xfId="1954"/>
    <cellStyle name="Accent4 14" xfId="1955"/>
    <cellStyle name="Accent4 15" xfId="1956"/>
    <cellStyle name="Accent4 16" xfId="1957"/>
    <cellStyle name="Accent4 17" xfId="1958"/>
    <cellStyle name="Accent4 18" xfId="1959"/>
    <cellStyle name="Accent4 19" xfId="1960"/>
    <cellStyle name="Accent4 2" xfId="1961"/>
    <cellStyle name="Accent4 2 2" xfId="1962"/>
    <cellStyle name="Accent4 2 3" xfId="1963"/>
    <cellStyle name="Accent4 20" xfId="1964"/>
    <cellStyle name="Accent4 21" xfId="1965"/>
    <cellStyle name="Accent4 22" xfId="1966"/>
    <cellStyle name="Accent4 23" xfId="1967"/>
    <cellStyle name="Accent4 24" xfId="1968"/>
    <cellStyle name="Accent4 25" xfId="1969"/>
    <cellStyle name="Accent4 26" xfId="1970"/>
    <cellStyle name="Accent4 27" xfId="1971"/>
    <cellStyle name="Accent4 28" xfId="1972"/>
    <cellStyle name="Accent4 29" xfId="1973"/>
    <cellStyle name="Accent4 3" xfId="1974"/>
    <cellStyle name="Accent4 30" xfId="1975"/>
    <cellStyle name="Accent4 31" xfId="1976"/>
    <cellStyle name="Accent4 32" xfId="1977"/>
    <cellStyle name="Accent4 33" xfId="1978"/>
    <cellStyle name="Accent4 34" xfId="1979"/>
    <cellStyle name="Accent4 35" xfId="1980"/>
    <cellStyle name="Accent4 36" xfId="1981"/>
    <cellStyle name="Accent4 37" xfId="1982"/>
    <cellStyle name="Accent4 38" xfId="1983"/>
    <cellStyle name="Accent4 39" xfId="1984"/>
    <cellStyle name="Accent4 4" xfId="1985"/>
    <cellStyle name="Accent4 40" xfId="1986"/>
    <cellStyle name="Accent4 41" xfId="1987"/>
    <cellStyle name="Accent4 42" xfId="1988"/>
    <cellStyle name="Accent4 43" xfId="1989"/>
    <cellStyle name="Accent4 44" xfId="1990"/>
    <cellStyle name="Accent4 45" xfId="1991"/>
    <cellStyle name="Accent4 46" xfId="1992"/>
    <cellStyle name="Accent4 47" xfId="1993"/>
    <cellStyle name="Accent4 48" xfId="1994"/>
    <cellStyle name="Accent4 49" xfId="1995"/>
    <cellStyle name="Accent4 5" xfId="1996"/>
    <cellStyle name="Accent4 50" xfId="1997"/>
    <cellStyle name="Accent4 51" xfId="1998"/>
    <cellStyle name="Accent4 52" xfId="1999"/>
    <cellStyle name="Accent4 53" xfId="2000"/>
    <cellStyle name="Accent4 54" xfId="2001"/>
    <cellStyle name="Accent4 55" xfId="2002"/>
    <cellStyle name="Accent4 56" xfId="2003"/>
    <cellStyle name="Accent4 57" xfId="2004"/>
    <cellStyle name="Accent4 58" xfId="2005"/>
    <cellStyle name="Accent4 59" xfId="2006"/>
    <cellStyle name="Accent4 6" xfId="2007"/>
    <cellStyle name="Accent4 60" xfId="2008"/>
    <cellStyle name="Accent4 61" xfId="2009"/>
    <cellStyle name="Accent4 62" xfId="2010"/>
    <cellStyle name="Accent4 63" xfId="2011"/>
    <cellStyle name="Accent4 64" xfId="2012"/>
    <cellStyle name="Accent4 65" xfId="2013"/>
    <cellStyle name="Accent4 66" xfId="2014"/>
    <cellStyle name="Accent4 67" xfId="2015"/>
    <cellStyle name="Accent4 68" xfId="2016"/>
    <cellStyle name="Accent4 69" xfId="2017"/>
    <cellStyle name="Accent4 7" xfId="2018"/>
    <cellStyle name="Accent4 70" xfId="2019"/>
    <cellStyle name="Accent4 71" xfId="2020"/>
    <cellStyle name="Accent4 72" xfId="2021"/>
    <cellStyle name="Accent4 73" xfId="2022"/>
    <cellStyle name="Accent4 74" xfId="2023"/>
    <cellStyle name="Accent4 75" xfId="2024"/>
    <cellStyle name="Accent4 76" xfId="2025"/>
    <cellStyle name="Accent4 77" xfId="2026"/>
    <cellStyle name="Accent4 78" xfId="2027"/>
    <cellStyle name="Accent4 79" xfId="2028"/>
    <cellStyle name="Accent4 8" xfId="2029"/>
    <cellStyle name="Accent4 9" xfId="2030"/>
    <cellStyle name="Accent5" xfId="35" builtinId="45" customBuiltin="1"/>
    <cellStyle name="Accent5 10" xfId="2031"/>
    <cellStyle name="Accent5 11" xfId="2032"/>
    <cellStyle name="Accent5 12" xfId="2033"/>
    <cellStyle name="Accent5 13" xfId="2034"/>
    <cellStyle name="Accent5 14" xfId="2035"/>
    <cellStyle name="Accent5 15" xfId="2036"/>
    <cellStyle name="Accent5 16" xfId="2037"/>
    <cellStyle name="Accent5 17" xfId="2038"/>
    <cellStyle name="Accent5 18" xfId="2039"/>
    <cellStyle name="Accent5 19" xfId="2040"/>
    <cellStyle name="Accent5 2" xfId="2041"/>
    <cellStyle name="Accent5 2 2" xfId="2042"/>
    <cellStyle name="Accent5 2 3" xfId="2043"/>
    <cellStyle name="Accent5 20" xfId="2044"/>
    <cellStyle name="Accent5 21" xfId="2045"/>
    <cellStyle name="Accent5 22" xfId="2046"/>
    <cellStyle name="Accent5 23" xfId="2047"/>
    <cellStyle name="Accent5 24" xfId="2048"/>
    <cellStyle name="Accent5 25" xfId="2049"/>
    <cellStyle name="Accent5 26" xfId="2050"/>
    <cellStyle name="Accent5 27" xfId="2051"/>
    <cellStyle name="Accent5 28" xfId="2052"/>
    <cellStyle name="Accent5 29" xfId="2053"/>
    <cellStyle name="Accent5 3" xfId="2054"/>
    <cellStyle name="Accent5 30" xfId="2055"/>
    <cellStyle name="Accent5 31" xfId="2056"/>
    <cellStyle name="Accent5 32" xfId="2057"/>
    <cellStyle name="Accent5 33" xfId="2058"/>
    <cellStyle name="Accent5 34" xfId="2059"/>
    <cellStyle name="Accent5 35" xfId="2060"/>
    <cellStyle name="Accent5 36" xfId="2061"/>
    <cellStyle name="Accent5 37" xfId="2062"/>
    <cellStyle name="Accent5 38" xfId="2063"/>
    <cellStyle name="Accent5 39" xfId="2064"/>
    <cellStyle name="Accent5 4" xfId="2065"/>
    <cellStyle name="Accent5 40" xfId="2066"/>
    <cellStyle name="Accent5 41" xfId="2067"/>
    <cellStyle name="Accent5 42" xfId="2068"/>
    <cellStyle name="Accent5 43" xfId="2069"/>
    <cellStyle name="Accent5 44" xfId="2070"/>
    <cellStyle name="Accent5 45" xfId="2071"/>
    <cellStyle name="Accent5 46" xfId="2072"/>
    <cellStyle name="Accent5 47" xfId="2073"/>
    <cellStyle name="Accent5 48" xfId="2074"/>
    <cellStyle name="Accent5 49" xfId="2075"/>
    <cellStyle name="Accent5 5" xfId="2076"/>
    <cellStyle name="Accent5 50" xfId="2077"/>
    <cellStyle name="Accent5 51" xfId="2078"/>
    <cellStyle name="Accent5 52" xfId="2079"/>
    <cellStyle name="Accent5 53" xfId="2080"/>
    <cellStyle name="Accent5 54" xfId="2081"/>
    <cellStyle name="Accent5 55" xfId="2082"/>
    <cellStyle name="Accent5 56" xfId="2083"/>
    <cellStyle name="Accent5 57" xfId="2084"/>
    <cellStyle name="Accent5 58" xfId="2085"/>
    <cellStyle name="Accent5 59" xfId="2086"/>
    <cellStyle name="Accent5 6" xfId="2087"/>
    <cellStyle name="Accent5 60" xfId="2088"/>
    <cellStyle name="Accent5 61" xfId="2089"/>
    <cellStyle name="Accent5 62" xfId="2090"/>
    <cellStyle name="Accent5 63" xfId="2091"/>
    <cellStyle name="Accent5 64" xfId="2092"/>
    <cellStyle name="Accent5 65" xfId="2093"/>
    <cellStyle name="Accent5 66" xfId="2094"/>
    <cellStyle name="Accent5 67" xfId="2095"/>
    <cellStyle name="Accent5 68" xfId="2096"/>
    <cellStyle name="Accent5 69" xfId="2097"/>
    <cellStyle name="Accent5 7" xfId="2098"/>
    <cellStyle name="Accent5 70" xfId="2099"/>
    <cellStyle name="Accent5 71" xfId="2100"/>
    <cellStyle name="Accent5 72" xfId="2101"/>
    <cellStyle name="Accent5 73" xfId="2102"/>
    <cellStyle name="Accent5 74" xfId="2103"/>
    <cellStyle name="Accent5 75" xfId="2104"/>
    <cellStyle name="Accent5 76" xfId="2105"/>
    <cellStyle name="Accent5 77" xfId="2106"/>
    <cellStyle name="Accent5 78" xfId="2107"/>
    <cellStyle name="Accent5 8" xfId="2108"/>
    <cellStyle name="Accent5 9" xfId="2109"/>
    <cellStyle name="Accent6" xfId="39" builtinId="49" customBuiltin="1"/>
    <cellStyle name="Accent6 10" xfId="2110"/>
    <cellStyle name="Accent6 11" xfId="2111"/>
    <cellStyle name="Accent6 12" xfId="2112"/>
    <cellStyle name="Accent6 13" xfId="2113"/>
    <cellStyle name="Accent6 14" xfId="2114"/>
    <cellStyle name="Accent6 15" xfId="2115"/>
    <cellStyle name="Accent6 16" xfId="2116"/>
    <cellStyle name="Accent6 17" xfId="2117"/>
    <cellStyle name="Accent6 18" xfId="2118"/>
    <cellStyle name="Accent6 19" xfId="2119"/>
    <cellStyle name="Accent6 2" xfId="2120"/>
    <cellStyle name="Accent6 2 2" xfId="2121"/>
    <cellStyle name="Accent6 2 3" xfId="2122"/>
    <cellStyle name="Accent6 20" xfId="2123"/>
    <cellStyle name="Accent6 21" xfId="2124"/>
    <cellStyle name="Accent6 22" xfId="2125"/>
    <cellStyle name="Accent6 23" xfId="2126"/>
    <cellStyle name="Accent6 24" xfId="2127"/>
    <cellStyle name="Accent6 25" xfId="2128"/>
    <cellStyle name="Accent6 26" xfId="2129"/>
    <cellStyle name="Accent6 27" xfId="2130"/>
    <cellStyle name="Accent6 28" xfId="2131"/>
    <cellStyle name="Accent6 29" xfId="2132"/>
    <cellStyle name="Accent6 3" xfId="2133"/>
    <cellStyle name="Accent6 30" xfId="2134"/>
    <cellStyle name="Accent6 31" xfId="2135"/>
    <cellStyle name="Accent6 32" xfId="2136"/>
    <cellStyle name="Accent6 33" xfId="2137"/>
    <cellStyle name="Accent6 34" xfId="2138"/>
    <cellStyle name="Accent6 35" xfId="2139"/>
    <cellStyle name="Accent6 36" xfId="2140"/>
    <cellStyle name="Accent6 37" xfId="2141"/>
    <cellStyle name="Accent6 38" xfId="2142"/>
    <cellStyle name="Accent6 39" xfId="2143"/>
    <cellStyle name="Accent6 4" xfId="2144"/>
    <cellStyle name="Accent6 40" xfId="2145"/>
    <cellStyle name="Accent6 41" xfId="2146"/>
    <cellStyle name="Accent6 42" xfId="2147"/>
    <cellStyle name="Accent6 43" xfId="2148"/>
    <cellStyle name="Accent6 44" xfId="2149"/>
    <cellStyle name="Accent6 45" xfId="2150"/>
    <cellStyle name="Accent6 46" xfId="2151"/>
    <cellStyle name="Accent6 47" xfId="2152"/>
    <cellStyle name="Accent6 48" xfId="2153"/>
    <cellStyle name="Accent6 49" xfId="2154"/>
    <cellStyle name="Accent6 5" xfId="2155"/>
    <cellStyle name="Accent6 50" xfId="2156"/>
    <cellStyle name="Accent6 51" xfId="2157"/>
    <cellStyle name="Accent6 52" xfId="2158"/>
    <cellStyle name="Accent6 53" xfId="2159"/>
    <cellStyle name="Accent6 54" xfId="2160"/>
    <cellStyle name="Accent6 55" xfId="2161"/>
    <cellStyle name="Accent6 56" xfId="2162"/>
    <cellStyle name="Accent6 57" xfId="2163"/>
    <cellStyle name="Accent6 58" xfId="2164"/>
    <cellStyle name="Accent6 59" xfId="2165"/>
    <cellStyle name="Accent6 6" xfId="2166"/>
    <cellStyle name="Accent6 60" xfId="2167"/>
    <cellStyle name="Accent6 61" xfId="2168"/>
    <cellStyle name="Accent6 62" xfId="2169"/>
    <cellStyle name="Accent6 63" xfId="2170"/>
    <cellStyle name="Accent6 64" xfId="2171"/>
    <cellStyle name="Accent6 65" xfId="2172"/>
    <cellStyle name="Accent6 66" xfId="2173"/>
    <cellStyle name="Accent6 67" xfId="2174"/>
    <cellStyle name="Accent6 68" xfId="2175"/>
    <cellStyle name="Accent6 69" xfId="2176"/>
    <cellStyle name="Accent6 7" xfId="2177"/>
    <cellStyle name="Accent6 70" xfId="2178"/>
    <cellStyle name="Accent6 71" xfId="2179"/>
    <cellStyle name="Accent6 72" xfId="2180"/>
    <cellStyle name="Accent6 73" xfId="2181"/>
    <cellStyle name="Accent6 74" xfId="2182"/>
    <cellStyle name="Accent6 75" xfId="2183"/>
    <cellStyle name="Accent6 76" xfId="2184"/>
    <cellStyle name="Accent6 77" xfId="2185"/>
    <cellStyle name="Accent6 78" xfId="2186"/>
    <cellStyle name="Accent6 8" xfId="2187"/>
    <cellStyle name="Accent6 9" xfId="2188"/>
    <cellStyle name="Bad" xfId="8" builtinId="27" customBuiltin="1"/>
    <cellStyle name="Bad 10" xfId="2189"/>
    <cellStyle name="Bad 11" xfId="2190"/>
    <cellStyle name="Bad 12" xfId="2191"/>
    <cellStyle name="Bad 13" xfId="2192"/>
    <cellStyle name="Bad 14" xfId="2193"/>
    <cellStyle name="Bad 15" xfId="2194"/>
    <cellStyle name="Bad 16" xfId="2195"/>
    <cellStyle name="Bad 17" xfId="2196"/>
    <cellStyle name="Bad 18" xfId="2197"/>
    <cellStyle name="Bad 19" xfId="2198"/>
    <cellStyle name="Bad 2" xfId="2199"/>
    <cellStyle name="Bad 2 2" xfId="2200"/>
    <cellStyle name="Bad 2 3" xfId="2201"/>
    <cellStyle name="Bad 20" xfId="2202"/>
    <cellStyle name="Bad 21" xfId="2203"/>
    <cellStyle name="Bad 22" xfId="2204"/>
    <cellStyle name="Bad 23" xfId="2205"/>
    <cellStyle name="Bad 24" xfId="2206"/>
    <cellStyle name="Bad 25" xfId="2207"/>
    <cellStyle name="Bad 26" xfId="2208"/>
    <cellStyle name="Bad 27" xfId="2209"/>
    <cellStyle name="Bad 28" xfId="2210"/>
    <cellStyle name="Bad 29" xfId="2211"/>
    <cellStyle name="Bad 3" xfId="2212"/>
    <cellStyle name="Bad 3 2" xfId="2213"/>
    <cellStyle name="Bad 30" xfId="2214"/>
    <cellStyle name="Bad 31" xfId="2215"/>
    <cellStyle name="Bad 32" xfId="2216"/>
    <cellStyle name="Bad 33" xfId="2217"/>
    <cellStyle name="Bad 34" xfId="2218"/>
    <cellStyle name="Bad 35" xfId="2219"/>
    <cellStyle name="Bad 36" xfId="2220"/>
    <cellStyle name="Bad 37" xfId="2221"/>
    <cellStyle name="Bad 38" xfId="2222"/>
    <cellStyle name="Bad 39" xfId="2223"/>
    <cellStyle name="Bad 4" xfId="2224"/>
    <cellStyle name="Bad 40" xfId="2225"/>
    <cellStyle name="Bad 41" xfId="2226"/>
    <cellStyle name="Bad 42" xfId="2227"/>
    <cellStyle name="Bad 43" xfId="2228"/>
    <cellStyle name="Bad 44" xfId="2229"/>
    <cellStyle name="Bad 45" xfId="2230"/>
    <cellStyle name="Bad 46" xfId="2231"/>
    <cellStyle name="Bad 47" xfId="2232"/>
    <cellStyle name="Bad 48" xfId="2233"/>
    <cellStyle name="Bad 49" xfId="2234"/>
    <cellStyle name="Bad 5" xfId="2235"/>
    <cellStyle name="Bad 50" xfId="2236"/>
    <cellStyle name="Bad 51" xfId="2237"/>
    <cellStyle name="Bad 52" xfId="2238"/>
    <cellStyle name="Bad 53" xfId="2239"/>
    <cellStyle name="Bad 54" xfId="2240"/>
    <cellStyle name="Bad 55" xfId="2241"/>
    <cellStyle name="Bad 56" xfId="2242"/>
    <cellStyle name="Bad 57" xfId="2243"/>
    <cellStyle name="Bad 58" xfId="2244"/>
    <cellStyle name="Bad 59" xfId="2245"/>
    <cellStyle name="Bad 6" xfId="2246"/>
    <cellStyle name="Bad 60" xfId="2247"/>
    <cellStyle name="Bad 61" xfId="2248"/>
    <cellStyle name="Bad 62" xfId="2249"/>
    <cellStyle name="Bad 63" xfId="2250"/>
    <cellStyle name="Bad 64" xfId="2251"/>
    <cellStyle name="Bad 65" xfId="2252"/>
    <cellStyle name="Bad 66" xfId="2253"/>
    <cellStyle name="Bad 67" xfId="2254"/>
    <cellStyle name="Bad 68" xfId="2255"/>
    <cellStyle name="Bad 69" xfId="2256"/>
    <cellStyle name="Bad 7" xfId="2257"/>
    <cellStyle name="Bad 70" xfId="2258"/>
    <cellStyle name="Bad 71" xfId="2259"/>
    <cellStyle name="Bad 72" xfId="2260"/>
    <cellStyle name="Bad 73" xfId="2261"/>
    <cellStyle name="Bad 74" xfId="2262"/>
    <cellStyle name="Bad 75" xfId="2263"/>
    <cellStyle name="Bad 76" xfId="2264"/>
    <cellStyle name="Bad 77" xfId="2265"/>
    <cellStyle name="Bad 78" xfId="2266"/>
    <cellStyle name="Bad 8" xfId="2267"/>
    <cellStyle name="Bad 9" xfId="2268"/>
    <cellStyle name="Calculation" xfId="12" builtinId="22" customBuiltin="1"/>
    <cellStyle name="Calculation 10" xfId="2269"/>
    <cellStyle name="Calculation 11" xfId="2270"/>
    <cellStyle name="Calculation 12" xfId="2271"/>
    <cellStyle name="Calculation 13" xfId="2272"/>
    <cellStyle name="Calculation 14" xfId="2273"/>
    <cellStyle name="Calculation 15" xfId="2274"/>
    <cellStyle name="Calculation 16" xfId="2275"/>
    <cellStyle name="Calculation 17" xfId="2276"/>
    <cellStyle name="Calculation 18" xfId="2277"/>
    <cellStyle name="Calculation 19" xfId="2278"/>
    <cellStyle name="Calculation 2" xfId="2279"/>
    <cellStyle name="Calculation 2 2" xfId="2280"/>
    <cellStyle name="Calculation 2 3" xfId="2281"/>
    <cellStyle name="Calculation 20" xfId="2282"/>
    <cellStyle name="Calculation 21" xfId="2283"/>
    <cellStyle name="Calculation 22" xfId="2284"/>
    <cellStyle name="Calculation 23" xfId="2285"/>
    <cellStyle name="Calculation 24" xfId="2286"/>
    <cellStyle name="Calculation 25" xfId="2287"/>
    <cellStyle name="Calculation 26" xfId="2288"/>
    <cellStyle name="Calculation 27" xfId="2289"/>
    <cellStyle name="Calculation 28" xfId="2290"/>
    <cellStyle name="Calculation 29" xfId="2291"/>
    <cellStyle name="Calculation 3" xfId="2292"/>
    <cellStyle name="Calculation 30" xfId="2293"/>
    <cellStyle name="Calculation 31" xfId="2294"/>
    <cellStyle name="Calculation 32" xfId="2295"/>
    <cellStyle name="Calculation 33" xfId="2296"/>
    <cellStyle name="Calculation 34" xfId="2297"/>
    <cellStyle name="Calculation 35" xfId="2298"/>
    <cellStyle name="Calculation 36" xfId="2299"/>
    <cellStyle name="Calculation 37" xfId="2300"/>
    <cellStyle name="Calculation 38" xfId="2301"/>
    <cellStyle name="Calculation 39" xfId="2302"/>
    <cellStyle name="Calculation 4" xfId="2303"/>
    <cellStyle name="Calculation 40" xfId="2304"/>
    <cellStyle name="Calculation 41" xfId="2305"/>
    <cellStyle name="Calculation 42" xfId="2306"/>
    <cellStyle name="Calculation 43" xfId="2307"/>
    <cellStyle name="Calculation 44" xfId="2308"/>
    <cellStyle name="Calculation 45" xfId="2309"/>
    <cellStyle name="Calculation 46" xfId="2310"/>
    <cellStyle name="Calculation 47" xfId="2311"/>
    <cellStyle name="Calculation 48" xfId="2312"/>
    <cellStyle name="Calculation 49" xfId="2313"/>
    <cellStyle name="Calculation 5" xfId="2314"/>
    <cellStyle name="Calculation 50" xfId="2315"/>
    <cellStyle name="Calculation 51" xfId="2316"/>
    <cellStyle name="Calculation 52" xfId="2317"/>
    <cellStyle name="Calculation 53" xfId="2318"/>
    <cellStyle name="Calculation 54" xfId="2319"/>
    <cellStyle name="Calculation 55" xfId="2320"/>
    <cellStyle name="Calculation 56" xfId="2321"/>
    <cellStyle name="Calculation 57" xfId="2322"/>
    <cellStyle name="Calculation 58" xfId="2323"/>
    <cellStyle name="Calculation 59" xfId="2324"/>
    <cellStyle name="Calculation 6" xfId="2325"/>
    <cellStyle name="Calculation 60" xfId="2326"/>
    <cellStyle name="Calculation 61" xfId="2327"/>
    <cellStyle name="Calculation 62" xfId="2328"/>
    <cellStyle name="Calculation 63" xfId="2329"/>
    <cellStyle name="Calculation 64" xfId="2330"/>
    <cellStyle name="Calculation 65" xfId="2331"/>
    <cellStyle name="Calculation 66" xfId="2332"/>
    <cellStyle name="Calculation 67" xfId="2333"/>
    <cellStyle name="Calculation 68" xfId="2334"/>
    <cellStyle name="Calculation 69" xfId="2335"/>
    <cellStyle name="Calculation 7" xfId="2336"/>
    <cellStyle name="Calculation 70" xfId="2337"/>
    <cellStyle name="Calculation 71" xfId="2338"/>
    <cellStyle name="Calculation 72" xfId="2339"/>
    <cellStyle name="Calculation 73" xfId="2340"/>
    <cellStyle name="Calculation 74" xfId="2341"/>
    <cellStyle name="Calculation 75" xfId="2342"/>
    <cellStyle name="Calculation 76" xfId="2343"/>
    <cellStyle name="Calculation 77" xfId="2344"/>
    <cellStyle name="Calculation 78" xfId="2345"/>
    <cellStyle name="Calculation 79" xfId="2346"/>
    <cellStyle name="Calculation 8" xfId="2347"/>
    <cellStyle name="Calculation 9" xfId="2348"/>
    <cellStyle name="Check Cell" xfId="14" builtinId="23" customBuiltin="1"/>
    <cellStyle name="Check Cell 10" xfId="2349"/>
    <cellStyle name="Check Cell 11" xfId="2350"/>
    <cellStyle name="Check Cell 12" xfId="2351"/>
    <cellStyle name="Check Cell 13" xfId="2352"/>
    <cellStyle name="Check Cell 14" xfId="2353"/>
    <cellStyle name="Check Cell 15" xfId="2354"/>
    <cellStyle name="Check Cell 16" xfId="2355"/>
    <cellStyle name="Check Cell 17" xfId="2356"/>
    <cellStyle name="Check Cell 18" xfId="2357"/>
    <cellStyle name="Check Cell 19" xfId="2358"/>
    <cellStyle name="Check Cell 2" xfId="2359"/>
    <cellStyle name="Check Cell 2 2" xfId="2360"/>
    <cellStyle name="Check Cell 2 3" xfId="2361"/>
    <cellStyle name="Check Cell 20" xfId="2362"/>
    <cellStyle name="Check Cell 21" xfId="2363"/>
    <cellStyle name="Check Cell 22" xfId="2364"/>
    <cellStyle name="Check Cell 23" xfId="2365"/>
    <cellStyle name="Check Cell 24" xfId="2366"/>
    <cellStyle name="Check Cell 25" xfId="2367"/>
    <cellStyle name="Check Cell 26" xfId="2368"/>
    <cellStyle name="Check Cell 27" xfId="2369"/>
    <cellStyle name="Check Cell 28" xfId="2370"/>
    <cellStyle name="Check Cell 29" xfId="2371"/>
    <cellStyle name="Check Cell 3" xfId="2372"/>
    <cellStyle name="Check Cell 30" xfId="2373"/>
    <cellStyle name="Check Cell 31" xfId="2374"/>
    <cellStyle name="Check Cell 32" xfId="2375"/>
    <cellStyle name="Check Cell 33" xfId="2376"/>
    <cellStyle name="Check Cell 34" xfId="2377"/>
    <cellStyle name="Check Cell 35" xfId="2378"/>
    <cellStyle name="Check Cell 36" xfId="2379"/>
    <cellStyle name="Check Cell 37" xfId="2380"/>
    <cellStyle name="Check Cell 38" xfId="2381"/>
    <cellStyle name="Check Cell 39" xfId="2382"/>
    <cellStyle name="Check Cell 4" xfId="2383"/>
    <cellStyle name="Check Cell 40" xfId="2384"/>
    <cellStyle name="Check Cell 41" xfId="2385"/>
    <cellStyle name="Check Cell 42" xfId="2386"/>
    <cellStyle name="Check Cell 43" xfId="2387"/>
    <cellStyle name="Check Cell 44" xfId="2388"/>
    <cellStyle name="Check Cell 45" xfId="2389"/>
    <cellStyle name="Check Cell 46" xfId="2390"/>
    <cellStyle name="Check Cell 47" xfId="2391"/>
    <cellStyle name="Check Cell 48" xfId="2392"/>
    <cellStyle name="Check Cell 49" xfId="2393"/>
    <cellStyle name="Check Cell 5" xfId="2394"/>
    <cellStyle name="Check Cell 50" xfId="2395"/>
    <cellStyle name="Check Cell 51" xfId="2396"/>
    <cellStyle name="Check Cell 52" xfId="2397"/>
    <cellStyle name="Check Cell 53" xfId="2398"/>
    <cellStyle name="Check Cell 54" xfId="2399"/>
    <cellStyle name="Check Cell 55" xfId="2400"/>
    <cellStyle name="Check Cell 56" xfId="2401"/>
    <cellStyle name="Check Cell 57" xfId="2402"/>
    <cellStyle name="Check Cell 58" xfId="2403"/>
    <cellStyle name="Check Cell 59" xfId="2404"/>
    <cellStyle name="Check Cell 6" xfId="2405"/>
    <cellStyle name="Check Cell 60" xfId="2406"/>
    <cellStyle name="Check Cell 61" xfId="2407"/>
    <cellStyle name="Check Cell 62" xfId="2408"/>
    <cellStyle name="Check Cell 63" xfId="2409"/>
    <cellStyle name="Check Cell 64" xfId="2410"/>
    <cellStyle name="Check Cell 65" xfId="2411"/>
    <cellStyle name="Check Cell 66" xfId="2412"/>
    <cellStyle name="Check Cell 67" xfId="2413"/>
    <cellStyle name="Check Cell 68" xfId="2414"/>
    <cellStyle name="Check Cell 69" xfId="2415"/>
    <cellStyle name="Check Cell 7" xfId="2416"/>
    <cellStyle name="Check Cell 70" xfId="2417"/>
    <cellStyle name="Check Cell 71" xfId="2418"/>
    <cellStyle name="Check Cell 72" xfId="2419"/>
    <cellStyle name="Check Cell 73" xfId="2420"/>
    <cellStyle name="Check Cell 74" xfId="2421"/>
    <cellStyle name="Check Cell 75" xfId="2422"/>
    <cellStyle name="Check Cell 76" xfId="2423"/>
    <cellStyle name="Check Cell 77" xfId="2424"/>
    <cellStyle name="Check Cell 78" xfId="2425"/>
    <cellStyle name="Check Cell 8" xfId="2426"/>
    <cellStyle name="Check Cell 9" xfId="2427"/>
    <cellStyle name="Comma" xfId="1" builtinId="3"/>
    <cellStyle name="Comma [0] 2" xfId="2428"/>
    <cellStyle name="Comma 10" xfId="2429"/>
    <cellStyle name="Comma 100" xfId="2430"/>
    <cellStyle name="Comma 100 2" xfId="2431"/>
    <cellStyle name="Comma 101" xfId="2432"/>
    <cellStyle name="Comma 101 2" xfId="2433"/>
    <cellStyle name="Comma 102" xfId="2434"/>
    <cellStyle name="Comma 102 2" xfId="2435"/>
    <cellStyle name="Comma 103" xfId="2436"/>
    <cellStyle name="Comma 103 2" xfId="2437"/>
    <cellStyle name="Comma 104" xfId="2438"/>
    <cellStyle name="Comma 104 2" xfId="2439"/>
    <cellStyle name="Comma 105" xfId="2440"/>
    <cellStyle name="Comma 105 2" xfId="2441"/>
    <cellStyle name="Comma 106" xfId="2442"/>
    <cellStyle name="Comma 106 2" xfId="2443"/>
    <cellStyle name="Comma 107" xfId="2444"/>
    <cellStyle name="Comma 107 2" xfId="2445"/>
    <cellStyle name="Comma 108" xfId="2446"/>
    <cellStyle name="Comma 108 2" xfId="2447"/>
    <cellStyle name="Comma 109" xfId="2448"/>
    <cellStyle name="Comma 109 2" xfId="2449"/>
    <cellStyle name="Comma 11" xfId="2450"/>
    <cellStyle name="Comma 11 2" xfId="2451"/>
    <cellStyle name="Comma 110" xfId="2452"/>
    <cellStyle name="Comma 110 2" xfId="2453"/>
    <cellStyle name="Comma 111" xfId="2454"/>
    <cellStyle name="Comma 111 2" xfId="2455"/>
    <cellStyle name="Comma 112" xfId="2456"/>
    <cellStyle name="Comma 112 2" xfId="2457"/>
    <cellStyle name="Comma 113" xfId="2458"/>
    <cellStyle name="Comma 113 2" xfId="2459"/>
    <cellStyle name="Comma 114" xfId="2460"/>
    <cellStyle name="Comma 114 2" xfId="2461"/>
    <cellStyle name="Comma 115" xfId="2462"/>
    <cellStyle name="Comma 115 2" xfId="2463"/>
    <cellStyle name="Comma 116" xfId="2464"/>
    <cellStyle name="Comma 116 2" xfId="2465"/>
    <cellStyle name="Comma 117" xfId="2466"/>
    <cellStyle name="Comma 117 2" xfId="2467"/>
    <cellStyle name="Comma 118" xfId="2468"/>
    <cellStyle name="Comma 118 2" xfId="2469"/>
    <cellStyle name="Comma 118 2 2" xfId="2470"/>
    <cellStyle name="Comma 118 2 3" xfId="2471"/>
    <cellStyle name="Comma 118 3" xfId="2472"/>
    <cellStyle name="Comma 118 4" xfId="2473"/>
    <cellStyle name="Comma 118 5" xfId="2474"/>
    <cellStyle name="Comma 119" xfId="2475"/>
    <cellStyle name="Comma 119 2" xfId="2476"/>
    <cellStyle name="Comma 12" xfId="2477"/>
    <cellStyle name="Comma 12 2" xfId="2478"/>
    <cellStyle name="Comma 120" xfId="2479"/>
    <cellStyle name="Comma 120 2" xfId="2480"/>
    <cellStyle name="Comma 120 2 2" xfId="2481"/>
    <cellStyle name="Comma 120 2 3" xfId="2482"/>
    <cellStyle name="Comma 120 3" xfId="2483"/>
    <cellStyle name="Comma 120 4" xfId="2484"/>
    <cellStyle name="Comma 120 5" xfId="2485"/>
    <cellStyle name="Comma 121" xfId="2486"/>
    <cellStyle name="Comma 121 2" xfId="2487"/>
    <cellStyle name="Comma 122" xfId="2488"/>
    <cellStyle name="Comma 122 2" xfId="2489"/>
    <cellStyle name="Comma 122 2 2" xfId="2490"/>
    <cellStyle name="Comma 122 2 3" xfId="2491"/>
    <cellStyle name="Comma 122 3" xfId="2492"/>
    <cellStyle name="Comma 122 4" xfId="2493"/>
    <cellStyle name="Comma 122 5" xfId="2494"/>
    <cellStyle name="Comma 123" xfId="2495"/>
    <cellStyle name="Comma 123 2" xfId="2496"/>
    <cellStyle name="Comma 123 2 2" xfId="2497"/>
    <cellStyle name="Comma 123 2 3" xfId="2498"/>
    <cellStyle name="Comma 123 3" xfId="2499"/>
    <cellStyle name="Comma 123 4" xfId="2500"/>
    <cellStyle name="Comma 123 5" xfId="2501"/>
    <cellStyle name="Comma 124" xfId="2502"/>
    <cellStyle name="Comma 124 2" xfId="2503"/>
    <cellStyle name="Comma 125" xfId="2504"/>
    <cellStyle name="Comma 125 2" xfId="2505"/>
    <cellStyle name="Comma 126" xfId="2506"/>
    <cellStyle name="Comma 126 2" xfId="2507"/>
    <cellStyle name="Comma 127" xfId="2508"/>
    <cellStyle name="Comma 127 2" xfId="2509"/>
    <cellStyle name="Comma 128" xfId="2510"/>
    <cellStyle name="Comma 128 2" xfId="2511"/>
    <cellStyle name="Comma 129" xfId="2512"/>
    <cellStyle name="Comma 129 2" xfId="2513"/>
    <cellStyle name="Comma 13" xfId="2514"/>
    <cellStyle name="Comma 13 2" xfId="2515"/>
    <cellStyle name="Comma 130" xfId="2516"/>
    <cellStyle name="Comma 130 2" xfId="2517"/>
    <cellStyle name="Comma 131" xfId="2518"/>
    <cellStyle name="Comma 131 2" xfId="2519"/>
    <cellStyle name="Comma 132" xfId="2520"/>
    <cellStyle name="Comma 132 2" xfId="2521"/>
    <cellStyle name="Comma 133" xfId="2522"/>
    <cellStyle name="Comma 133 2" xfId="2523"/>
    <cellStyle name="Comma 134" xfId="2524"/>
    <cellStyle name="Comma 134 2" xfId="2525"/>
    <cellStyle name="Comma 135" xfId="2526"/>
    <cellStyle name="Comma 135 2" xfId="2527"/>
    <cellStyle name="Comma 135 3" xfId="2528"/>
    <cellStyle name="Comma 136" xfId="2529"/>
    <cellStyle name="Comma 136 2" xfId="2530"/>
    <cellStyle name="Comma 136 3" xfId="2531"/>
    <cellStyle name="Comma 137" xfId="2532"/>
    <cellStyle name="Comma 137 2" xfId="2533"/>
    <cellStyle name="Comma 137 3" xfId="2534"/>
    <cellStyle name="Comma 138" xfId="2535"/>
    <cellStyle name="Comma 138 2" xfId="2536"/>
    <cellStyle name="Comma 138 3" xfId="2537"/>
    <cellStyle name="Comma 139" xfId="2538"/>
    <cellStyle name="Comma 139 2" xfId="2539"/>
    <cellStyle name="Comma 139 3" xfId="2540"/>
    <cellStyle name="Comma 14" xfId="2541"/>
    <cellStyle name="Comma 14 2" xfId="2542"/>
    <cellStyle name="Comma 140" xfId="2543"/>
    <cellStyle name="Comma 140 2" xfId="2544"/>
    <cellStyle name="Comma 140 3" xfId="2545"/>
    <cellStyle name="Comma 141" xfId="2546"/>
    <cellStyle name="Comma 141 2" xfId="2547"/>
    <cellStyle name="Comma 141 3" xfId="2548"/>
    <cellStyle name="Comma 142" xfId="2549"/>
    <cellStyle name="Comma 142 2" xfId="2550"/>
    <cellStyle name="Comma 142 3" xfId="2551"/>
    <cellStyle name="Comma 143" xfId="2552"/>
    <cellStyle name="Comma 143 2" xfId="2553"/>
    <cellStyle name="Comma 143 3" xfId="2554"/>
    <cellStyle name="Comma 144" xfId="2555"/>
    <cellStyle name="Comma 144 2" xfId="2556"/>
    <cellStyle name="Comma 144 3" xfId="2557"/>
    <cellStyle name="Comma 145" xfId="2558"/>
    <cellStyle name="Comma 145 2" xfId="2559"/>
    <cellStyle name="Comma 145 3" xfId="2560"/>
    <cellStyle name="Comma 146" xfId="2561"/>
    <cellStyle name="Comma 146 2" xfId="2562"/>
    <cellStyle name="Comma 146 3" xfId="2563"/>
    <cellStyle name="Comma 147" xfId="2564"/>
    <cellStyle name="Comma 147 2" xfId="2565"/>
    <cellStyle name="Comma 147 3" xfId="2566"/>
    <cellStyle name="Comma 148" xfId="2567"/>
    <cellStyle name="Comma 149" xfId="2568"/>
    <cellStyle name="Comma 15" xfId="2569"/>
    <cellStyle name="Comma 15 2" xfId="2570"/>
    <cellStyle name="Comma 150" xfId="2571"/>
    <cellStyle name="Comma 151" xfId="2572"/>
    <cellStyle name="Comma 152" xfId="2573"/>
    <cellStyle name="Comma 153" xfId="2574"/>
    <cellStyle name="Comma 154" xfId="2575"/>
    <cellStyle name="Comma 155" xfId="2576"/>
    <cellStyle name="Comma 156" xfId="2577"/>
    <cellStyle name="Comma 157" xfId="2578"/>
    <cellStyle name="Comma 158" xfId="2579"/>
    <cellStyle name="Comma 159" xfId="2580"/>
    <cellStyle name="Comma 159 2" xfId="2581"/>
    <cellStyle name="Comma 16" xfId="2582"/>
    <cellStyle name="Comma 16 2" xfId="2583"/>
    <cellStyle name="Comma 160" xfId="2584"/>
    <cellStyle name="Comma 161" xfId="2585"/>
    <cellStyle name="Comma 162" xfId="2586"/>
    <cellStyle name="Comma 163" xfId="2587"/>
    <cellStyle name="Comma 164" xfId="2588"/>
    <cellStyle name="Comma 165" xfId="2589"/>
    <cellStyle name="Comma 166" xfId="2590"/>
    <cellStyle name="Comma 167" xfId="2591"/>
    <cellStyle name="Comma 168" xfId="2592"/>
    <cellStyle name="Comma 169" xfId="2593"/>
    <cellStyle name="Comma 17" xfId="2594"/>
    <cellStyle name="Comma 17 2" xfId="2595"/>
    <cellStyle name="Comma 17 2 2" xfId="2596"/>
    <cellStyle name="Comma 17 2 3" xfId="2597"/>
    <cellStyle name="Comma 17 3" xfId="2598"/>
    <cellStyle name="Comma 17 4" xfId="2599"/>
    <cellStyle name="Comma 17 5" xfId="2600"/>
    <cellStyle name="Comma 170" xfId="2601"/>
    <cellStyle name="Comma 171" xfId="2602"/>
    <cellStyle name="Comma 172" xfId="2603"/>
    <cellStyle name="Comma 173" xfId="2604"/>
    <cellStyle name="Comma 174" xfId="2605"/>
    <cellStyle name="Comma 175" xfId="2606"/>
    <cellStyle name="Comma 176" xfId="2607"/>
    <cellStyle name="Comma 177" xfId="2608"/>
    <cellStyle name="Comma 178" xfId="2609"/>
    <cellStyle name="Comma 179" xfId="2610"/>
    <cellStyle name="Comma 18" xfId="2611"/>
    <cellStyle name="Comma 18 2" xfId="2612"/>
    <cellStyle name="Comma 180" xfId="2613"/>
    <cellStyle name="Comma 181" xfId="2614"/>
    <cellStyle name="Comma 182" xfId="2615"/>
    <cellStyle name="Comma 183" xfId="2616"/>
    <cellStyle name="Comma 184" xfId="2617"/>
    <cellStyle name="Comma 185" xfId="2618"/>
    <cellStyle name="Comma 186" xfId="2619"/>
    <cellStyle name="Comma 187" xfId="2620"/>
    <cellStyle name="Comma 188" xfId="2621"/>
    <cellStyle name="Comma 189" xfId="2622"/>
    <cellStyle name="Comma 19" xfId="2623"/>
    <cellStyle name="Comma 19 2" xfId="2624"/>
    <cellStyle name="Comma 190" xfId="2625"/>
    <cellStyle name="Comma 191" xfId="2626"/>
    <cellStyle name="Comma 192" xfId="2627"/>
    <cellStyle name="Comma 193" xfId="2628"/>
    <cellStyle name="Comma 194" xfId="2629"/>
    <cellStyle name="Comma 2" xfId="45"/>
    <cellStyle name="Comma 2 10" xfId="2630"/>
    <cellStyle name="Comma 2 100" xfId="2631"/>
    <cellStyle name="Comma 2 101" xfId="2632"/>
    <cellStyle name="Comma 2 102" xfId="2633"/>
    <cellStyle name="Comma 2 103" xfId="2634"/>
    <cellStyle name="Comma 2 104" xfId="2635"/>
    <cellStyle name="Comma 2 105" xfId="2636"/>
    <cellStyle name="Comma 2 106" xfId="2637"/>
    <cellStyle name="Comma 2 107" xfId="2638"/>
    <cellStyle name="Comma 2 108" xfId="2639"/>
    <cellStyle name="Comma 2 109" xfId="2640"/>
    <cellStyle name="Comma 2 11" xfId="2641"/>
    <cellStyle name="Comma 2 110" xfId="2642"/>
    <cellStyle name="Comma 2 111" xfId="2643"/>
    <cellStyle name="Comma 2 112" xfId="2644"/>
    <cellStyle name="Comma 2 113" xfId="2645"/>
    <cellStyle name="Comma 2 114" xfId="2646"/>
    <cellStyle name="Comma 2 115" xfId="2647"/>
    <cellStyle name="Comma 2 116" xfId="2648"/>
    <cellStyle name="Comma 2 117" xfId="2649"/>
    <cellStyle name="Comma 2 118" xfId="2650"/>
    <cellStyle name="Comma 2 119" xfId="2651"/>
    <cellStyle name="Comma 2 12" xfId="2652"/>
    <cellStyle name="Comma 2 120" xfId="2653"/>
    <cellStyle name="Comma 2 121" xfId="2654"/>
    <cellStyle name="Comma 2 122" xfId="2655"/>
    <cellStyle name="Comma 2 123" xfId="2656"/>
    <cellStyle name="Comma 2 124" xfId="2657"/>
    <cellStyle name="Comma 2 125" xfId="2658"/>
    <cellStyle name="Comma 2 126" xfId="2659"/>
    <cellStyle name="Comma 2 127" xfId="2660"/>
    <cellStyle name="Comma 2 128" xfId="2661"/>
    <cellStyle name="Comma 2 129" xfId="2662"/>
    <cellStyle name="Comma 2 13" xfId="2663"/>
    <cellStyle name="Comma 2 130" xfId="2664"/>
    <cellStyle name="Comma 2 131" xfId="2665"/>
    <cellStyle name="Comma 2 132" xfId="2666"/>
    <cellStyle name="Comma 2 133" xfId="2667"/>
    <cellStyle name="Comma 2 134" xfId="2668"/>
    <cellStyle name="Comma 2 135" xfId="2669"/>
    <cellStyle name="Comma 2 136" xfId="2670"/>
    <cellStyle name="Comma 2 137" xfId="2671"/>
    <cellStyle name="Comma 2 138" xfId="2672"/>
    <cellStyle name="Comma 2 139" xfId="2673"/>
    <cellStyle name="Comma 2 14" xfId="2674"/>
    <cellStyle name="Comma 2 140" xfId="2675"/>
    <cellStyle name="Comma 2 141" xfId="2676"/>
    <cellStyle name="Comma 2 142" xfId="2677"/>
    <cellStyle name="Comma 2 143" xfId="2678"/>
    <cellStyle name="Comma 2 144" xfId="2679"/>
    <cellStyle name="Comma 2 145" xfId="2680"/>
    <cellStyle name="Comma 2 146" xfId="2681"/>
    <cellStyle name="Comma 2 147" xfId="2682"/>
    <cellStyle name="Comma 2 148" xfId="2683"/>
    <cellStyle name="Comma 2 149" xfId="2684"/>
    <cellStyle name="Comma 2 15" xfId="2685"/>
    <cellStyle name="Comma 2 150" xfId="2686"/>
    <cellStyle name="Comma 2 151" xfId="2687"/>
    <cellStyle name="Comma 2 152" xfId="2688"/>
    <cellStyle name="Comma 2 153" xfId="2689"/>
    <cellStyle name="Comma 2 154" xfId="2690"/>
    <cellStyle name="Comma 2 155" xfId="2691"/>
    <cellStyle name="Comma 2 156" xfId="2692"/>
    <cellStyle name="Comma 2 157" xfId="2693"/>
    <cellStyle name="Comma 2 158" xfId="2694"/>
    <cellStyle name="Comma 2 159" xfId="2695"/>
    <cellStyle name="Comma 2 16" xfId="2696"/>
    <cellStyle name="Comma 2 160" xfId="2697"/>
    <cellStyle name="Comma 2 161" xfId="2698"/>
    <cellStyle name="Comma 2 162" xfId="2699"/>
    <cellStyle name="Comma 2 163" xfId="2700"/>
    <cellStyle name="Comma 2 164" xfId="2701"/>
    <cellStyle name="Comma 2 165" xfId="2702"/>
    <cellStyle name="Comma 2 166" xfId="2703"/>
    <cellStyle name="Comma 2 167" xfId="2704"/>
    <cellStyle name="Comma 2 168" xfId="2705"/>
    <cellStyle name="Comma 2 169" xfId="2706"/>
    <cellStyle name="Comma 2 17" xfId="2707"/>
    <cellStyle name="Comma 2 170" xfId="2708"/>
    <cellStyle name="Comma 2 171" xfId="2709"/>
    <cellStyle name="Comma 2 172" xfId="2710"/>
    <cellStyle name="Comma 2 173" xfId="2711"/>
    <cellStyle name="Comma 2 174" xfId="2712"/>
    <cellStyle name="Comma 2 175" xfId="2713"/>
    <cellStyle name="Comma 2 176" xfId="2714"/>
    <cellStyle name="Comma 2 177" xfId="2715"/>
    <cellStyle name="Comma 2 178" xfId="2716"/>
    <cellStyle name="Comma 2 179" xfId="2717"/>
    <cellStyle name="Comma 2 18" xfId="2718"/>
    <cellStyle name="Comma 2 180" xfId="2719"/>
    <cellStyle name="Comma 2 181" xfId="2720"/>
    <cellStyle name="Comma 2 182" xfId="2721"/>
    <cellStyle name="Comma 2 183" xfId="2722"/>
    <cellStyle name="Comma 2 184" xfId="2723"/>
    <cellStyle name="Comma 2 185" xfId="2724"/>
    <cellStyle name="Comma 2 186" xfId="2725"/>
    <cellStyle name="Comma 2 187" xfId="2726"/>
    <cellStyle name="Comma 2 188" xfId="2727"/>
    <cellStyle name="Comma 2 189" xfId="2728"/>
    <cellStyle name="Comma 2 19" xfId="2729"/>
    <cellStyle name="Comma 2 190" xfId="2730"/>
    <cellStyle name="Comma 2 191" xfId="2731"/>
    <cellStyle name="Comma 2 192" xfId="2732"/>
    <cellStyle name="Comma 2 193" xfId="2733"/>
    <cellStyle name="Comma 2 194" xfId="2734"/>
    <cellStyle name="Comma 2 195" xfId="2735"/>
    <cellStyle name="Comma 2 196" xfId="2736"/>
    <cellStyle name="Comma 2 197" xfId="2737"/>
    <cellStyle name="Comma 2 198" xfId="2738"/>
    <cellStyle name="Comma 2 199" xfId="2739"/>
    <cellStyle name="Comma 2 2" xfId="122"/>
    <cellStyle name="Comma 2 2 10" xfId="2740"/>
    <cellStyle name="Comma 2 2 11" xfId="2741"/>
    <cellStyle name="Comma 2 2 12" xfId="2742"/>
    <cellStyle name="Comma 2 2 13" xfId="2743"/>
    <cellStyle name="Comma 2 2 14" xfId="2744"/>
    <cellStyle name="Comma 2 2 15" xfId="2745"/>
    <cellStyle name="Comma 2 2 16" xfId="2746"/>
    <cellStyle name="Comma 2 2 17" xfId="2747"/>
    <cellStyle name="Comma 2 2 18" xfId="2748"/>
    <cellStyle name="Comma 2 2 19" xfId="2749"/>
    <cellStyle name="Comma 2 2 2" xfId="2750"/>
    <cellStyle name="Comma 2 2 2 2" xfId="2751"/>
    <cellStyle name="Comma 2 2 20" xfId="2752"/>
    <cellStyle name="Comma 2 2 21" xfId="2753"/>
    <cellStyle name="Comma 2 2 22" xfId="2754"/>
    <cellStyle name="Comma 2 2 23" xfId="2755"/>
    <cellStyle name="Comma 2 2 24" xfId="2756"/>
    <cellStyle name="Comma 2 2 25" xfId="2757"/>
    <cellStyle name="Comma 2 2 26" xfId="2758"/>
    <cellStyle name="Comma 2 2 27" xfId="2759"/>
    <cellStyle name="Comma 2 2 28" xfId="2760"/>
    <cellStyle name="Comma 2 2 29" xfId="2761"/>
    <cellStyle name="Comma 2 2 3" xfId="2762"/>
    <cellStyle name="Comma 2 2 30" xfId="2763"/>
    <cellStyle name="Comma 2 2 31" xfId="2764"/>
    <cellStyle name="Comma 2 2 32" xfId="2765"/>
    <cellStyle name="Comma 2 2 4" xfId="2766"/>
    <cellStyle name="Comma 2 2 5" xfId="2767"/>
    <cellStyle name="Comma 2 2 6" xfId="2768"/>
    <cellStyle name="Comma 2 2 7" xfId="2769"/>
    <cellStyle name="Comma 2 2 8" xfId="2770"/>
    <cellStyle name="Comma 2 2 9" xfId="2771"/>
    <cellStyle name="Comma 2 20" xfId="2772"/>
    <cellStyle name="Comma 2 200" xfId="2773"/>
    <cellStyle name="Comma 2 201" xfId="2774"/>
    <cellStyle name="Comma 2 202" xfId="2775"/>
    <cellStyle name="Comma 2 203" xfId="2776"/>
    <cellStyle name="Comma 2 204" xfId="2777"/>
    <cellStyle name="Comma 2 205" xfId="2778"/>
    <cellStyle name="Comma 2 206" xfId="2779"/>
    <cellStyle name="Comma 2 207" xfId="2780"/>
    <cellStyle name="Comma 2 208" xfId="2781"/>
    <cellStyle name="Comma 2 209" xfId="2782"/>
    <cellStyle name="Comma 2 21" xfId="2783"/>
    <cellStyle name="Comma 2 210" xfId="2784"/>
    <cellStyle name="Comma 2 211" xfId="2785"/>
    <cellStyle name="Comma 2 212" xfId="2786"/>
    <cellStyle name="Comma 2 213" xfId="2787"/>
    <cellStyle name="Comma 2 214" xfId="2788"/>
    <cellStyle name="Comma 2 215" xfId="2789"/>
    <cellStyle name="Comma 2 216" xfId="2790"/>
    <cellStyle name="Comma 2 217" xfId="2791"/>
    <cellStyle name="Comma 2 218" xfId="2792"/>
    <cellStyle name="Comma 2 219" xfId="2793"/>
    <cellStyle name="Comma 2 22" xfId="2794"/>
    <cellStyle name="Comma 2 220" xfId="2795"/>
    <cellStyle name="Comma 2 221" xfId="2796"/>
    <cellStyle name="Comma 2 222" xfId="2797"/>
    <cellStyle name="Comma 2 223" xfId="2798"/>
    <cellStyle name="Comma 2 224" xfId="2799"/>
    <cellStyle name="Comma 2 225" xfId="2800"/>
    <cellStyle name="Comma 2 226" xfId="2801"/>
    <cellStyle name="Comma 2 227" xfId="2802"/>
    <cellStyle name="Comma 2 228" xfId="2803"/>
    <cellStyle name="Comma 2 229" xfId="2804"/>
    <cellStyle name="Comma 2 23" xfId="2805"/>
    <cellStyle name="Comma 2 230" xfId="2806"/>
    <cellStyle name="Comma 2 231" xfId="2807"/>
    <cellStyle name="Comma 2 232" xfId="2808"/>
    <cellStyle name="Comma 2 233" xfId="2809"/>
    <cellStyle name="Comma 2 234" xfId="2810"/>
    <cellStyle name="Comma 2 235" xfId="2811"/>
    <cellStyle name="Comma 2 236" xfId="2812"/>
    <cellStyle name="Comma 2 237" xfId="2813"/>
    <cellStyle name="Comma 2 238" xfId="2814"/>
    <cellStyle name="Comma 2 239" xfId="2815"/>
    <cellStyle name="Comma 2 24" xfId="2816"/>
    <cellStyle name="Comma 2 240" xfId="2817"/>
    <cellStyle name="Comma 2 241" xfId="2818"/>
    <cellStyle name="Comma 2 242" xfId="2819"/>
    <cellStyle name="Comma 2 243" xfId="2820"/>
    <cellStyle name="Comma 2 244" xfId="2821"/>
    <cellStyle name="Comma 2 245" xfId="2822"/>
    <cellStyle name="Comma 2 246" xfId="2823"/>
    <cellStyle name="Comma 2 247" xfId="2824"/>
    <cellStyle name="Comma 2 25" xfId="2825"/>
    <cellStyle name="Comma 2 26" xfId="2826"/>
    <cellStyle name="Comma 2 27" xfId="2827"/>
    <cellStyle name="Comma 2 28" xfId="2828"/>
    <cellStyle name="Comma 2 29" xfId="2829"/>
    <cellStyle name="Comma 2 3" xfId="2830"/>
    <cellStyle name="Comma 2 3 2" xfId="2831"/>
    <cellStyle name="Comma 2 3 3" xfId="2832"/>
    <cellStyle name="Comma 2 3 4" xfId="2833"/>
    <cellStyle name="Comma 2 3 5" xfId="2834"/>
    <cellStyle name="Comma 2 30" xfId="2835"/>
    <cellStyle name="Comma 2 31" xfId="2836"/>
    <cellStyle name="Comma 2 32" xfId="2837"/>
    <cellStyle name="Comma 2 33" xfId="2838"/>
    <cellStyle name="Comma 2 34" xfId="2839"/>
    <cellStyle name="Comma 2 35" xfId="2840"/>
    <cellStyle name="Comma 2 36" xfId="2841"/>
    <cellStyle name="Comma 2 37" xfId="2842"/>
    <cellStyle name="Comma 2 38" xfId="2843"/>
    <cellStyle name="Comma 2 39" xfId="2844"/>
    <cellStyle name="Comma 2 4" xfId="2845"/>
    <cellStyle name="Comma 2 40" xfId="2846"/>
    <cellStyle name="Comma 2 41" xfId="2847"/>
    <cellStyle name="Comma 2 42" xfId="2848"/>
    <cellStyle name="Comma 2 43" xfId="2849"/>
    <cellStyle name="Comma 2 44" xfId="2850"/>
    <cellStyle name="Comma 2 45" xfId="2851"/>
    <cellStyle name="Comma 2 46" xfId="2852"/>
    <cellStyle name="Comma 2 47" xfId="2853"/>
    <cellStyle name="Comma 2 48" xfId="2854"/>
    <cellStyle name="Comma 2 49" xfId="2855"/>
    <cellStyle name="Comma 2 5" xfId="2856"/>
    <cellStyle name="Comma 2 50" xfId="2857"/>
    <cellStyle name="Comma 2 51" xfId="2858"/>
    <cellStyle name="Comma 2 52" xfId="2859"/>
    <cellStyle name="Comma 2 53" xfId="2860"/>
    <cellStyle name="Comma 2 54" xfId="2861"/>
    <cellStyle name="Comma 2 55" xfId="2862"/>
    <cellStyle name="Comma 2 56" xfId="2863"/>
    <cellStyle name="Comma 2 57" xfId="2864"/>
    <cellStyle name="Comma 2 58" xfId="2865"/>
    <cellStyle name="Comma 2 59" xfId="2866"/>
    <cellStyle name="Comma 2 6" xfId="2867"/>
    <cellStyle name="Comma 2 60" xfId="2868"/>
    <cellStyle name="Comma 2 61" xfId="2869"/>
    <cellStyle name="Comma 2 62" xfId="2870"/>
    <cellStyle name="Comma 2 63" xfId="2871"/>
    <cellStyle name="Comma 2 64" xfId="2872"/>
    <cellStyle name="Comma 2 65" xfId="2873"/>
    <cellStyle name="Comma 2 66" xfId="2874"/>
    <cellStyle name="Comma 2 67" xfId="2875"/>
    <cellStyle name="Comma 2 68" xfId="2876"/>
    <cellStyle name="Comma 2 69" xfId="2877"/>
    <cellStyle name="Comma 2 7" xfId="2878"/>
    <cellStyle name="Comma 2 70" xfId="2879"/>
    <cellStyle name="Comma 2 71" xfId="2880"/>
    <cellStyle name="Comma 2 72" xfId="2881"/>
    <cellStyle name="Comma 2 73" xfId="2882"/>
    <cellStyle name="Comma 2 74" xfId="2883"/>
    <cellStyle name="Comma 2 75" xfId="2884"/>
    <cellStyle name="Comma 2 76" xfId="2885"/>
    <cellStyle name="Comma 2 77" xfId="2886"/>
    <cellStyle name="Comma 2 78" xfId="2887"/>
    <cellStyle name="Comma 2 79" xfId="2888"/>
    <cellStyle name="Comma 2 8" xfId="2889"/>
    <cellStyle name="Comma 2 80" xfId="2890"/>
    <cellStyle name="Comma 2 81" xfId="2891"/>
    <cellStyle name="Comma 2 82" xfId="2892"/>
    <cellStyle name="Comma 2 83" xfId="2893"/>
    <cellStyle name="Comma 2 84" xfId="2894"/>
    <cellStyle name="Comma 2 85" xfId="2895"/>
    <cellStyle name="Comma 2 86" xfId="2896"/>
    <cellStyle name="Comma 2 87" xfId="2897"/>
    <cellStyle name="Comma 2 88" xfId="2898"/>
    <cellStyle name="Comma 2 89" xfId="2899"/>
    <cellStyle name="Comma 2 9" xfId="2900"/>
    <cellStyle name="Comma 2 90" xfId="2901"/>
    <cellStyle name="Comma 2 91" xfId="2902"/>
    <cellStyle name="Comma 2 92" xfId="2903"/>
    <cellStyle name="Comma 2 93" xfId="2904"/>
    <cellStyle name="Comma 2 94" xfId="2905"/>
    <cellStyle name="Comma 2 95" xfId="2906"/>
    <cellStyle name="Comma 2 96" xfId="2907"/>
    <cellStyle name="Comma 2 97" xfId="2908"/>
    <cellStyle name="Comma 2 98" xfId="2909"/>
    <cellStyle name="Comma 2 99" xfId="2910"/>
    <cellStyle name="Comma 20" xfId="2911"/>
    <cellStyle name="Comma 20 2" xfId="2912"/>
    <cellStyle name="Comma 21" xfId="2913"/>
    <cellStyle name="Comma 21 2" xfId="2914"/>
    <cellStyle name="Comma 22" xfId="2915"/>
    <cellStyle name="Comma 22 2" xfId="2916"/>
    <cellStyle name="Comma 23" xfId="2917"/>
    <cellStyle name="Comma 23 2" xfId="2918"/>
    <cellStyle name="Comma 23 2 2" xfId="2919"/>
    <cellStyle name="Comma 23 2 3" xfId="2920"/>
    <cellStyle name="Comma 24" xfId="2921"/>
    <cellStyle name="Comma 24 2" xfId="2922"/>
    <cellStyle name="Comma 240" xfId="2923"/>
    <cellStyle name="Comma 241" xfId="2924"/>
    <cellStyle name="Comma 242" xfId="2925"/>
    <cellStyle name="Comma 243" xfId="2926"/>
    <cellStyle name="Comma 244" xfId="2927"/>
    <cellStyle name="Comma 245" xfId="2928"/>
    <cellStyle name="Comma 25" xfId="2929"/>
    <cellStyle name="Comma 25 2" xfId="2930"/>
    <cellStyle name="Comma 26" xfId="2931"/>
    <cellStyle name="Comma 26 2" xfId="2932"/>
    <cellStyle name="Comma 27" xfId="2933"/>
    <cellStyle name="Comma 27 2" xfId="2934"/>
    <cellStyle name="Comma 277" xfId="2935"/>
    <cellStyle name="Comma 278" xfId="2936"/>
    <cellStyle name="Comma 279" xfId="2937"/>
    <cellStyle name="Comma 28" xfId="2938"/>
    <cellStyle name="Comma 28 2" xfId="2939"/>
    <cellStyle name="Comma 280" xfId="2940"/>
    <cellStyle name="Comma 281" xfId="2941"/>
    <cellStyle name="Comma 282" xfId="2942"/>
    <cellStyle name="Comma 283" xfId="2943"/>
    <cellStyle name="Comma 284" xfId="2944"/>
    <cellStyle name="Comma 29" xfId="2945"/>
    <cellStyle name="Comma 29 2" xfId="2946"/>
    <cellStyle name="Comma 3" xfId="123"/>
    <cellStyle name="Comma 3 2" xfId="2947"/>
    <cellStyle name="Comma 3 2 2" xfId="2948"/>
    <cellStyle name="Comma 3 2 2 2" xfId="2949"/>
    <cellStyle name="Comma 3 2 2 2 2" xfId="2950"/>
    <cellStyle name="Comma 3 2 2 2 3" xfId="2951"/>
    <cellStyle name="Comma 3 2 2 3" xfId="2952"/>
    <cellStyle name="Comma 3 2 2 4" xfId="2953"/>
    <cellStyle name="Comma 3 3" xfId="2954"/>
    <cellStyle name="Comma 3 4" xfId="2955"/>
    <cellStyle name="Comma 3 5" xfId="2956"/>
    <cellStyle name="Comma 30" xfId="2957"/>
    <cellStyle name="Comma 30 2" xfId="2958"/>
    <cellStyle name="Comma 31" xfId="2959"/>
    <cellStyle name="Comma 31 2" xfId="2960"/>
    <cellStyle name="Comma 32" xfId="2961"/>
    <cellStyle name="Comma 32 2" xfId="2962"/>
    <cellStyle name="Comma 33" xfId="2963"/>
    <cellStyle name="Comma 33 2" xfId="2964"/>
    <cellStyle name="Comma 34" xfId="2965"/>
    <cellStyle name="Comma 34 2" xfId="2966"/>
    <cellStyle name="Comma 35" xfId="2967"/>
    <cellStyle name="Comma 35 2" xfId="2968"/>
    <cellStyle name="Comma 36" xfId="2969"/>
    <cellStyle name="Comma 36 2" xfId="2970"/>
    <cellStyle name="Comma 37" xfId="2971"/>
    <cellStyle name="Comma 37 2" xfId="2972"/>
    <cellStyle name="Comma 38" xfId="2973"/>
    <cellStyle name="Comma 38 2" xfId="2974"/>
    <cellStyle name="Comma 39" xfId="2975"/>
    <cellStyle name="Comma 39 2" xfId="2976"/>
    <cellStyle name="Comma 390" xfId="2977"/>
    <cellStyle name="Comma 391" xfId="2978"/>
    <cellStyle name="Comma 392" xfId="2979"/>
    <cellStyle name="Comma 393" xfId="2980"/>
    <cellStyle name="Comma 394" xfId="2981"/>
    <cellStyle name="Comma 399" xfId="2982"/>
    <cellStyle name="Comma 4" xfId="124"/>
    <cellStyle name="Comma 4 2" xfId="125"/>
    <cellStyle name="Comma 40" xfId="2983"/>
    <cellStyle name="Comma 40 2" xfId="2984"/>
    <cellStyle name="Comma 400" xfId="2985"/>
    <cellStyle name="Comma 401" xfId="2986"/>
    <cellStyle name="Comma 402" xfId="2987"/>
    <cellStyle name="Comma 403" xfId="2988"/>
    <cellStyle name="Comma 41" xfId="2989"/>
    <cellStyle name="Comma 41 2" xfId="2990"/>
    <cellStyle name="Comma 42" xfId="2991"/>
    <cellStyle name="Comma 42 2" xfId="2992"/>
    <cellStyle name="Comma 43" xfId="2993"/>
    <cellStyle name="Comma 43 2" xfId="2994"/>
    <cellStyle name="Comma 44" xfId="2995"/>
    <cellStyle name="Comma 44 2" xfId="2996"/>
    <cellStyle name="Comma 45" xfId="2997"/>
    <cellStyle name="Comma 45 2" xfId="2998"/>
    <cellStyle name="Comma 46" xfId="2999"/>
    <cellStyle name="Comma 46 2" xfId="3000"/>
    <cellStyle name="Comma 47" xfId="3001"/>
    <cellStyle name="Comma 47 2" xfId="3002"/>
    <cellStyle name="Comma 48" xfId="3003"/>
    <cellStyle name="Comma 48 2" xfId="3004"/>
    <cellStyle name="Comma 49" xfId="3005"/>
    <cellStyle name="Comma 49 2" xfId="3006"/>
    <cellStyle name="Comma 5" xfId="126"/>
    <cellStyle name="Comma 5 2" xfId="127"/>
    <cellStyle name="Comma 5 3" xfId="3007"/>
    <cellStyle name="Comma 5 4" xfId="3008"/>
    <cellStyle name="Comma 50" xfId="3009"/>
    <cellStyle name="Comma 50 2" xfId="3010"/>
    <cellStyle name="Comma 51" xfId="3011"/>
    <cellStyle name="Comma 51 2" xfId="3012"/>
    <cellStyle name="Comma 52" xfId="3013"/>
    <cellStyle name="Comma 52 2" xfId="3014"/>
    <cellStyle name="Comma 53" xfId="3015"/>
    <cellStyle name="Comma 53 2" xfId="3016"/>
    <cellStyle name="Comma 54" xfId="3017"/>
    <cellStyle name="Comma 54 2" xfId="3018"/>
    <cellStyle name="Comma 54 2 2" xfId="3019"/>
    <cellStyle name="Comma 54 2 3" xfId="3020"/>
    <cellStyle name="Comma 55" xfId="3021"/>
    <cellStyle name="Comma 55 2" xfId="3022"/>
    <cellStyle name="Comma 56" xfId="3023"/>
    <cellStyle name="Comma 56 2" xfId="3024"/>
    <cellStyle name="Comma 56 2 2" xfId="3025"/>
    <cellStyle name="Comma 56 2 3" xfId="3026"/>
    <cellStyle name="Comma 57" xfId="3027"/>
    <cellStyle name="Comma 57 2" xfId="3028"/>
    <cellStyle name="Comma 57 2 2" xfId="3029"/>
    <cellStyle name="Comma 57 2 3" xfId="3030"/>
    <cellStyle name="Comma 58" xfId="3031"/>
    <cellStyle name="Comma 58 2" xfId="3032"/>
    <cellStyle name="Comma 59" xfId="3033"/>
    <cellStyle name="Comma 59 2" xfId="3034"/>
    <cellStyle name="Comma 6" xfId="3035"/>
    <cellStyle name="Comma 6 2" xfId="3036"/>
    <cellStyle name="Comma 60" xfId="3037"/>
    <cellStyle name="Comma 60 2" xfId="3038"/>
    <cellStyle name="Comma 61" xfId="3039"/>
    <cellStyle name="Comma 61 2" xfId="3040"/>
    <cellStyle name="Comma 62" xfId="3041"/>
    <cellStyle name="Comma 62 2" xfId="3042"/>
    <cellStyle name="Comma 63" xfId="3043"/>
    <cellStyle name="Comma 63 2" xfId="3044"/>
    <cellStyle name="Comma 64" xfId="3045"/>
    <cellStyle name="Comma 64 2" xfId="3046"/>
    <cellStyle name="Comma 65" xfId="3047"/>
    <cellStyle name="Comma 65 2" xfId="3048"/>
    <cellStyle name="Comma 66" xfId="3049"/>
    <cellStyle name="Comma 66 2" xfId="3050"/>
    <cellStyle name="Comma 67" xfId="3051"/>
    <cellStyle name="Comma 67 2" xfId="3052"/>
    <cellStyle name="Comma 67 3" xfId="3053"/>
    <cellStyle name="Comma 68" xfId="3054"/>
    <cellStyle name="Comma 68 2" xfId="3055"/>
    <cellStyle name="Comma 68 3" xfId="3056"/>
    <cellStyle name="Comma 69" xfId="3057"/>
    <cellStyle name="Comma 69 2" xfId="3058"/>
    <cellStyle name="Comma 69 3" xfId="3059"/>
    <cellStyle name="Comma 7" xfId="3060"/>
    <cellStyle name="Comma 7 2" xfId="3061"/>
    <cellStyle name="Comma 7 2 2" xfId="3062"/>
    <cellStyle name="Comma 7 2 3" xfId="3063"/>
    <cellStyle name="Comma 7 3" xfId="3064"/>
    <cellStyle name="Comma 7 4" xfId="3065"/>
    <cellStyle name="Comma 7 5" xfId="3066"/>
    <cellStyle name="Comma 70" xfId="3067"/>
    <cellStyle name="Comma 70 2" xfId="3068"/>
    <cellStyle name="Comma 70 3" xfId="3069"/>
    <cellStyle name="Comma 71" xfId="3070"/>
    <cellStyle name="Comma 71 2" xfId="3071"/>
    <cellStyle name="Comma 72" xfId="3072"/>
    <cellStyle name="Comma 72 2" xfId="3073"/>
    <cellStyle name="Comma 73" xfId="3074"/>
    <cellStyle name="Comma 73 2" xfId="3075"/>
    <cellStyle name="Comma 74" xfId="3076"/>
    <cellStyle name="Comma 74 2" xfId="3077"/>
    <cellStyle name="Comma 75" xfId="3078"/>
    <cellStyle name="Comma 75 2" xfId="3079"/>
    <cellStyle name="Comma 76" xfId="3080"/>
    <cellStyle name="Comma 76 2" xfId="3081"/>
    <cellStyle name="Comma 77" xfId="3082"/>
    <cellStyle name="Comma 77 2" xfId="3083"/>
    <cellStyle name="Comma 77 3" xfId="3084"/>
    <cellStyle name="Comma 78" xfId="3085"/>
    <cellStyle name="Comma 78 2" xfId="3086"/>
    <cellStyle name="Comma 78 3" xfId="3087"/>
    <cellStyle name="Comma 79" xfId="3088"/>
    <cellStyle name="Comma 79 2" xfId="3089"/>
    <cellStyle name="Comma 79 3" xfId="3090"/>
    <cellStyle name="Comma 8" xfId="3091"/>
    <cellStyle name="Comma 8 2" xfId="3092"/>
    <cellStyle name="Comma 80" xfId="3093"/>
    <cellStyle name="Comma 80 2" xfId="3094"/>
    <cellStyle name="Comma 80 3" xfId="3095"/>
    <cellStyle name="Comma 81" xfId="3096"/>
    <cellStyle name="Comma 81 2" xfId="3097"/>
    <cellStyle name="Comma 81 3" xfId="3098"/>
    <cellStyle name="Comma 82" xfId="3099"/>
    <cellStyle name="Comma 82 2" xfId="3100"/>
    <cellStyle name="Comma 82 3" xfId="3101"/>
    <cellStyle name="Comma 83" xfId="3102"/>
    <cellStyle name="Comma 83 2" xfId="3103"/>
    <cellStyle name="Comma 83 3" xfId="3104"/>
    <cellStyle name="Comma 84" xfId="3105"/>
    <cellStyle name="Comma 84 2" xfId="3106"/>
    <cellStyle name="Comma 84 3" xfId="3107"/>
    <cellStyle name="Comma 85" xfId="3108"/>
    <cellStyle name="Comma 85 2" xfId="3109"/>
    <cellStyle name="Comma 85 3" xfId="3110"/>
    <cellStyle name="Comma 86" xfId="3111"/>
    <cellStyle name="Comma 86 2" xfId="3112"/>
    <cellStyle name="Comma 86 3" xfId="3113"/>
    <cellStyle name="Comma 87" xfId="3114"/>
    <cellStyle name="Comma 87 2" xfId="3115"/>
    <cellStyle name="Comma 88" xfId="3116"/>
    <cellStyle name="Comma 88 2" xfId="3117"/>
    <cellStyle name="Comma 89" xfId="3118"/>
    <cellStyle name="Comma 89 2" xfId="3119"/>
    <cellStyle name="Comma 9" xfId="3120"/>
    <cellStyle name="Comma 9 2" xfId="3121"/>
    <cellStyle name="Comma 90" xfId="3122"/>
    <cellStyle name="Comma 90 2" xfId="3123"/>
    <cellStyle name="Comma 91" xfId="3124"/>
    <cellStyle name="Comma 91 2" xfId="3125"/>
    <cellStyle name="Comma 92" xfId="3126"/>
    <cellStyle name="Comma 92 2" xfId="3127"/>
    <cellStyle name="Comma 93" xfId="3128"/>
    <cellStyle name="Comma 93 2" xfId="3129"/>
    <cellStyle name="Comma 94" xfId="3130"/>
    <cellStyle name="Comma 94 2" xfId="3131"/>
    <cellStyle name="Comma 95" xfId="3132"/>
    <cellStyle name="Comma 95 2" xfId="3133"/>
    <cellStyle name="Comma 96" xfId="3134"/>
    <cellStyle name="Comma 96 2" xfId="3135"/>
    <cellStyle name="Comma 97" xfId="3136"/>
    <cellStyle name="Comma 97 2" xfId="3137"/>
    <cellStyle name="Comma 98" xfId="3138"/>
    <cellStyle name="Comma 98 2" xfId="3139"/>
    <cellStyle name="Comma 99" xfId="3140"/>
    <cellStyle name="Comma 99 2" xfId="3141"/>
    <cellStyle name="Explanatory Text" xfId="17" builtinId="53" customBuiltin="1"/>
    <cellStyle name="Explanatory Text 10" xfId="3142"/>
    <cellStyle name="Explanatory Text 11" xfId="3143"/>
    <cellStyle name="Explanatory Text 12" xfId="3144"/>
    <cellStyle name="Explanatory Text 13" xfId="3145"/>
    <cellStyle name="Explanatory Text 14" xfId="3146"/>
    <cellStyle name="Explanatory Text 15" xfId="3147"/>
    <cellStyle name="Explanatory Text 16" xfId="3148"/>
    <cellStyle name="Explanatory Text 17" xfId="3149"/>
    <cellStyle name="Explanatory Text 18" xfId="3150"/>
    <cellStyle name="Explanatory Text 19" xfId="3151"/>
    <cellStyle name="Explanatory Text 2" xfId="3152"/>
    <cellStyle name="Explanatory Text 2 2" xfId="3153"/>
    <cellStyle name="Explanatory Text 2 3" xfId="3154"/>
    <cellStyle name="Explanatory Text 20" xfId="3155"/>
    <cellStyle name="Explanatory Text 21" xfId="3156"/>
    <cellStyle name="Explanatory Text 22" xfId="3157"/>
    <cellStyle name="Explanatory Text 23" xfId="3158"/>
    <cellStyle name="Explanatory Text 24" xfId="3159"/>
    <cellStyle name="Explanatory Text 25" xfId="3160"/>
    <cellStyle name="Explanatory Text 26" xfId="3161"/>
    <cellStyle name="Explanatory Text 27" xfId="3162"/>
    <cellStyle name="Explanatory Text 28" xfId="3163"/>
    <cellStyle name="Explanatory Text 29" xfId="3164"/>
    <cellStyle name="Explanatory Text 3" xfId="3165"/>
    <cellStyle name="Explanatory Text 30" xfId="3166"/>
    <cellStyle name="Explanatory Text 31" xfId="3167"/>
    <cellStyle name="Explanatory Text 32" xfId="3168"/>
    <cellStyle name="Explanatory Text 33" xfId="3169"/>
    <cellStyle name="Explanatory Text 34" xfId="3170"/>
    <cellStyle name="Explanatory Text 35" xfId="3171"/>
    <cellStyle name="Explanatory Text 36" xfId="3172"/>
    <cellStyle name="Explanatory Text 37" xfId="3173"/>
    <cellStyle name="Explanatory Text 38" xfId="3174"/>
    <cellStyle name="Explanatory Text 39" xfId="3175"/>
    <cellStyle name="Explanatory Text 4" xfId="3176"/>
    <cellStyle name="Explanatory Text 40" xfId="3177"/>
    <cellStyle name="Explanatory Text 41" xfId="3178"/>
    <cellStyle name="Explanatory Text 42" xfId="3179"/>
    <cellStyle name="Explanatory Text 43" xfId="3180"/>
    <cellStyle name="Explanatory Text 44" xfId="3181"/>
    <cellStyle name="Explanatory Text 45" xfId="3182"/>
    <cellStyle name="Explanatory Text 46" xfId="3183"/>
    <cellStyle name="Explanatory Text 47" xfId="3184"/>
    <cellStyle name="Explanatory Text 48" xfId="3185"/>
    <cellStyle name="Explanatory Text 49" xfId="3186"/>
    <cellStyle name="Explanatory Text 5" xfId="3187"/>
    <cellStyle name="Explanatory Text 50" xfId="3188"/>
    <cellStyle name="Explanatory Text 51" xfId="3189"/>
    <cellStyle name="Explanatory Text 52" xfId="3190"/>
    <cellStyle name="Explanatory Text 53" xfId="3191"/>
    <cellStyle name="Explanatory Text 54" xfId="3192"/>
    <cellStyle name="Explanatory Text 55" xfId="3193"/>
    <cellStyle name="Explanatory Text 56" xfId="3194"/>
    <cellStyle name="Explanatory Text 57" xfId="3195"/>
    <cellStyle name="Explanatory Text 58" xfId="3196"/>
    <cellStyle name="Explanatory Text 59" xfId="3197"/>
    <cellStyle name="Explanatory Text 6" xfId="3198"/>
    <cellStyle name="Explanatory Text 60" xfId="3199"/>
    <cellStyle name="Explanatory Text 61" xfId="3200"/>
    <cellStyle name="Explanatory Text 62" xfId="3201"/>
    <cellStyle name="Explanatory Text 63" xfId="3202"/>
    <cellStyle name="Explanatory Text 64" xfId="3203"/>
    <cellStyle name="Explanatory Text 65" xfId="3204"/>
    <cellStyle name="Explanatory Text 66" xfId="3205"/>
    <cellStyle name="Explanatory Text 67" xfId="3206"/>
    <cellStyle name="Explanatory Text 68" xfId="3207"/>
    <cellStyle name="Explanatory Text 69" xfId="3208"/>
    <cellStyle name="Explanatory Text 7" xfId="3209"/>
    <cellStyle name="Explanatory Text 70" xfId="3210"/>
    <cellStyle name="Explanatory Text 71" xfId="3211"/>
    <cellStyle name="Explanatory Text 72" xfId="3212"/>
    <cellStyle name="Explanatory Text 73" xfId="3213"/>
    <cellStyle name="Explanatory Text 74" xfId="3214"/>
    <cellStyle name="Explanatory Text 75" xfId="3215"/>
    <cellStyle name="Explanatory Text 76" xfId="3216"/>
    <cellStyle name="Explanatory Text 77" xfId="3217"/>
    <cellStyle name="Explanatory Text 78" xfId="3218"/>
    <cellStyle name="Explanatory Text 8" xfId="3219"/>
    <cellStyle name="Explanatory Text 9" xfId="3220"/>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Good" xfId="7" builtinId="26" customBuiltin="1"/>
    <cellStyle name="Good 10" xfId="3221"/>
    <cellStyle name="Good 11" xfId="3222"/>
    <cellStyle name="Good 12" xfId="3223"/>
    <cellStyle name="Good 13" xfId="3224"/>
    <cellStyle name="Good 14" xfId="3225"/>
    <cellStyle name="Good 15" xfId="3226"/>
    <cellStyle name="Good 16" xfId="3227"/>
    <cellStyle name="Good 17" xfId="3228"/>
    <cellStyle name="Good 18" xfId="3229"/>
    <cellStyle name="Good 19" xfId="3230"/>
    <cellStyle name="Good 2" xfId="3231"/>
    <cellStyle name="Good 2 2" xfId="3232"/>
    <cellStyle name="Good 2 3" xfId="3233"/>
    <cellStyle name="Good 20" xfId="3234"/>
    <cellStyle name="Good 21" xfId="3235"/>
    <cellStyle name="Good 22" xfId="3236"/>
    <cellStyle name="Good 23" xfId="3237"/>
    <cellStyle name="Good 24" xfId="3238"/>
    <cellStyle name="Good 25" xfId="3239"/>
    <cellStyle name="Good 26" xfId="3240"/>
    <cellStyle name="Good 27" xfId="3241"/>
    <cellStyle name="Good 28" xfId="3242"/>
    <cellStyle name="Good 29" xfId="3243"/>
    <cellStyle name="Good 3" xfId="3244"/>
    <cellStyle name="Good 30" xfId="3245"/>
    <cellStyle name="Good 31" xfId="3246"/>
    <cellStyle name="Good 32" xfId="3247"/>
    <cellStyle name="Good 33" xfId="3248"/>
    <cellStyle name="Good 34" xfId="3249"/>
    <cellStyle name="Good 35" xfId="3250"/>
    <cellStyle name="Good 36" xfId="3251"/>
    <cellStyle name="Good 37" xfId="3252"/>
    <cellStyle name="Good 38" xfId="3253"/>
    <cellStyle name="Good 39" xfId="3254"/>
    <cellStyle name="Good 4" xfId="3255"/>
    <cellStyle name="Good 40" xfId="3256"/>
    <cellStyle name="Good 41" xfId="3257"/>
    <cellStyle name="Good 42" xfId="3258"/>
    <cellStyle name="Good 43" xfId="3259"/>
    <cellStyle name="Good 44" xfId="3260"/>
    <cellStyle name="Good 45" xfId="3261"/>
    <cellStyle name="Good 46" xfId="3262"/>
    <cellStyle name="Good 47" xfId="3263"/>
    <cellStyle name="Good 48" xfId="3264"/>
    <cellStyle name="Good 49" xfId="3265"/>
    <cellStyle name="Good 5" xfId="3266"/>
    <cellStyle name="Good 50" xfId="3267"/>
    <cellStyle name="Good 51" xfId="3268"/>
    <cellStyle name="Good 52" xfId="3269"/>
    <cellStyle name="Good 53" xfId="3270"/>
    <cellStyle name="Good 54" xfId="3271"/>
    <cellStyle name="Good 55" xfId="3272"/>
    <cellStyle name="Good 56" xfId="3273"/>
    <cellStyle name="Good 57" xfId="3274"/>
    <cellStyle name="Good 58" xfId="3275"/>
    <cellStyle name="Good 59" xfId="3276"/>
    <cellStyle name="Good 6" xfId="3277"/>
    <cellStyle name="Good 60" xfId="3278"/>
    <cellStyle name="Good 61" xfId="3279"/>
    <cellStyle name="Good 62" xfId="3280"/>
    <cellStyle name="Good 63" xfId="3281"/>
    <cellStyle name="Good 64" xfId="3282"/>
    <cellStyle name="Good 65" xfId="3283"/>
    <cellStyle name="Good 66" xfId="3284"/>
    <cellStyle name="Good 67" xfId="3285"/>
    <cellStyle name="Good 68" xfId="3286"/>
    <cellStyle name="Good 69" xfId="3287"/>
    <cellStyle name="Good 7" xfId="3288"/>
    <cellStyle name="Good 70" xfId="3289"/>
    <cellStyle name="Good 71" xfId="3290"/>
    <cellStyle name="Good 72" xfId="3291"/>
    <cellStyle name="Good 73" xfId="3292"/>
    <cellStyle name="Good 74" xfId="3293"/>
    <cellStyle name="Good 75" xfId="3294"/>
    <cellStyle name="Good 76" xfId="3295"/>
    <cellStyle name="Good 77" xfId="3296"/>
    <cellStyle name="Good 78" xfId="3297"/>
    <cellStyle name="Good 8" xfId="3298"/>
    <cellStyle name="Good 9" xfId="3299"/>
    <cellStyle name="Heading 1" xfId="3" builtinId="16" customBuiltin="1"/>
    <cellStyle name="Heading 1 10" xfId="3300"/>
    <cellStyle name="Heading 1 11" xfId="3301"/>
    <cellStyle name="Heading 1 12" xfId="3302"/>
    <cellStyle name="Heading 1 13" xfId="3303"/>
    <cellStyle name="Heading 1 14" xfId="3304"/>
    <cellStyle name="Heading 1 15" xfId="3305"/>
    <cellStyle name="Heading 1 16" xfId="3306"/>
    <cellStyle name="Heading 1 17" xfId="3307"/>
    <cellStyle name="Heading 1 18" xfId="3308"/>
    <cellStyle name="Heading 1 19" xfId="3309"/>
    <cellStyle name="Heading 1 2" xfId="3310"/>
    <cellStyle name="Heading 1 2 2" xfId="3311"/>
    <cellStyle name="Heading 1 2 3" xfId="3312"/>
    <cellStyle name="Heading 1 20" xfId="3313"/>
    <cellStyle name="Heading 1 21" xfId="3314"/>
    <cellStyle name="Heading 1 22" xfId="3315"/>
    <cellStyle name="Heading 1 23" xfId="3316"/>
    <cellStyle name="Heading 1 24" xfId="3317"/>
    <cellStyle name="Heading 1 25" xfId="3318"/>
    <cellStyle name="Heading 1 26" xfId="3319"/>
    <cellStyle name="Heading 1 27" xfId="3320"/>
    <cellStyle name="Heading 1 28" xfId="3321"/>
    <cellStyle name="Heading 1 29" xfId="3322"/>
    <cellStyle name="Heading 1 3" xfId="3323"/>
    <cellStyle name="Heading 1 30" xfId="3324"/>
    <cellStyle name="Heading 1 31" xfId="3325"/>
    <cellStyle name="Heading 1 32" xfId="3326"/>
    <cellStyle name="Heading 1 33" xfId="3327"/>
    <cellStyle name="Heading 1 34" xfId="3328"/>
    <cellStyle name="Heading 1 35" xfId="3329"/>
    <cellStyle name="Heading 1 36" xfId="3330"/>
    <cellStyle name="Heading 1 37" xfId="3331"/>
    <cellStyle name="Heading 1 38" xfId="3332"/>
    <cellStyle name="Heading 1 39" xfId="3333"/>
    <cellStyle name="Heading 1 4" xfId="3334"/>
    <cellStyle name="Heading 1 40" xfId="3335"/>
    <cellStyle name="Heading 1 41" xfId="3336"/>
    <cellStyle name="Heading 1 42" xfId="3337"/>
    <cellStyle name="Heading 1 43" xfId="3338"/>
    <cellStyle name="Heading 1 44" xfId="3339"/>
    <cellStyle name="Heading 1 45" xfId="3340"/>
    <cellStyle name="Heading 1 46" xfId="3341"/>
    <cellStyle name="Heading 1 47" xfId="3342"/>
    <cellStyle name="Heading 1 48" xfId="3343"/>
    <cellStyle name="Heading 1 49" xfId="3344"/>
    <cellStyle name="Heading 1 5" xfId="3345"/>
    <cellStyle name="Heading 1 50" xfId="3346"/>
    <cellStyle name="Heading 1 51" xfId="3347"/>
    <cellStyle name="Heading 1 52" xfId="3348"/>
    <cellStyle name="Heading 1 53" xfId="3349"/>
    <cellStyle name="Heading 1 54" xfId="3350"/>
    <cellStyle name="Heading 1 55" xfId="3351"/>
    <cellStyle name="Heading 1 56" xfId="3352"/>
    <cellStyle name="Heading 1 57" xfId="3353"/>
    <cellStyle name="Heading 1 58" xfId="3354"/>
    <cellStyle name="Heading 1 59" xfId="3355"/>
    <cellStyle name="Heading 1 6" xfId="3356"/>
    <cellStyle name="Heading 1 60" xfId="3357"/>
    <cellStyle name="Heading 1 61" xfId="3358"/>
    <cellStyle name="Heading 1 62" xfId="3359"/>
    <cellStyle name="Heading 1 63" xfId="3360"/>
    <cellStyle name="Heading 1 64" xfId="3361"/>
    <cellStyle name="Heading 1 65" xfId="3362"/>
    <cellStyle name="Heading 1 66" xfId="3363"/>
    <cellStyle name="Heading 1 67" xfId="3364"/>
    <cellStyle name="Heading 1 68" xfId="3365"/>
    <cellStyle name="Heading 1 69" xfId="3366"/>
    <cellStyle name="Heading 1 7" xfId="3367"/>
    <cellStyle name="Heading 1 70" xfId="3368"/>
    <cellStyle name="Heading 1 71" xfId="3369"/>
    <cellStyle name="Heading 1 72" xfId="3370"/>
    <cellStyle name="Heading 1 73" xfId="3371"/>
    <cellStyle name="Heading 1 74" xfId="3372"/>
    <cellStyle name="Heading 1 75" xfId="3373"/>
    <cellStyle name="Heading 1 76" xfId="3374"/>
    <cellStyle name="Heading 1 77" xfId="3375"/>
    <cellStyle name="Heading 1 78" xfId="3376"/>
    <cellStyle name="Heading 1 79" xfId="3377"/>
    <cellStyle name="Heading 1 8" xfId="3378"/>
    <cellStyle name="Heading 1 9" xfId="3379"/>
    <cellStyle name="Heading 2" xfId="4" builtinId="17" customBuiltin="1"/>
    <cellStyle name="Heading 2 10" xfId="3380"/>
    <cellStyle name="Heading 2 11" xfId="3381"/>
    <cellStyle name="Heading 2 12" xfId="3382"/>
    <cellStyle name="Heading 2 13" xfId="3383"/>
    <cellStyle name="Heading 2 14" xfId="3384"/>
    <cellStyle name="Heading 2 15" xfId="3385"/>
    <cellStyle name="Heading 2 16" xfId="3386"/>
    <cellStyle name="Heading 2 17" xfId="3387"/>
    <cellStyle name="Heading 2 18" xfId="3388"/>
    <cellStyle name="Heading 2 19" xfId="3389"/>
    <cellStyle name="Heading 2 2" xfId="3390"/>
    <cellStyle name="Heading 2 2 2" xfId="3391"/>
    <cellStyle name="Heading 2 2 3" xfId="3392"/>
    <cellStyle name="Heading 2 20" xfId="3393"/>
    <cellStyle name="Heading 2 21" xfId="3394"/>
    <cellStyle name="Heading 2 22" xfId="3395"/>
    <cellStyle name="Heading 2 23" xfId="3396"/>
    <cellStyle name="Heading 2 24" xfId="3397"/>
    <cellStyle name="Heading 2 25" xfId="3398"/>
    <cellStyle name="Heading 2 26" xfId="3399"/>
    <cellStyle name="Heading 2 27" xfId="3400"/>
    <cellStyle name="Heading 2 28" xfId="3401"/>
    <cellStyle name="Heading 2 29" xfId="3402"/>
    <cellStyle name="Heading 2 3" xfId="3403"/>
    <cellStyle name="Heading 2 30" xfId="3404"/>
    <cellStyle name="Heading 2 31" xfId="3405"/>
    <cellStyle name="Heading 2 32" xfId="3406"/>
    <cellStyle name="Heading 2 33" xfId="3407"/>
    <cellStyle name="Heading 2 34" xfId="3408"/>
    <cellStyle name="Heading 2 35" xfId="3409"/>
    <cellStyle name="Heading 2 36" xfId="3410"/>
    <cellStyle name="Heading 2 37" xfId="3411"/>
    <cellStyle name="Heading 2 38" xfId="3412"/>
    <cellStyle name="Heading 2 39" xfId="3413"/>
    <cellStyle name="Heading 2 4" xfId="3414"/>
    <cellStyle name="Heading 2 40" xfId="3415"/>
    <cellStyle name="Heading 2 41" xfId="3416"/>
    <cellStyle name="Heading 2 42" xfId="3417"/>
    <cellStyle name="Heading 2 43" xfId="3418"/>
    <cellStyle name="Heading 2 44" xfId="3419"/>
    <cellStyle name="Heading 2 45" xfId="3420"/>
    <cellStyle name="Heading 2 46" xfId="3421"/>
    <cellStyle name="Heading 2 47" xfId="3422"/>
    <cellStyle name="Heading 2 48" xfId="3423"/>
    <cellStyle name="Heading 2 49" xfId="3424"/>
    <cellStyle name="Heading 2 5" xfId="3425"/>
    <cellStyle name="Heading 2 50" xfId="3426"/>
    <cellStyle name="Heading 2 51" xfId="3427"/>
    <cellStyle name="Heading 2 52" xfId="3428"/>
    <cellStyle name="Heading 2 53" xfId="3429"/>
    <cellStyle name="Heading 2 54" xfId="3430"/>
    <cellStyle name="Heading 2 55" xfId="3431"/>
    <cellStyle name="Heading 2 56" xfId="3432"/>
    <cellStyle name="Heading 2 57" xfId="3433"/>
    <cellStyle name="Heading 2 58" xfId="3434"/>
    <cellStyle name="Heading 2 59" xfId="3435"/>
    <cellStyle name="Heading 2 6" xfId="3436"/>
    <cellStyle name="Heading 2 60" xfId="3437"/>
    <cellStyle name="Heading 2 61" xfId="3438"/>
    <cellStyle name="Heading 2 62" xfId="3439"/>
    <cellStyle name="Heading 2 63" xfId="3440"/>
    <cellStyle name="Heading 2 64" xfId="3441"/>
    <cellStyle name="Heading 2 65" xfId="3442"/>
    <cellStyle name="Heading 2 66" xfId="3443"/>
    <cellStyle name="Heading 2 67" xfId="3444"/>
    <cellStyle name="Heading 2 68" xfId="3445"/>
    <cellStyle name="Heading 2 69" xfId="3446"/>
    <cellStyle name="Heading 2 7" xfId="3447"/>
    <cellStyle name="Heading 2 70" xfId="3448"/>
    <cellStyle name="Heading 2 71" xfId="3449"/>
    <cellStyle name="Heading 2 72" xfId="3450"/>
    <cellStyle name="Heading 2 73" xfId="3451"/>
    <cellStyle name="Heading 2 74" xfId="3452"/>
    <cellStyle name="Heading 2 75" xfId="3453"/>
    <cellStyle name="Heading 2 76" xfId="3454"/>
    <cellStyle name="Heading 2 77" xfId="3455"/>
    <cellStyle name="Heading 2 78" xfId="3456"/>
    <cellStyle name="Heading 2 79" xfId="3457"/>
    <cellStyle name="Heading 2 8" xfId="3458"/>
    <cellStyle name="Heading 2 9" xfId="3459"/>
    <cellStyle name="Heading 3" xfId="5" builtinId="18" customBuiltin="1"/>
    <cellStyle name="Heading 3 10" xfId="3460"/>
    <cellStyle name="Heading 3 11" xfId="3461"/>
    <cellStyle name="Heading 3 12" xfId="3462"/>
    <cellStyle name="Heading 3 13" xfId="3463"/>
    <cellStyle name="Heading 3 14" xfId="3464"/>
    <cellStyle name="Heading 3 15" xfId="3465"/>
    <cellStyle name="Heading 3 16" xfId="3466"/>
    <cellStyle name="Heading 3 17" xfId="3467"/>
    <cellStyle name="Heading 3 18" xfId="3468"/>
    <cellStyle name="Heading 3 19" xfId="3469"/>
    <cellStyle name="Heading 3 2" xfId="3470"/>
    <cellStyle name="Heading 3 2 2" xfId="3471"/>
    <cellStyle name="Heading 3 2 3" xfId="3472"/>
    <cellStyle name="Heading 3 20" xfId="3473"/>
    <cellStyle name="Heading 3 21" xfId="3474"/>
    <cellStyle name="Heading 3 22" xfId="3475"/>
    <cellStyle name="Heading 3 23" xfId="3476"/>
    <cellStyle name="Heading 3 24" xfId="3477"/>
    <cellStyle name="Heading 3 25" xfId="3478"/>
    <cellStyle name="Heading 3 26" xfId="3479"/>
    <cellStyle name="Heading 3 27" xfId="3480"/>
    <cellStyle name="Heading 3 28" xfId="3481"/>
    <cellStyle name="Heading 3 29" xfId="3482"/>
    <cellStyle name="Heading 3 3" xfId="3483"/>
    <cellStyle name="Heading 3 30" xfId="3484"/>
    <cellStyle name="Heading 3 31" xfId="3485"/>
    <cellStyle name="Heading 3 32" xfId="3486"/>
    <cellStyle name="Heading 3 33" xfId="3487"/>
    <cellStyle name="Heading 3 34" xfId="3488"/>
    <cellStyle name="Heading 3 35" xfId="3489"/>
    <cellStyle name="Heading 3 36" xfId="3490"/>
    <cellStyle name="Heading 3 37" xfId="3491"/>
    <cellStyle name="Heading 3 38" xfId="3492"/>
    <cellStyle name="Heading 3 39" xfId="3493"/>
    <cellStyle name="Heading 3 4" xfId="3494"/>
    <cellStyle name="Heading 3 40" xfId="3495"/>
    <cellStyle name="Heading 3 41" xfId="3496"/>
    <cellStyle name="Heading 3 42" xfId="3497"/>
    <cellStyle name="Heading 3 43" xfId="3498"/>
    <cellStyle name="Heading 3 44" xfId="3499"/>
    <cellStyle name="Heading 3 45" xfId="3500"/>
    <cellStyle name="Heading 3 46" xfId="3501"/>
    <cellStyle name="Heading 3 47" xfId="3502"/>
    <cellStyle name="Heading 3 48" xfId="3503"/>
    <cellStyle name="Heading 3 49" xfId="3504"/>
    <cellStyle name="Heading 3 5" xfId="3505"/>
    <cellStyle name="Heading 3 50" xfId="3506"/>
    <cellStyle name="Heading 3 51" xfId="3507"/>
    <cellStyle name="Heading 3 52" xfId="3508"/>
    <cellStyle name="Heading 3 53" xfId="3509"/>
    <cellStyle name="Heading 3 54" xfId="3510"/>
    <cellStyle name="Heading 3 55" xfId="3511"/>
    <cellStyle name="Heading 3 56" xfId="3512"/>
    <cellStyle name="Heading 3 57" xfId="3513"/>
    <cellStyle name="Heading 3 58" xfId="3514"/>
    <cellStyle name="Heading 3 59" xfId="3515"/>
    <cellStyle name="Heading 3 6" xfId="3516"/>
    <cellStyle name="Heading 3 60" xfId="3517"/>
    <cellStyle name="Heading 3 61" xfId="3518"/>
    <cellStyle name="Heading 3 62" xfId="3519"/>
    <cellStyle name="Heading 3 63" xfId="3520"/>
    <cellStyle name="Heading 3 64" xfId="3521"/>
    <cellStyle name="Heading 3 65" xfId="3522"/>
    <cellStyle name="Heading 3 66" xfId="3523"/>
    <cellStyle name="Heading 3 67" xfId="3524"/>
    <cellStyle name="Heading 3 68" xfId="3525"/>
    <cellStyle name="Heading 3 69" xfId="3526"/>
    <cellStyle name="Heading 3 7" xfId="3527"/>
    <cellStyle name="Heading 3 70" xfId="3528"/>
    <cellStyle name="Heading 3 71" xfId="3529"/>
    <cellStyle name="Heading 3 72" xfId="3530"/>
    <cellStyle name="Heading 3 73" xfId="3531"/>
    <cellStyle name="Heading 3 74" xfId="3532"/>
    <cellStyle name="Heading 3 75" xfId="3533"/>
    <cellStyle name="Heading 3 76" xfId="3534"/>
    <cellStyle name="Heading 3 77" xfId="3535"/>
    <cellStyle name="Heading 3 78" xfId="3536"/>
    <cellStyle name="Heading 3 79" xfId="3537"/>
    <cellStyle name="Heading 3 8" xfId="3538"/>
    <cellStyle name="Heading 3 9" xfId="3539"/>
    <cellStyle name="Heading 4" xfId="6" builtinId="19" customBuiltin="1"/>
    <cellStyle name="Heading 4 10" xfId="3540"/>
    <cellStyle name="Heading 4 11" xfId="3541"/>
    <cellStyle name="Heading 4 12" xfId="3542"/>
    <cellStyle name="Heading 4 13" xfId="3543"/>
    <cellStyle name="Heading 4 14" xfId="3544"/>
    <cellStyle name="Heading 4 15" xfId="3545"/>
    <cellStyle name="Heading 4 16" xfId="3546"/>
    <cellStyle name="Heading 4 17" xfId="3547"/>
    <cellStyle name="Heading 4 18" xfId="3548"/>
    <cellStyle name="Heading 4 19" xfId="3549"/>
    <cellStyle name="Heading 4 2" xfId="3550"/>
    <cellStyle name="Heading 4 2 2" xfId="3551"/>
    <cellStyle name="Heading 4 2 3" xfId="3552"/>
    <cellStyle name="Heading 4 20" xfId="3553"/>
    <cellStyle name="Heading 4 21" xfId="3554"/>
    <cellStyle name="Heading 4 22" xfId="3555"/>
    <cellStyle name="Heading 4 23" xfId="3556"/>
    <cellStyle name="Heading 4 24" xfId="3557"/>
    <cellStyle name="Heading 4 25" xfId="3558"/>
    <cellStyle name="Heading 4 26" xfId="3559"/>
    <cellStyle name="Heading 4 27" xfId="3560"/>
    <cellStyle name="Heading 4 28" xfId="3561"/>
    <cellStyle name="Heading 4 29" xfId="3562"/>
    <cellStyle name="Heading 4 3" xfId="3563"/>
    <cellStyle name="Heading 4 30" xfId="3564"/>
    <cellStyle name="Heading 4 31" xfId="3565"/>
    <cellStyle name="Heading 4 32" xfId="3566"/>
    <cellStyle name="Heading 4 33" xfId="3567"/>
    <cellStyle name="Heading 4 34" xfId="3568"/>
    <cellStyle name="Heading 4 35" xfId="3569"/>
    <cellStyle name="Heading 4 36" xfId="3570"/>
    <cellStyle name="Heading 4 37" xfId="3571"/>
    <cellStyle name="Heading 4 38" xfId="3572"/>
    <cellStyle name="Heading 4 39" xfId="3573"/>
    <cellStyle name="Heading 4 4" xfId="3574"/>
    <cellStyle name="Heading 4 40" xfId="3575"/>
    <cellStyle name="Heading 4 41" xfId="3576"/>
    <cellStyle name="Heading 4 42" xfId="3577"/>
    <cellStyle name="Heading 4 43" xfId="3578"/>
    <cellStyle name="Heading 4 44" xfId="3579"/>
    <cellStyle name="Heading 4 45" xfId="3580"/>
    <cellStyle name="Heading 4 46" xfId="3581"/>
    <cellStyle name="Heading 4 47" xfId="3582"/>
    <cellStyle name="Heading 4 48" xfId="3583"/>
    <cellStyle name="Heading 4 49" xfId="3584"/>
    <cellStyle name="Heading 4 5" xfId="3585"/>
    <cellStyle name="Heading 4 50" xfId="3586"/>
    <cellStyle name="Heading 4 51" xfId="3587"/>
    <cellStyle name="Heading 4 52" xfId="3588"/>
    <cellStyle name="Heading 4 53" xfId="3589"/>
    <cellStyle name="Heading 4 54" xfId="3590"/>
    <cellStyle name="Heading 4 55" xfId="3591"/>
    <cellStyle name="Heading 4 56" xfId="3592"/>
    <cellStyle name="Heading 4 57" xfId="3593"/>
    <cellStyle name="Heading 4 58" xfId="3594"/>
    <cellStyle name="Heading 4 59" xfId="3595"/>
    <cellStyle name="Heading 4 6" xfId="3596"/>
    <cellStyle name="Heading 4 60" xfId="3597"/>
    <cellStyle name="Heading 4 61" xfId="3598"/>
    <cellStyle name="Heading 4 62" xfId="3599"/>
    <cellStyle name="Heading 4 63" xfId="3600"/>
    <cellStyle name="Heading 4 64" xfId="3601"/>
    <cellStyle name="Heading 4 65" xfId="3602"/>
    <cellStyle name="Heading 4 66" xfId="3603"/>
    <cellStyle name="Heading 4 67" xfId="3604"/>
    <cellStyle name="Heading 4 68" xfId="3605"/>
    <cellStyle name="Heading 4 69" xfId="3606"/>
    <cellStyle name="Heading 4 7" xfId="3607"/>
    <cellStyle name="Heading 4 70" xfId="3608"/>
    <cellStyle name="Heading 4 71" xfId="3609"/>
    <cellStyle name="Heading 4 72" xfId="3610"/>
    <cellStyle name="Heading 4 73" xfId="3611"/>
    <cellStyle name="Heading 4 74" xfId="3612"/>
    <cellStyle name="Heading 4 75" xfId="3613"/>
    <cellStyle name="Heading 4 76" xfId="3614"/>
    <cellStyle name="Heading 4 77" xfId="3615"/>
    <cellStyle name="Heading 4 78" xfId="3616"/>
    <cellStyle name="Heading 4 79" xfId="3617"/>
    <cellStyle name="Heading 4 8" xfId="3618"/>
    <cellStyle name="Heading 4 9" xfId="3619"/>
    <cellStyle name="Hyperlink" xfId="47" builtinId="8"/>
    <cellStyle name="Hyperlink 2" xfId="3620"/>
    <cellStyle name="Hyperlink 3" xfId="3621"/>
    <cellStyle name="Hyperlink 4" xfId="7936"/>
    <cellStyle name="Input" xfId="10" builtinId="20" customBuiltin="1"/>
    <cellStyle name="Input 10" xfId="3622"/>
    <cellStyle name="Input 11" xfId="3623"/>
    <cellStyle name="Input 12" xfId="3624"/>
    <cellStyle name="Input 13" xfId="3625"/>
    <cellStyle name="Input 14" xfId="3626"/>
    <cellStyle name="Input 15" xfId="3627"/>
    <cellStyle name="Input 16" xfId="3628"/>
    <cellStyle name="Input 17" xfId="3629"/>
    <cellStyle name="Input 18" xfId="3630"/>
    <cellStyle name="Input 19" xfId="3631"/>
    <cellStyle name="Input 2" xfId="3632"/>
    <cellStyle name="Input 2 2" xfId="3633"/>
    <cellStyle name="Input 2 3" xfId="3634"/>
    <cellStyle name="Input 20" xfId="3635"/>
    <cellStyle name="Input 21" xfId="3636"/>
    <cellStyle name="Input 22" xfId="3637"/>
    <cellStyle name="Input 23" xfId="3638"/>
    <cellStyle name="Input 24" xfId="3639"/>
    <cellStyle name="Input 25" xfId="3640"/>
    <cellStyle name="Input 26" xfId="3641"/>
    <cellStyle name="Input 27" xfId="3642"/>
    <cellStyle name="Input 28" xfId="3643"/>
    <cellStyle name="Input 29" xfId="3644"/>
    <cellStyle name="Input 3" xfId="3645"/>
    <cellStyle name="Input 30" xfId="3646"/>
    <cellStyle name="Input 31" xfId="3647"/>
    <cellStyle name="Input 32" xfId="3648"/>
    <cellStyle name="Input 33" xfId="3649"/>
    <cellStyle name="Input 34" xfId="3650"/>
    <cellStyle name="Input 35" xfId="3651"/>
    <cellStyle name="Input 36" xfId="3652"/>
    <cellStyle name="Input 37" xfId="3653"/>
    <cellStyle name="Input 38" xfId="3654"/>
    <cellStyle name="Input 39" xfId="3655"/>
    <cellStyle name="Input 4" xfId="3656"/>
    <cellStyle name="Input 40" xfId="3657"/>
    <cellStyle name="Input 41" xfId="3658"/>
    <cellStyle name="Input 42" xfId="3659"/>
    <cellStyle name="Input 43" xfId="3660"/>
    <cellStyle name="Input 44" xfId="3661"/>
    <cellStyle name="Input 45" xfId="3662"/>
    <cellStyle name="Input 46" xfId="3663"/>
    <cellStyle name="Input 47" xfId="3664"/>
    <cellStyle name="Input 48" xfId="3665"/>
    <cellStyle name="Input 49" xfId="3666"/>
    <cellStyle name="Input 5" xfId="3667"/>
    <cellStyle name="Input 50" xfId="3668"/>
    <cellStyle name="Input 51" xfId="3669"/>
    <cellStyle name="Input 52" xfId="3670"/>
    <cellStyle name="Input 53" xfId="3671"/>
    <cellStyle name="Input 54" xfId="3672"/>
    <cellStyle name="Input 55" xfId="3673"/>
    <cellStyle name="Input 56" xfId="3674"/>
    <cellStyle name="Input 57" xfId="3675"/>
    <cellStyle name="Input 58" xfId="3676"/>
    <cellStyle name="Input 59" xfId="3677"/>
    <cellStyle name="Input 6" xfId="3678"/>
    <cellStyle name="Input 60" xfId="3679"/>
    <cellStyle name="Input 61" xfId="3680"/>
    <cellStyle name="Input 62" xfId="3681"/>
    <cellStyle name="Input 63" xfId="3682"/>
    <cellStyle name="Input 64" xfId="3683"/>
    <cellStyle name="Input 65" xfId="3684"/>
    <cellStyle name="Input 66" xfId="3685"/>
    <cellStyle name="Input 67" xfId="3686"/>
    <cellStyle name="Input 68" xfId="3687"/>
    <cellStyle name="Input 69" xfId="3688"/>
    <cellStyle name="Input 7" xfId="3689"/>
    <cellStyle name="Input 70" xfId="3690"/>
    <cellStyle name="Input 71" xfId="3691"/>
    <cellStyle name="Input 72" xfId="3692"/>
    <cellStyle name="Input 73" xfId="3693"/>
    <cellStyle name="Input 74" xfId="3694"/>
    <cellStyle name="Input 75" xfId="3695"/>
    <cellStyle name="Input 76" xfId="3696"/>
    <cellStyle name="Input 77" xfId="3697"/>
    <cellStyle name="Input 78" xfId="3698"/>
    <cellStyle name="Input 8" xfId="3699"/>
    <cellStyle name="Input 9" xfId="3700"/>
    <cellStyle name="Linked Cell" xfId="13" builtinId="24" customBuiltin="1"/>
    <cellStyle name="Linked Cell 10" xfId="3701"/>
    <cellStyle name="Linked Cell 11" xfId="3702"/>
    <cellStyle name="Linked Cell 12" xfId="3703"/>
    <cellStyle name="Linked Cell 13" xfId="3704"/>
    <cellStyle name="Linked Cell 14" xfId="3705"/>
    <cellStyle name="Linked Cell 15" xfId="3706"/>
    <cellStyle name="Linked Cell 16" xfId="3707"/>
    <cellStyle name="Linked Cell 17" xfId="3708"/>
    <cellStyle name="Linked Cell 18" xfId="3709"/>
    <cellStyle name="Linked Cell 19" xfId="3710"/>
    <cellStyle name="Linked Cell 2" xfId="3711"/>
    <cellStyle name="Linked Cell 2 2" xfId="3712"/>
    <cellStyle name="Linked Cell 2 3" xfId="3713"/>
    <cellStyle name="Linked Cell 20" xfId="3714"/>
    <cellStyle name="Linked Cell 21" xfId="3715"/>
    <cellStyle name="Linked Cell 22" xfId="3716"/>
    <cellStyle name="Linked Cell 23" xfId="3717"/>
    <cellStyle name="Linked Cell 24" xfId="3718"/>
    <cellStyle name="Linked Cell 25" xfId="3719"/>
    <cellStyle name="Linked Cell 26" xfId="3720"/>
    <cellStyle name="Linked Cell 27" xfId="3721"/>
    <cellStyle name="Linked Cell 28" xfId="3722"/>
    <cellStyle name="Linked Cell 29" xfId="3723"/>
    <cellStyle name="Linked Cell 3" xfId="3724"/>
    <cellStyle name="Linked Cell 30" xfId="3725"/>
    <cellStyle name="Linked Cell 31" xfId="3726"/>
    <cellStyle name="Linked Cell 32" xfId="3727"/>
    <cellStyle name="Linked Cell 33" xfId="3728"/>
    <cellStyle name="Linked Cell 34" xfId="3729"/>
    <cellStyle name="Linked Cell 35" xfId="3730"/>
    <cellStyle name="Linked Cell 36" xfId="3731"/>
    <cellStyle name="Linked Cell 37" xfId="3732"/>
    <cellStyle name="Linked Cell 38" xfId="3733"/>
    <cellStyle name="Linked Cell 39" xfId="3734"/>
    <cellStyle name="Linked Cell 4" xfId="3735"/>
    <cellStyle name="Linked Cell 40" xfId="3736"/>
    <cellStyle name="Linked Cell 41" xfId="3737"/>
    <cellStyle name="Linked Cell 42" xfId="3738"/>
    <cellStyle name="Linked Cell 43" xfId="3739"/>
    <cellStyle name="Linked Cell 44" xfId="3740"/>
    <cellStyle name="Linked Cell 45" xfId="3741"/>
    <cellStyle name="Linked Cell 46" xfId="3742"/>
    <cellStyle name="Linked Cell 47" xfId="3743"/>
    <cellStyle name="Linked Cell 48" xfId="3744"/>
    <cellStyle name="Linked Cell 49" xfId="3745"/>
    <cellStyle name="Linked Cell 5" xfId="3746"/>
    <cellStyle name="Linked Cell 50" xfId="3747"/>
    <cellStyle name="Linked Cell 51" xfId="3748"/>
    <cellStyle name="Linked Cell 52" xfId="3749"/>
    <cellStyle name="Linked Cell 53" xfId="3750"/>
    <cellStyle name="Linked Cell 54" xfId="3751"/>
    <cellStyle name="Linked Cell 55" xfId="3752"/>
    <cellStyle name="Linked Cell 56" xfId="3753"/>
    <cellStyle name="Linked Cell 57" xfId="3754"/>
    <cellStyle name="Linked Cell 58" xfId="3755"/>
    <cellStyle name="Linked Cell 59" xfId="3756"/>
    <cellStyle name="Linked Cell 6" xfId="3757"/>
    <cellStyle name="Linked Cell 60" xfId="3758"/>
    <cellStyle name="Linked Cell 61" xfId="3759"/>
    <cellStyle name="Linked Cell 62" xfId="3760"/>
    <cellStyle name="Linked Cell 63" xfId="3761"/>
    <cellStyle name="Linked Cell 64" xfId="3762"/>
    <cellStyle name="Linked Cell 65" xfId="3763"/>
    <cellStyle name="Linked Cell 66" xfId="3764"/>
    <cellStyle name="Linked Cell 67" xfId="3765"/>
    <cellStyle name="Linked Cell 68" xfId="3766"/>
    <cellStyle name="Linked Cell 69" xfId="3767"/>
    <cellStyle name="Linked Cell 7" xfId="3768"/>
    <cellStyle name="Linked Cell 70" xfId="3769"/>
    <cellStyle name="Linked Cell 71" xfId="3770"/>
    <cellStyle name="Linked Cell 72" xfId="3771"/>
    <cellStyle name="Linked Cell 73" xfId="3772"/>
    <cellStyle name="Linked Cell 74" xfId="3773"/>
    <cellStyle name="Linked Cell 75" xfId="3774"/>
    <cellStyle name="Linked Cell 76" xfId="3775"/>
    <cellStyle name="Linked Cell 77" xfId="3776"/>
    <cellStyle name="Linked Cell 78" xfId="3777"/>
    <cellStyle name="Linked Cell 8" xfId="3778"/>
    <cellStyle name="Linked Cell 9" xfId="3779"/>
    <cellStyle name="Neutral" xfId="9" builtinId="28" customBuiltin="1"/>
    <cellStyle name="Neutral 10" xfId="3780"/>
    <cellStyle name="Neutral 11" xfId="3781"/>
    <cellStyle name="Neutral 12" xfId="3782"/>
    <cellStyle name="Neutral 13" xfId="3783"/>
    <cellStyle name="Neutral 14" xfId="3784"/>
    <cellStyle name="Neutral 15" xfId="3785"/>
    <cellStyle name="Neutral 16" xfId="3786"/>
    <cellStyle name="Neutral 17" xfId="3787"/>
    <cellStyle name="Neutral 18" xfId="3788"/>
    <cellStyle name="Neutral 19" xfId="3789"/>
    <cellStyle name="Neutral 2" xfId="3790"/>
    <cellStyle name="Neutral 2 2" xfId="3791"/>
    <cellStyle name="Neutral 2 3" xfId="3792"/>
    <cellStyle name="Neutral 20" xfId="3793"/>
    <cellStyle name="Neutral 21" xfId="3794"/>
    <cellStyle name="Neutral 22" xfId="3795"/>
    <cellStyle name="Neutral 23" xfId="3796"/>
    <cellStyle name="Neutral 24" xfId="3797"/>
    <cellStyle name="Neutral 25" xfId="3798"/>
    <cellStyle name="Neutral 26" xfId="3799"/>
    <cellStyle name="Neutral 27" xfId="3800"/>
    <cellStyle name="Neutral 28" xfId="3801"/>
    <cellStyle name="Neutral 29" xfId="3802"/>
    <cellStyle name="Neutral 3" xfId="3803"/>
    <cellStyle name="Neutral 30" xfId="3804"/>
    <cellStyle name="Neutral 31" xfId="3805"/>
    <cellStyle name="Neutral 32" xfId="3806"/>
    <cellStyle name="Neutral 33" xfId="3807"/>
    <cellStyle name="Neutral 34" xfId="3808"/>
    <cellStyle name="Neutral 35" xfId="3809"/>
    <cellStyle name="Neutral 36" xfId="3810"/>
    <cellStyle name="Neutral 37" xfId="3811"/>
    <cellStyle name="Neutral 38" xfId="3812"/>
    <cellStyle name="Neutral 39" xfId="3813"/>
    <cellStyle name="Neutral 4" xfId="3814"/>
    <cellStyle name="Neutral 40" xfId="3815"/>
    <cellStyle name="Neutral 41" xfId="3816"/>
    <cellStyle name="Neutral 42" xfId="3817"/>
    <cellStyle name="Neutral 43" xfId="3818"/>
    <cellStyle name="Neutral 44" xfId="3819"/>
    <cellStyle name="Neutral 45" xfId="3820"/>
    <cellStyle name="Neutral 46" xfId="3821"/>
    <cellStyle name="Neutral 47" xfId="3822"/>
    <cellStyle name="Neutral 48" xfId="3823"/>
    <cellStyle name="Neutral 49" xfId="3824"/>
    <cellStyle name="Neutral 5" xfId="3825"/>
    <cellStyle name="Neutral 50" xfId="3826"/>
    <cellStyle name="Neutral 51" xfId="3827"/>
    <cellStyle name="Neutral 52" xfId="3828"/>
    <cellStyle name="Neutral 53" xfId="3829"/>
    <cellStyle name="Neutral 54" xfId="3830"/>
    <cellStyle name="Neutral 55" xfId="3831"/>
    <cellStyle name="Neutral 56" xfId="3832"/>
    <cellStyle name="Neutral 57" xfId="3833"/>
    <cellStyle name="Neutral 58" xfId="3834"/>
    <cellStyle name="Neutral 59" xfId="3835"/>
    <cellStyle name="Neutral 6" xfId="3836"/>
    <cellStyle name="Neutral 60" xfId="3837"/>
    <cellStyle name="Neutral 61" xfId="3838"/>
    <cellStyle name="Neutral 62" xfId="3839"/>
    <cellStyle name="Neutral 63" xfId="3840"/>
    <cellStyle name="Neutral 64" xfId="3841"/>
    <cellStyle name="Neutral 65" xfId="3842"/>
    <cellStyle name="Neutral 66" xfId="3843"/>
    <cellStyle name="Neutral 67" xfId="3844"/>
    <cellStyle name="Neutral 68" xfId="3845"/>
    <cellStyle name="Neutral 69" xfId="3846"/>
    <cellStyle name="Neutral 7" xfId="3847"/>
    <cellStyle name="Neutral 70" xfId="3848"/>
    <cellStyle name="Neutral 71" xfId="3849"/>
    <cellStyle name="Neutral 72" xfId="3850"/>
    <cellStyle name="Neutral 73" xfId="3851"/>
    <cellStyle name="Neutral 74" xfId="3852"/>
    <cellStyle name="Neutral 75" xfId="3853"/>
    <cellStyle name="Neutral 76" xfId="3854"/>
    <cellStyle name="Neutral 77" xfId="3855"/>
    <cellStyle name="Neutral 78" xfId="3856"/>
    <cellStyle name="Neutral 8" xfId="3857"/>
    <cellStyle name="Neutral 9" xfId="3858"/>
    <cellStyle name="Normal" xfId="0" builtinId="0"/>
    <cellStyle name="Normal 10" xfId="128"/>
    <cellStyle name="Normal 10 10" xfId="3859"/>
    <cellStyle name="Normal 10 11" xfId="3860"/>
    <cellStyle name="Normal 10 12" xfId="3861"/>
    <cellStyle name="Normal 10 13" xfId="3862"/>
    <cellStyle name="Normal 10 2" xfId="129"/>
    <cellStyle name="Normal 10 2 2" xfId="130"/>
    <cellStyle name="Normal 10 3" xfId="3863"/>
    <cellStyle name="Normal 10 4" xfId="3864"/>
    <cellStyle name="Normal 10 5" xfId="3865"/>
    <cellStyle name="Normal 10 6" xfId="3866"/>
    <cellStyle name="Normal 10 7" xfId="3867"/>
    <cellStyle name="Normal 10 8" xfId="3868"/>
    <cellStyle name="Normal 10 9" xfId="3869"/>
    <cellStyle name="Normal 1077" xfId="3870"/>
    <cellStyle name="Normal 1077 2" xfId="3871"/>
    <cellStyle name="Normal 1077 2 2" xfId="3872"/>
    <cellStyle name="Normal 1077 2 3" xfId="3873"/>
    <cellStyle name="Normal 1077 3" xfId="183"/>
    <cellStyle name="Normal 1077 3 2" xfId="3874"/>
    <cellStyle name="Normal 1077 3 2 2" xfId="3875"/>
    <cellStyle name="Normal 1077 3 2 3" xfId="3876"/>
    <cellStyle name="Normal 1077 3 3" xfId="3877"/>
    <cellStyle name="Normal 1077 3 4" xfId="3878"/>
    <cellStyle name="Normal 1077 4" xfId="3879"/>
    <cellStyle name="Normal 1077 5" xfId="3880"/>
    <cellStyle name="Normal 1080" xfId="3881"/>
    <cellStyle name="Normal 1080 2" xfId="3882"/>
    <cellStyle name="Normal 1081" xfId="3883"/>
    <cellStyle name="Normal 1081 2" xfId="3884"/>
    <cellStyle name="Normal 1082" xfId="3885"/>
    <cellStyle name="Normal 1082 2" xfId="3886"/>
    <cellStyle name="Normal 1083" xfId="3887"/>
    <cellStyle name="Normal 1083 2" xfId="3888"/>
    <cellStyle name="Normal 1084" xfId="3889"/>
    <cellStyle name="Normal 1084 2" xfId="3890"/>
    <cellStyle name="Normal 1085" xfId="3891"/>
    <cellStyle name="Normal 1085 2" xfId="3892"/>
    <cellStyle name="Normal 1086" xfId="3893"/>
    <cellStyle name="Normal 1086 2" xfId="3894"/>
    <cellStyle name="Normal 1087" xfId="3895"/>
    <cellStyle name="Normal 1087 2" xfId="3896"/>
    <cellStyle name="Normal 1088" xfId="3897"/>
    <cellStyle name="Normal 1089" xfId="3898"/>
    <cellStyle name="Normal 109" xfId="3899"/>
    <cellStyle name="Normal 1090" xfId="3900"/>
    <cellStyle name="Normal 1092" xfId="3901"/>
    <cellStyle name="Normal 1093" xfId="3902"/>
    <cellStyle name="Normal 1094" xfId="3903"/>
    <cellStyle name="Normal 1095" xfId="3904"/>
    <cellStyle name="Normal 1096" xfId="3905"/>
    <cellStyle name="Normal 1097" xfId="3906"/>
    <cellStyle name="Normal 1098" xfId="3907"/>
    <cellStyle name="Normal 1099" xfId="3908"/>
    <cellStyle name="Normal 11" xfId="118"/>
    <cellStyle name="Normal 11 10" xfId="3909"/>
    <cellStyle name="Normal 11 11" xfId="3910"/>
    <cellStyle name="Normal 11 12" xfId="3911"/>
    <cellStyle name="Normal 11 13" xfId="3912"/>
    <cellStyle name="Normal 11 14" xfId="3913"/>
    <cellStyle name="Normal 11 2" xfId="3914"/>
    <cellStyle name="Normal 11 2 2" xfId="3915"/>
    <cellStyle name="Normal 11 3" xfId="3916"/>
    <cellStyle name="Normal 11 4" xfId="3917"/>
    <cellStyle name="Normal 11 5" xfId="3918"/>
    <cellStyle name="Normal 11 6" xfId="3919"/>
    <cellStyle name="Normal 11 7" xfId="3920"/>
    <cellStyle name="Normal 11 8" xfId="3921"/>
    <cellStyle name="Normal 11 9" xfId="3922"/>
    <cellStyle name="Normal 110" xfId="3923"/>
    <cellStyle name="Normal 1100" xfId="3924"/>
    <cellStyle name="Normal 1101" xfId="188"/>
    <cellStyle name="Normal 1102" xfId="3925"/>
    <cellStyle name="Normal 1103" xfId="3926"/>
    <cellStyle name="Normal 1104" xfId="3927"/>
    <cellStyle name="Normal 1105" xfId="3928"/>
    <cellStyle name="Normal 1106" xfId="3929"/>
    <cellStyle name="Normal 1107" xfId="3930"/>
    <cellStyle name="Normal 1108" xfId="3931"/>
    <cellStyle name="Normal 111" xfId="3932"/>
    <cellStyle name="Normal 1110" xfId="3933"/>
    <cellStyle name="Normal 1111" xfId="3934"/>
    <cellStyle name="Normal 1112" xfId="3935"/>
    <cellStyle name="Normal 1113" xfId="3936"/>
    <cellStyle name="Normal 1114" xfId="3937"/>
    <cellStyle name="Normal 1115" xfId="3938"/>
    <cellStyle name="Normal 1116" xfId="3939"/>
    <cellStyle name="Normal 1117" xfId="3940"/>
    <cellStyle name="Normal 1118" xfId="3941"/>
    <cellStyle name="Normal 1119" xfId="3942"/>
    <cellStyle name="Normal 1120" xfId="3943"/>
    <cellStyle name="Normal 1121" xfId="3944"/>
    <cellStyle name="Normal 1122" xfId="3945"/>
    <cellStyle name="Normal 1123" xfId="3946"/>
    <cellStyle name="Normal 1124" xfId="3947"/>
    <cellStyle name="Normal 1125" xfId="3948"/>
    <cellStyle name="Normal 1126" xfId="3949"/>
    <cellStyle name="Normal 1127" xfId="3950"/>
    <cellStyle name="Normal 1128" xfId="3951"/>
    <cellStyle name="Normal 1129" xfId="3952"/>
    <cellStyle name="Normal 113" xfId="3953"/>
    <cellStyle name="Normal 113 2" xfId="3954"/>
    <cellStyle name="Normal 114" xfId="3955"/>
    <cellStyle name="Normal 114 2" xfId="3956"/>
    <cellStyle name="Normal 1142" xfId="3957"/>
    <cellStyle name="Normal 1146" xfId="3958"/>
    <cellStyle name="Normal 1147" xfId="3959"/>
    <cellStyle name="Normal 1148" xfId="3960"/>
    <cellStyle name="Normal 1149" xfId="3961"/>
    <cellStyle name="Normal 115" xfId="3962"/>
    <cellStyle name="Normal 115 2" xfId="3963"/>
    <cellStyle name="Normal 1150" xfId="3964"/>
    <cellStyle name="Normal 1151" xfId="3965"/>
    <cellStyle name="Normal 1153" xfId="3966"/>
    <cellStyle name="Normal 1154" xfId="186"/>
    <cellStyle name="Normal 1155" xfId="3967"/>
    <cellStyle name="Normal 1157" xfId="3968"/>
    <cellStyle name="Normal 1158" xfId="3969"/>
    <cellStyle name="Normal 1159" xfId="3970"/>
    <cellStyle name="Normal 116" xfId="3971"/>
    <cellStyle name="Normal 116 2" xfId="3972"/>
    <cellStyle name="Normal 116 3" xfId="3973"/>
    <cellStyle name="Normal 1160" xfId="3974"/>
    <cellStyle name="Normal 1161" xfId="3975"/>
    <cellStyle name="Normal 1162" xfId="3976"/>
    <cellStyle name="Normal 1164" xfId="3977"/>
    <cellStyle name="Normal 1165" xfId="3978"/>
    <cellStyle name="Normal 1166" xfId="3979"/>
    <cellStyle name="Normal 1167" xfId="3980"/>
    <cellStyle name="Normal 1168" xfId="3981"/>
    <cellStyle name="Normal 117" xfId="3982"/>
    <cellStyle name="Normal 117 2" xfId="3983"/>
    <cellStyle name="Normal 117 3" xfId="3984"/>
    <cellStyle name="Normal 118" xfId="3985"/>
    <cellStyle name="Normal 118 2" xfId="3986"/>
    <cellStyle name="Normal 118 3" xfId="3987"/>
    <cellStyle name="Normal 119" xfId="3988"/>
    <cellStyle name="Normal 119 2" xfId="3989"/>
    <cellStyle name="Normal 119 3" xfId="3990"/>
    <cellStyle name="Normal 12" xfId="182"/>
    <cellStyle name="Normal 12 10" xfId="3991"/>
    <cellStyle name="Normal 12 11" xfId="3992"/>
    <cellStyle name="Normal 12 12" xfId="3993"/>
    <cellStyle name="Normal 12 13" xfId="3994"/>
    <cellStyle name="Normal 12 14" xfId="3995"/>
    <cellStyle name="Normal 12 15" xfId="3996"/>
    <cellStyle name="Normal 12 16" xfId="3997"/>
    <cellStyle name="Normal 12 17" xfId="3998"/>
    <cellStyle name="Normal 12 18" xfId="3999"/>
    <cellStyle name="Normal 12 2" xfId="4000"/>
    <cellStyle name="Normal 12 2 2" xfId="4001"/>
    <cellStyle name="Normal 12 2 3" xfId="4002"/>
    <cellStyle name="Normal 12 3" xfId="4003"/>
    <cellStyle name="Normal 12 4" xfId="4004"/>
    <cellStyle name="Normal 12 5" xfId="4005"/>
    <cellStyle name="Normal 12 6" xfId="4006"/>
    <cellStyle name="Normal 12 7" xfId="4007"/>
    <cellStyle name="Normal 12 8" xfId="4008"/>
    <cellStyle name="Normal 12 9" xfId="4009"/>
    <cellStyle name="Normal 120" xfId="4010"/>
    <cellStyle name="Normal 120 2" xfId="4011"/>
    <cellStyle name="Normal 121" xfId="4012"/>
    <cellStyle name="Normal 121 2" xfId="4013"/>
    <cellStyle name="Normal 121 3" xfId="4014"/>
    <cellStyle name="Normal 122" xfId="4015"/>
    <cellStyle name="Normal 122 2" xfId="4016"/>
    <cellStyle name="Normal 122 3" xfId="4017"/>
    <cellStyle name="Normal 123" xfId="4018"/>
    <cellStyle name="Normal 123 2" xfId="4019"/>
    <cellStyle name="Normal 123 3" xfId="4020"/>
    <cellStyle name="Normal 124" xfId="4021"/>
    <cellStyle name="Normal 124 2" xfId="4022"/>
    <cellStyle name="Normal 125" xfId="4023"/>
    <cellStyle name="Normal 125 2" xfId="4024"/>
    <cellStyle name="Normal 125 3" xfId="4025"/>
    <cellStyle name="Normal 126" xfId="4026"/>
    <cellStyle name="Normal 126 2" xfId="4027"/>
    <cellStyle name="Normal 126 3" xfId="4028"/>
    <cellStyle name="Normal 127" xfId="4029"/>
    <cellStyle name="Normal 127 2" xfId="4030"/>
    <cellStyle name="Normal 127 3" xfId="4031"/>
    <cellStyle name="Normal 128" xfId="4032"/>
    <cellStyle name="Normal 128 2" xfId="4033"/>
    <cellStyle name="Normal 129" xfId="4034"/>
    <cellStyle name="Normal 129 2" xfId="4035"/>
    <cellStyle name="Normal 129 3" xfId="4036"/>
    <cellStyle name="Normal 13" xfId="4037"/>
    <cellStyle name="Normal 13 2" xfId="4038"/>
    <cellStyle name="Normal 13 3" xfId="4039"/>
    <cellStyle name="Normal 13 4" xfId="4040"/>
    <cellStyle name="Normal 13 5" xfId="4041"/>
    <cellStyle name="Normal 130" xfId="4042"/>
    <cellStyle name="Normal 130 2" xfId="4043"/>
    <cellStyle name="Normal 130 3" xfId="4044"/>
    <cellStyle name="Normal 131" xfId="4045"/>
    <cellStyle name="Normal 131 2" xfId="4046"/>
    <cellStyle name="Normal 131 3" xfId="4047"/>
    <cellStyle name="Normal 132" xfId="4048"/>
    <cellStyle name="Normal 132 2" xfId="4049"/>
    <cellStyle name="Normal 133" xfId="4050"/>
    <cellStyle name="Normal 133 2" xfId="4051"/>
    <cellStyle name="Normal 134" xfId="4052"/>
    <cellStyle name="Normal 134 2" xfId="4053"/>
    <cellStyle name="Normal 134 3" xfId="4054"/>
    <cellStyle name="Normal 135" xfId="4055"/>
    <cellStyle name="Normal 135 2" xfId="4056"/>
    <cellStyle name="Normal 135 3" xfId="4057"/>
    <cellStyle name="Normal 136" xfId="4058"/>
    <cellStyle name="Normal 136 2" xfId="4059"/>
    <cellStyle name="Normal 136 3" xfId="4060"/>
    <cellStyle name="Normal 137" xfId="4061"/>
    <cellStyle name="Normal 137 2" xfId="4062"/>
    <cellStyle name="Normal 137 3" xfId="4063"/>
    <cellStyle name="Normal 138" xfId="4064"/>
    <cellStyle name="Normal 138 2" xfId="4065"/>
    <cellStyle name="Normal 138 3" xfId="4066"/>
    <cellStyle name="Normal 139" xfId="4067"/>
    <cellStyle name="Normal 139 2" xfId="4068"/>
    <cellStyle name="Normal 14" xfId="4069"/>
    <cellStyle name="Normal 14 2" xfId="4070"/>
    <cellStyle name="Normal 14 2 2" xfId="4071"/>
    <cellStyle name="Normal 14 2 3" xfId="4072"/>
    <cellStyle name="Normal 14 3" xfId="4073"/>
    <cellStyle name="Normal 14 4" xfId="4074"/>
    <cellStyle name="Normal 14 5" xfId="4075"/>
    <cellStyle name="Normal 140" xfId="4076"/>
    <cellStyle name="Normal 140 2" xfId="4077"/>
    <cellStyle name="Normal 141" xfId="4078"/>
    <cellStyle name="Normal 141 2" xfId="4079"/>
    <cellStyle name="Normal 142" xfId="4080"/>
    <cellStyle name="Normal 142 2" xfId="4081"/>
    <cellStyle name="Normal 143" xfId="4082"/>
    <cellStyle name="Normal 143 2" xfId="4083"/>
    <cellStyle name="Normal 144" xfId="4084"/>
    <cellStyle name="Normal 144 2" xfId="4085"/>
    <cellStyle name="Normal 145" xfId="4086"/>
    <cellStyle name="Normal 145 2" xfId="4087"/>
    <cellStyle name="Normal 146" xfId="4088"/>
    <cellStyle name="Normal 146 2" xfId="4089"/>
    <cellStyle name="Normal 147" xfId="4090"/>
    <cellStyle name="Normal 147 2" xfId="4091"/>
    <cellStyle name="Normal 148" xfId="4092"/>
    <cellStyle name="Normal 148 2" xfId="4093"/>
    <cellStyle name="Normal 149" xfId="4094"/>
    <cellStyle name="Normal 149 2" xfId="4095"/>
    <cellStyle name="Normal 15" xfId="4096"/>
    <cellStyle name="Normal 15 2" xfId="4097"/>
    <cellStyle name="Normal 15 3" xfId="4098"/>
    <cellStyle name="Normal 15 4" xfId="4099"/>
    <cellStyle name="Normal 150" xfId="4100"/>
    <cellStyle name="Normal 150 2" xfId="4101"/>
    <cellStyle name="Normal 151" xfId="4102"/>
    <cellStyle name="Normal 151 2" xfId="4103"/>
    <cellStyle name="Normal 152" xfId="4104"/>
    <cellStyle name="Normal 152 2" xfId="4105"/>
    <cellStyle name="Normal 153" xfId="4106"/>
    <cellStyle name="Normal 153 2" xfId="4107"/>
    <cellStyle name="Normal 154" xfId="4108"/>
    <cellStyle name="Normal 154 2" xfId="4109"/>
    <cellStyle name="Normal 155" xfId="4110"/>
    <cellStyle name="Normal 155 2" xfId="4111"/>
    <cellStyle name="Normal 156" xfId="4112"/>
    <cellStyle name="Normal 156 2" xfId="4113"/>
    <cellStyle name="Normal 157" xfId="4114"/>
    <cellStyle name="Normal 157 2" xfId="4115"/>
    <cellStyle name="Normal 158" xfId="4116"/>
    <cellStyle name="Normal 159" xfId="4117"/>
    <cellStyle name="Normal 16" xfId="4118"/>
    <cellStyle name="Normal 16 2" xfId="4119"/>
    <cellStyle name="Normal 16 3" xfId="4120"/>
    <cellStyle name="Normal 16 4" xfId="4121"/>
    <cellStyle name="Normal 16 5" xfId="4122"/>
    <cellStyle name="Normal 16 6" xfId="4123"/>
    <cellStyle name="Normal 161" xfId="4124"/>
    <cellStyle name="Normal 165" xfId="4125"/>
    <cellStyle name="Normal 166" xfId="4126"/>
    <cellStyle name="Normal 167" xfId="4127"/>
    <cellStyle name="Normal 168" xfId="4128"/>
    <cellStyle name="Normal 168 2" xfId="4129"/>
    <cellStyle name="Normal 168 2 2" xfId="4130"/>
    <cellStyle name="Normal 168 2 3" xfId="4131"/>
    <cellStyle name="Normal 168 3" xfId="4132"/>
    <cellStyle name="Normal 168 4" xfId="4133"/>
    <cellStyle name="Normal 169" xfId="4134"/>
    <cellStyle name="Normal 169 2" xfId="4135"/>
    <cellStyle name="Normal 169 2 2" xfId="4136"/>
    <cellStyle name="Normal 169 2 3" xfId="4137"/>
    <cellStyle name="Normal 169 3" xfId="4138"/>
    <cellStyle name="Normal 169 4" xfId="4139"/>
    <cellStyle name="Normal 17" xfId="4140"/>
    <cellStyle name="Normal 17 2" xfId="4141"/>
    <cellStyle name="Normal 17 3" xfId="4142"/>
    <cellStyle name="Normal 17 4" xfId="4143"/>
    <cellStyle name="Normal 17 5" xfId="4144"/>
    <cellStyle name="Normal 17 6" xfId="4145"/>
    <cellStyle name="Normal 170" xfId="4146"/>
    <cellStyle name="Normal 171" xfId="4147"/>
    <cellStyle name="Normal 172" xfId="4148"/>
    <cellStyle name="Normal 173" xfId="4149"/>
    <cellStyle name="Normal 174" xfId="4150"/>
    <cellStyle name="Normal 174 2" xfId="4151"/>
    <cellStyle name="Normal 174 2 2" xfId="4152"/>
    <cellStyle name="Normal 174 2 3" xfId="4153"/>
    <cellStyle name="Normal 174 3" xfId="4154"/>
    <cellStyle name="Normal 174 4" xfId="4155"/>
    <cellStyle name="Normal 175" xfId="4156"/>
    <cellStyle name="Normal 175 2" xfId="4157"/>
    <cellStyle name="Normal 175 2 2" xfId="4158"/>
    <cellStyle name="Normal 175 2 3" xfId="4159"/>
    <cellStyle name="Normal 175 3" xfId="4160"/>
    <cellStyle name="Normal 175 4" xfId="4161"/>
    <cellStyle name="Normal 176" xfId="4162"/>
    <cellStyle name="Normal 176 2" xfId="4163"/>
    <cellStyle name="Normal 176 2 2" xfId="4164"/>
    <cellStyle name="Normal 176 2 3" xfId="4165"/>
    <cellStyle name="Normal 176 3" xfId="4166"/>
    <cellStyle name="Normal 176 4" xfId="4167"/>
    <cellStyle name="Normal 177" xfId="4168"/>
    <cellStyle name="Normal 177 2" xfId="4169"/>
    <cellStyle name="Normal 177 2 2" xfId="4170"/>
    <cellStyle name="Normal 177 2 3" xfId="4171"/>
    <cellStyle name="Normal 177 3" xfId="4172"/>
    <cellStyle name="Normal 177 4" xfId="4173"/>
    <cellStyle name="Normal 178" xfId="4174"/>
    <cellStyle name="Normal 18" xfId="4175"/>
    <cellStyle name="Normal 18 2" xfId="4176"/>
    <cellStyle name="Normal 18 3" xfId="4177"/>
    <cellStyle name="Normal 18 4" xfId="4178"/>
    <cellStyle name="Normal 180" xfId="4179"/>
    <cellStyle name="Normal 181" xfId="4180"/>
    <cellStyle name="Normal 182" xfId="4181"/>
    <cellStyle name="Normal 183" xfId="4182"/>
    <cellStyle name="Normal 183 2" xfId="4183"/>
    <cellStyle name="Normal 183 2 2" xfId="4184"/>
    <cellStyle name="Normal 183 2 3" xfId="4185"/>
    <cellStyle name="Normal 183 3" xfId="4186"/>
    <cellStyle name="Normal 183 4" xfId="4187"/>
    <cellStyle name="Normal 184" xfId="4188"/>
    <cellStyle name="Normal 184 2" xfId="4189"/>
    <cellStyle name="Normal 184 2 2" xfId="4190"/>
    <cellStyle name="Normal 184 2 3" xfId="4191"/>
    <cellStyle name="Normal 184 3" xfId="4192"/>
    <cellStyle name="Normal 184 4" xfId="4193"/>
    <cellStyle name="Normal 185" xfId="4194"/>
    <cellStyle name="Normal 186" xfId="4195"/>
    <cellStyle name="Normal 187" xfId="4196"/>
    <cellStyle name="Normal 188" xfId="4197"/>
    <cellStyle name="Normal 188 2" xfId="4198"/>
    <cellStyle name="Normal 188 2 2" xfId="4199"/>
    <cellStyle name="Normal 188 2 3" xfId="4200"/>
    <cellStyle name="Normal 188 3" xfId="4201"/>
    <cellStyle name="Normal 188 4" xfId="4202"/>
    <cellStyle name="Normal 189" xfId="4203"/>
    <cellStyle name="Normal 19" xfId="4204"/>
    <cellStyle name="Normal 19 2" xfId="4205"/>
    <cellStyle name="Normal 19 4" xfId="185"/>
    <cellStyle name="Normal 191" xfId="4206"/>
    <cellStyle name="Normal 191 2" xfId="4207"/>
    <cellStyle name="Normal 191 2 2" xfId="4208"/>
    <cellStyle name="Normal 191 2 3" xfId="4209"/>
    <cellStyle name="Normal 191 3" xfId="4210"/>
    <cellStyle name="Normal 191 4" xfId="4211"/>
    <cellStyle name="Normal 192" xfId="4212"/>
    <cellStyle name="Normal 193" xfId="4213"/>
    <cellStyle name="Normal 194" xfId="4214"/>
    <cellStyle name="Normal 195" xfId="4215"/>
    <cellStyle name="Normal 196" xfId="4216"/>
    <cellStyle name="Normal 197" xfId="4217"/>
    <cellStyle name="Normal 198" xfId="4218"/>
    <cellStyle name="Normal 199" xfId="4219"/>
    <cellStyle name="Normal 199 2" xfId="4220"/>
    <cellStyle name="Normal 199 2 2" xfId="4221"/>
    <cellStyle name="Normal 199 2 3" xfId="4222"/>
    <cellStyle name="Normal 199 3" xfId="4223"/>
    <cellStyle name="Normal 199 4" xfId="4224"/>
    <cellStyle name="Normal 2" xfId="43"/>
    <cellStyle name="Normal 2 10" xfId="4225"/>
    <cellStyle name="Normal 2 10 2" xfId="4226"/>
    <cellStyle name="Normal 2 100" xfId="4227"/>
    <cellStyle name="Normal 2 101" xfId="4228"/>
    <cellStyle name="Normal 2 102" xfId="4229"/>
    <cellStyle name="Normal 2 103" xfId="4230"/>
    <cellStyle name="Normal 2 104" xfId="4231"/>
    <cellStyle name="Normal 2 105" xfId="4232"/>
    <cellStyle name="Normal 2 106" xfId="4233"/>
    <cellStyle name="Normal 2 107" xfId="4234"/>
    <cellStyle name="Normal 2 108" xfId="4235"/>
    <cellStyle name="Normal 2 109" xfId="4236"/>
    <cellStyle name="Normal 2 11" xfId="4237"/>
    <cellStyle name="Normal 2 110" xfId="4238"/>
    <cellStyle name="Normal 2 111" xfId="4239"/>
    <cellStyle name="Normal 2 112" xfId="4240"/>
    <cellStyle name="Normal 2 113" xfId="4241"/>
    <cellStyle name="Normal 2 114" xfId="4242"/>
    <cellStyle name="Normal 2 115" xfId="4243"/>
    <cellStyle name="Normal 2 116" xfId="4244"/>
    <cellStyle name="Normal 2 117" xfId="4245"/>
    <cellStyle name="Normal 2 118" xfId="4246"/>
    <cellStyle name="Normal 2 119" xfId="4247"/>
    <cellStyle name="Normal 2 12" xfId="4248"/>
    <cellStyle name="Normal 2 120" xfId="4249"/>
    <cellStyle name="Normal 2 121" xfId="4250"/>
    <cellStyle name="Normal 2 122" xfId="4251"/>
    <cellStyle name="Normal 2 123" xfId="4252"/>
    <cellStyle name="Normal 2 124" xfId="4253"/>
    <cellStyle name="Normal 2 125" xfId="4254"/>
    <cellStyle name="Normal 2 126" xfId="4255"/>
    <cellStyle name="Normal 2 127" xfId="4256"/>
    <cellStyle name="Normal 2 128" xfId="4257"/>
    <cellStyle name="Normal 2 129" xfId="4258"/>
    <cellStyle name="Normal 2 13" xfId="4259"/>
    <cellStyle name="Normal 2 130" xfId="4260"/>
    <cellStyle name="Normal 2 131" xfId="4261"/>
    <cellStyle name="Normal 2 132" xfId="4262"/>
    <cellStyle name="Normal 2 132 2" xfId="4263"/>
    <cellStyle name="Normal 2 132 3" xfId="4264"/>
    <cellStyle name="Normal 2 132 4" xfId="4265"/>
    <cellStyle name="Normal 2 132 5" xfId="4266"/>
    <cellStyle name="Normal 2 132 6" xfId="4267"/>
    <cellStyle name="Normal 2 132 7" xfId="4268"/>
    <cellStyle name="Normal 2 132 8" xfId="4269"/>
    <cellStyle name="Normal 2 132 9" xfId="4270"/>
    <cellStyle name="Normal 2 133" xfId="4271"/>
    <cellStyle name="Normal 2 134" xfId="4272"/>
    <cellStyle name="Normal 2 134 2" xfId="4273"/>
    <cellStyle name="Normal 2 134 3" xfId="4274"/>
    <cellStyle name="Normal 2 134 4" xfId="4275"/>
    <cellStyle name="Normal 2 134 5" xfId="4276"/>
    <cellStyle name="Normal 2 134 6" xfId="4277"/>
    <cellStyle name="Normal 2 135" xfId="4278"/>
    <cellStyle name="Normal 2 135 2" xfId="4279"/>
    <cellStyle name="Normal 2 135 3" xfId="4280"/>
    <cellStyle name="Normal 2 135 4" xfId="4281"/>
    <cellStyle name="Normal 2 135 5" xfId="4282"/>
    <cellStyle name="Normal 2 135 6" xfId="4283"/>
    <cellStyle name="Normal 2 136" xfId="4284"/>
    <cellStyle name="Normal 2 137" xfId="4285"/>
    <cellStyle name="Normal 2 138" xfId="4286"/>
    <cellStyle name="Normal 2 139" xfId="4287"/>
    <cellStyle name="Normal 2 14" xfId="4288"/>
    <cellStyle name="Normal 2 140" xfId="4289"/>
    <cellStyle name="Normal 2 141" xfId="4290"/>
    <cellStyle name="Normal 2 142" xfId="4291"/>
    <cellStyle name="Normal 2 143" xfId="4292"/>
    <cellStyle name="Normal 2 144" xfId="4293"/>
    <cellStyle name="Normal 2 145" xfId="4294"/>
    <cellStyle name="Normal 2 146" xfId="4295"/>
    <cellStyle name="Normal 2 147" xfId="4296"/>
    <cellStyle name="Normal 2 148" xfId="4297"/>
    <cellStyle name="Normal 2 149" xfId="4298"/>
    <cellStyle name="Normal 2 15" xfId="4299"/>
    <cellStyle name="Normal 2 150" xfId="4300"/>
    <cellStyle name="Normal 2 151" xfId="4301"/>
    <cellStyle name="Normal 2 152" xfId="4302"/>
    <cellStyle name="Normal 2 153" xfId="4303"/>
    <cellStyle name="Normal 2 154" xfId="4304"/>
    <cellStyle name="Normal 2 155" xfId="4305"/>
    <cellStyle name="Normal 2 156" xfId="4306"/>
    <cellStyle name="Normal 2 157" xfId="4307"/>
    <cellStyle name="Normal 2 158" xfId="4308"/>
    <cellStyle name="Normal 2 159" xfId="4309"/>
    <cellStyle name="Normal 2 16" xfId="4310"/>
    <cellStyle name="Normal 2 160" xfId="4311"/>
    <cellStyle name="Normal 2 161" xfId="4312"/>
    <cellStyle name="Normal 2 162" xfId="4313"/>
    <cellStyle name="Normal 2 163" xfId="4314"/>
    <cellStyle name="Normal 2 164" xfId="4315"/>
    <cellStyle name="Normal 2 165" xfId="4316"/>
    <cellStyle name="Normal 2 166" xfId="4317"/>
    <cellStyle name="Normal 2 167" xfId="4318"/>
    <cellStyle name="Normal 2 168" xfId="4319"/>
    <cellStyle name="Normal 2 169" xfId="4320"/>
    <cellStyle name="Normal 2 17" xfId="4321"/>
    <cellStyle name="Normal 2 170" xfId="4322"/>
    <cellStyle name="Normal 2 171" xfId="4323"/>
    <cellStyle name="Normal 2 172" xfId="4324"/>
    <cellStyle name="Normal 2 173" xfId="4325"/>
    <cellStyle name="Normal 2 174" xfId="4326"/>
    <cellStyle name="Normal 2 175" xfId="4327"/>
    <cellStyle name="Normal 2 176" xfId="4328"/>
    <cellStyle name="Normal 2 177" xfId="4329"/>
    <cellStyle name="Normal 2 178" xfId="4330"/>
    <cellStyle name="Normal 2 179" xfId="4331"/>
    <cellStyle name="Normal 2 18" xfId="4332"/>
    <cellStyle name="Normal 2 180" xfId="4333"/>
    <cellStyle name="Normal 2 181" xfId="4334"/>
    <cellStyle name="Normal 2 182" xfId="4335"/>
    <cellStyle name="Normal 2 183" xfId="4336"/>
    <cellStyle name="Normal 2 184" xfId="4337"/>
    <cellStyle name="Normal 2 185" xfId="4338"/>
    <cellStyle name="Normal 2 186" xfId="4339"/>
    <cellStyle name="Normal 2 187" xfId="4340"/>
    <cellStyle name="Normal 2 188" xfId="4341"/>
    <cellStyle name="Normal 2 189" xfId="4342"/>
    <cellStyle name="Normal 2 19" xfId="4343"/>
    <cellStyle name="Normal 2 190" xfId="4344"/>
    <cellStyle name="Normal 2 191" xfId="4345"/>
    <cellStyle name="Normal 2 192" xfId="4346"/>
    <cellStyle name="Normal 2 193" xfId="4347"/>
    <cellStyle name="Normal 2 194" xfId="4348"/>
    <cellStyle name="Normal 2 195" xfId="4349"/>
    <cellStyle name="Normal 2 196" xfId="4350"/>
    <cellStyle name="Normal 2 197" xfId="4351"/>
    <cellStyle name="Normal 2 198" xfId="4352"/>
    <cellStyle name="Normal 2 199" xfId="4353"/>
    <cellStyle name="Normal 2 2" xfId="119"/>
    <cellStyle name="Normal 2 2 10" xfId="4354"/>
    <cellStyle name="Normal 2 2 11" xfId="4355"/>
    <cellStyle name="Normal 2 2 12" xfId="4356"/>
    <cellStyle name="Normal 2 2 13" xfId="4357"/>
    <cellStyle name="Normal 2 2 14" xfId="4358"/>
    <cellStyle name="Normal 2 2 15" xfId="4359"/>
    <cellStyle name="Normal 2 2 16" xfId="4360"/>
    <cellStyle name="Normal 2 2 17" xfId="4361"/>
    <cellStyle name="Normal 2 2 18" xfId="4362"/>
    <cellStyle name="Normal 2 2 19" xfId="4363"/>
    <cellStyle name="Normal 2 2 2" xfId="4364"/>
    <cellStyle name="Normal 2 2 2 10" xfId="4365"/>
    <cellStyle name="Normal 2 2 2 11" xfId="4366"/>
    <cellStyle name="Normal 2 2 2 12" xfId="4367"/>
    <cellStyle name="Normal 2 2 2 13" xfId="4368"/>
    <cellStyle name="Normal 2 2 2 14" xfId="4369"/>
    <cellStyle name="Normal 2 2 2 15" xfId="4370"/>
    <cellStyle name="Normal 2 2 2 16" xfId="4371"/>
    <cellStyle name="Normal 2 2 2 17" xfId="4372"/>
    <cellStyle name="Normal 2 2 2 18" xfId="4373"/>
    <cellStyle name="Normal 2 2 2 19" xfId="4374"/>
    <cellStyle name="Normal 2 2 2 2" xfId="4375"/>
    <cellStyle name="Normal 2 2 2 2 10" xfId="4376"/>
    <cellStyle name="Normal 2 2 2 2 11" xfId="4377"/>
    <cellStyle name="Normal 2 2 2 2 12" xfId="4378"/>
    <cellStyle name="Normal 2 2 2 2 13" xfId="4379"/>
    <cellStyle name="Normal 2 2 2 2 14" xfId="4380"/>
    <cellStyle name="Normal 2 2 2 2 15" xfId="4381"/>
    <cellStyle name="Normal 2 2 2 2 16" xfId="4382"/>
    <cellStyle name="Normal 2 2 2 2 17" xfId="4383"/>
    <cellStyle name="Normal 2 2 2 2 18" xfId="4384"/>
    <cellStyle name="Normal 2 2 2 2 19" xfId="4385"/>
    <cellStyle name="Normal 2 2 2 2 2" xfId="4386"/>
    <cellStyle name="Normal 2 2 2 2 2 2" xfId="4387"/>
    <cellStyle name="Normal 2 2 2 2 20" xfId="4388"/>
    <cellStyle name="Normal 2 2 2 2 21" xfId="4389"/>
    <cellStyle name="Normal 2 2 2 2 22" xfId="4390"/>
    <cellStyle name="Normal 2 2 2 2 23" xfId="4391"/>
    <cellStyle name="Normal 2 2 2 2 24" xfId="4392"/>
    <cellStyle name="Normal 2 2 2 2 25" xfId="4393"/>
    <cellStyle name="Normal 2 2 2 2 26" xfId="4394"/>
    <cellStyle name="Normal 2 2 2 2 27" xfId="4395"/>
    <cellStyle name="Normal 2 2 2 2 28" xfId="4396"/>
    <cellStyle name="Normal 2 2 2 2 29" xfId="4397"/>
    <cellStyle name="Normal 2 2 2 2 3" xfId="4398"/>
    <cellStyle name="Normal 2 2 2 2 30" xfId="4399"/>
    <cellStyle name="Normal 2 2 2 2 31" xfId="4400"/>
    <cellStyle name="Normal 2 2 2 2 4" xfId="4401"/>
    <cellStyle name="Normal 2 2 2 2 5" xfId="4402"/>
    <cellStyle name="Normal 2 2 2 2 6" xfId="4403"/>
    <cellStyle name="Normal 2 2 2 2 7" xfId="4404"/>
    <cellStyle name="Normal 2 2 2 2 8" xfId="4405"/>
    <cellStyle name="Normal 2 2 2 2 9" xfId="4406"/>
    <cellStyle name="Normal 2 2 2 20" xfId="4407"/>
    <cellStyle name="Normal 2 2 2 21" xfId="4408"/>
    <cellStyle name="Normal 2 2 2 22" xfId="4409"/>
    <cellStyle name="Normal 2 2 2 23" xfId="4410"/>
    <cellStyle name="Normal 2 2 2 24" xfId="4411"/>
    <cellStyle name="Normal 2 2 2 25" xfId="4412"/>
    <cellStyle name="Normal 2 2 2 26" xfId="4413"/>
    <cellStyle name="Normal 2 2 2 27" xfId="4414"/>
    <cellStyle name="Normal 2 2 2 28" xfId="4415"/>
    <cellStyle name="Normal 2 2 2 29" xfId="4416"/>
    <cellStyle name="Normal 2 2 2 3" xfId="4417"/>
    <cellStyle name="Normal 2 2 2 30" xfId="4418"/>
    <cellStyle name="Normal 2 2 2 31" xfId="4419"/>
    <cellStyle name="Normal 2 2 2 32" xfId="4420"/>
    <cellStyle name="Normal 2 2 2 33" xfId="4421"/>
    <cellStyle name="Normal 2 2 2 34" xfId="4422"/>
    <cellStyle name="Normal 2 2 2 4" xfId="4423"/>
    <cellStyle name="Normal 2 2 2 5" xfId="4424"/>
    <cellStyle name="Normal 2 2 2 5 2" xfId="4425"/>
    <cellStyle name="Normal 2 2 2 6" xfId="4426"/>
    <cellStyle name="Normal 2 2 2 7" xfId="4427"/>
    <cellStyle name="Normal 2 2 2 8" xfId="4428"/>
    <cellStyle name="Normal 2 2 2 9" xfId="4429"/>
    <cellStyle name="Normal 2 2 20" xfId="4430"/>
    <cellStyle name="Normal 2 2 21" xfId="4431"/>
    <cellStyle name="Normal 2 2 22" xfId="4432"/>
    <cellStyle name="Normal 2 2 23" xfId="4433"/>
    <cellStyle name="Normal 2 2 24" xfId="4434"/>
    <cellStyle name="Normal 2 2 25" xfId="4435"/>
    <cellStyle name="Normal 2 2 26" xfId="4436"/>
    <cellStyle name="Normal 2 2 27" xfId="4437"/>
    <cellStyle name="Normal 2 2 28" xfId="4438"/>
    <cellStyle name="Normal 2 2 29" xfId="4439"/>
    <cellStyle name="Normal 2 2 3" xfId="4440"/>
    <cellStyle name="Normal 2 2 30" xfId="4441"/>
    <cellStyle name="Normal 2 2 31" xfId="4442"/>
    <cellStyle name="Normal 2 2 32" xfId="4443"/>
    <cellStyle name="Normal 2 2 32 2" xfId="4444"/>
    <cellStyle name="Normal 2 2 33" xfId="4445"/>
    <cellStyle name="Normal 2 2 34" xfId="4446"/>
    <cellStyle name="Normal 2 2 35" xfId="4447"/>
    <cellStyle name="Normal 2 2 36" xfId="4448"/>
    <cellStyle name="Normal 2 2 4" xfId="4449"/>
    <cellStyle name="Normal 2 2 5" xfId="4450"/>
    <cellStyle name="Normal 2 2 6" xfId="4451"/>
    <cellStyle name="Normal 2 2 6 2" xfId="4452"/>
    <cellStyle name="Normal 2 2 7" xfId="4453"/>
    <cellStyle name="Normal 2 2 8" xfId="4454"/>
    <cellStyle name="Normal 2 2 9" xfId="4455"/>
    <cellStyle name="Normal 2 20" xfId="4456"/>
    <cellStyle name="Normal 2 200" xfId="4457"/>
    <cellStyle name="Normal 2 201" xfId="4458"/>
    <cellStyle name="Normal 2 202" xfId="4459"/>
    <cellStyle name="Normal 2 203" xfId="4460"/>
    <cellStyle name="Normal 2 204" xfId="4461"/>
    <cellStyle name="Normal 2 205" xfId="4462"/>
    <cellStyle name="Normal 2 206" xfId="4463"/>
    <cellStyle name="Normal 2 207" xfId="4464"/>
    <cellStyle name="Normal 2 208" xfId="4465"/>
    <cellStyle name="Normal 2 209" xfId="4466"/>
    <cellStyle name="Normal 2 21" xfId="4467"/>
    <cellStyle name="Normal 2 210" xfId="4468"/>
    <cellStyle name="Normal 2 211" xfId="4469"/>
    <cellStyle name="Normal 2 212" xfId="4470"/>
    <cellStyle name="Normal 2 213" xfId="4471"/>
    <cellStyle name="Normal 2 214" xfId="4472"/>
    <cellStyle name="Normal 2 215" xfId="4473"/>
    <cellStyle name="Normal 2 216" xfId="4474"/>
    <cellStyle name="Normal 2 217" xfId="4475"/>
    <cellStyle name="Normal 2 218" xfId="4476"/>
    <cellStyle name="Normal 2 219" xfId="4477"/>
    <cellStyle name="Normal 2 22" xfId="4478"/>
    <cellStyle name="Normal 2 220" xfId="4479"/>
    <cellStyle name="Normal 2 221" xfId="4480"/>
    <cellStyle name="Normal 2 222" xfId="4481"/>
    <cellStyle name="Normal 2 223" xfId="4482"/>
    <cellStyle name="Normal 2 223 2" xfId="4483"/>
    <cellStyle name="Normal 2 223 3" xfId="4484"/>
    <cellStyle name="Normal 2 223 4" xfId="4485"/>
    <cellStyle name="Normal 2 224" xfId="4486"/>
    <cellStyle name="Normal 2 225" xfId="4487"/>
    <cellStyle name="Normal 2 226" xfId="4488"/>
    <cellStyle name="Normal 2 227" xfId="4489"/>
    <cellStyle name="Normal 2 228" xfId="4490"/>
    <cellStyle name="Normal 2 229" xfId="4491"/>
    <cellStyle name="Normal 2 23" xfId="4492"/>
    <cellStyle name="Normal 2 230" xfId="4493"/>
    <cellStyle name="Normal 2 231" xfId="4494"/>
    <cellStyle name="Normal 2 232" xfId="4495"/>
    <cellStyle name="Normal 2 233" xfId="4496"/>
    <cellStyle name="Normal 2 234" xfId="4497"/>
    <cellStyle name="Normal 2 235" xfId="4498"/>
    <cellStyle name="Normal 2 236" xfId="4499"/>
    <cellStyle name="Normal 2 237" xfId="4500"/>
    <cellStyle name="Normal 2 238" xfId="4501"/>
    <cellStyle name="Normal 2 239" xfId="4502"/>
    <cellStyle name="Normal 2 24" xfId="4503"/>
    <cellStyle name="Normal 2 240" xfId="4504"/>
    <cellStyle name="Normal 2 241" xfId="4505"/>
    <cellStyle name="Normal 2 242" xfId="4506"/>
    <cellStyle name="Normal 2 243" xfId="4507"/>
    <cellStyle name="Normal 2 244" xfId="4508"/>
    <cellStyle name="Normal 2 245" xfId="4509"/>
    <cellStyle name="Normal 2 246" xfId="4510"/>
    <cellStyle name="Normal 2 247" xfId="4511"/>
    <cellStyle name="Normal 2 248" xfId="4512"/>
    <cellStyle name="Normal 2 249" xfId="4513"/>
    <cellStyle name="Normal 2 25" xfId="4514"/>
    <cellStyle name="Normal 2 250" xfId="4515"/>
    <cellStyle name="Normal 2 251" xfId="4516"/>
    <cellStyle name="Normal 2 252" xfId="4517"/>
    <cellStyle name="Normal 2 253" xfId="4518"/>
    <cellStyle name="Normal 2 254" xfId="4519"/>
    <cellStyle name="Normal 2 255" xfId="4520"/>
    <cellStyle name="Normal 2 256" xfId="4521"/>
    <cellStyle name="Normal 2 26" xfId="4522"/>
    <cellStyle name="Normal 2 27" xfId="4523"/>
    <cellStyle name="Normal 2 28" xfId="4524"/>
    <cellStyle name="Normal 2 29" xfId="4525"/>
    <cellStyle name="Normal 2 3" xfId="120"/>
    <cellStyle name="Normal 2 3 2" xfId="4526"/>
    <cellStyle name="Normal 2 3 2 2" xfId="4527"/>
    <cellStyle name="Normal 2 3 2 2 2" xfId="4528"/>
    <cellStyle name="Normal 2 3 2 2 3" xfId="4529"/>
    <cellStyle name="Normal 2 3 2 3" xfId="4530"/>
    <cellStyle name="Normal 2 3 2 4" xfId="4531"/>
    <cellStyle name="Normal 2 3 3" xfId="4532"/>
    <cellStyle name="Normal 2 3 3 2" xfId="4533"/>
    <cellStyle name="Normal 2 3 3 3" xfId="4534"/>
    <cellStyle name="Normal 2 3 4" xfId="4535"/>
    <cellStyle name="Normal 2 3 5" xfId="4536"/>
    <cellStyle name="Normal 2 3 6" xfId="4537"/>
    <cellStyle name="Normal 2 3 7" xfId="4538"/>
    <cellStyle name="Normal 2 30" xfId="4539"/>
    <cellStyle name="Normal 2 31" xfId="4540"/>
    <cellStyle name="Normal 2 32" xfId="4541"/>
    <cellStyle name="Normal 2 33" xfId="4542"/>
    <cellStyle name="Normal 2 34" xfId="4543"/>
    <cellStyle name="Normal 2 35" xfId="4544"/>
    <cellStyle name="Normal 2 36" xfId="4545"/>
    <cellStyle name="Normal 2 37" xfId="4546"/>
    <cellStyle name="Normal 2 38" xfId="4547"/>
    <cellStyle name="Normal 2 39" xfId="4548"/>
    <cellStyle name="Normal 2 4" xfId="184"/>
    <cellStyle name="Normal 2 40" xfId="4549"/>
    <cellStyle name="Normal 2 41" xfId="4550"/>
    <cellStyle name="Normal 2 42" xfId="4551"/>
    <cellStyle name="Normal 2 43" xfId="4552"/>
    <cellStyle name="Normal 2 44" xfId="4553"/>
    <cellStyle name="Normal 2 45" xfId="4554"/>
    <cellStyle name="Normal 2 46" xfId="4555"/>
    <cellStyle name="Normal 2 47" xfId="4556"/>
    <cellStyle name="Normal 2 48" xfId="4557"/>
    <cellStyle name="Normal 2 49" xfId="4558"/>
    <cellStyle name="Normal 2 5" xfId="4559"/>
    <cellStyle name="Normal 2 50" xfId="4560"/>
    <cellStyle name="Normal 2 51" xfId="4561"/>
    <cellStyle name="Normal 2 52" xfId="4562"/>
    <cellStyle name="Normal 2 53" xfId="4563"/>
    <cellStyle name="Normal 2 54" xfId="4564"/>
    <cellStyle name="Normal 2 55" xfId="4565"/>
    <cellStyle name="Normal 2 56" xfId="4566"/>
    <cellStyle name="Normal 2 57" xfId="4567"/>
    <cellStyle name="Normal 2 58" xfId="4568"/>
    <cellStyle name="Normal 2 59" xfId="4569"/>
    <cellStyle name="Normal 2 6" xfId="4570"/>
    <cellStyle name="Normal 2 60" xfId="4571"/>
    <cellStyle name="Normal 2 61" xfId="4572"/>
    <cellStyle name="Normal 2 62" xfId="4573"/>
    <cellStyle name="Normal 2 63" xfId="4574"/>
    <cellStyle name="Normal 2 64" xfId="4575"/>
    <cellStyle name="Normal 2 65" xfId="4576"/>
    <cellStyle name="Normal 2 66" xfId="4577"/>
    <cellStyle name="Normal 2 67" xfId="4578"/>
    <cellStyle name="Normal 2 68" xfId="4579"/>
    <cellStyle name="Normal 2 69" xfId="4580"/>
    <cellStyle name="Normal 2 7" xfId="4581"/>
    <cellStyle name="Normal 2 70" xfId="4582"/>
    <cellStyle name="Normal 2 71" xfId="4583"/>
    <cellStyle name="Normal 2 72" xfId="4584"/>
    <cellStyle name="Normal 2 73" xfId="4585"/>
    <cellStyle name="Normal 2 74" xfId="4586"/>
    <cellStyle name="Normal 2 75" xfId="4587"/>
    <cellStyle name="Normal 2 76" xfId="4588"/>
    <cellStyle name="Normal 2 77" xfId="4589"/>
    <cellStyle name="Normal 2 78" xfId="4590"/>
    <cellStyle name="Normal 2 79" xfId="4591"/>
    <cellStyle name="Normal 2 8" xfId="4592"/>
    <cellStyle name="Normal 2 80" xfId="4593"/>
    <cellStyle name="Normal 2 81" xfId="4594"/>
    <cellStyle name="Normal 2 82" xfId="4595"/>
    <cellStyle name="Normal 2 83" xfId="4596"/>
    <cellStyle name="Normal 2 84" xfId="4597"/>
    <cellStyle name="Normal 2 85" xfId="4598"/>
    <cellStyle name="Normal 2 86" xfId="4599"/>
    <cellStyle name="Normal 2 87" xfId="4600"/>
    <cellStyle name="Normal 2 88" xfId="4601"/>
    <cellStyle name="Normal 2 89" xfId="4602"/>
    <cellStyle name="Normal 2 9" xfId="4603"/>
    <cellStyle name="Normal 2 90" xfId="4604"/>
    <cellStyle name="Normal 2 91" xfId="4605"/>
    <cellStyle name="Normal 2 92" xfId="4606"/>
    <cellStyle name="Normal 2 93" xfId="4607"/>
    <cellStyle name="Normal 2 94" xfId="4608"/>
    <cellStyle name="Normal 2 95" xfId="4609"/>
    <cellStyle name="Normal 2 96" xfId="4610"/>
    <cellStyle name="Normal 2 97" xfId="4611"/>
    <cellStyle name="Normal 2 98" xfId="4612"/>
    <cellStyle name="Normal 2 99" xfId="4613"/>
    <cellStyle name="Normal 20" xfId="4614"/>
    <cellStyle name="Normal 20 2" xfId="4615"/>
    <cellStyle name="Normal 200" xfId="4616"/>
    <cellStyle name="Normal 200 2" xfId="4617"/>
    <cellStyle name="Normal 200 2 2" xfId="4618"/>
    <cellStyle name="Normal 200 2 3" xfId="4619"/>
    <cellStyle name="Normal 200 3" xfId="4620"/>
    <cellStyle name="Normal 200 4" xfId="4621"/>
    <cellStyle name="Normal 201" xfId="4622"/>
    <cellStyle name="Normal 201 2" xfId="4623"/>
    <cellStyle name="Normal 201 2 2" xfId="4624"/>
    <cellStyle name="Normal 201 2 3" xfId="4625"/>
    <cellStyle name="Normal 201 3" xfId="4626"/>
    <cellStyle name="Normal 201 4" xfId="4627"/>
    <cellStyle name="Normal 202" xfId="4628"/>
    <cellStyle name="Normal 202 2" xfId="4629"/>
    <cellStyle name="Normal 202 2 2" xfId="4630"/>
    <cellStyle name="Normal 202 2 3" xfId="4631"/>
    <cellStyle name="Normal 202 3" xfId="4632"/>
    <cellStyle name="Normal 202 4" xfId="4633"/>
    <cellStyle name="Normal 203" xfId="4634"/>
    <cellStyle name="Normal 203 2" xfId="4635"/>
    <cellStyle name="Normal 203 2 2" xfId="4636"/>
    <cellStyle name="Normal 203 2 3" xfId="4637"/>
    <cellStyle name="Normal 203 3" xfId="4638"/>
    <cellStyle name="Normal 203 4" xfId="4639"/>
    <cellStyle name="Normal 204" xfId="4640"/>
    <cellStyle name="Normal 204 2" xfId="4641"/>
    <cellStyle name="Normal 204 2 2" xfId="4642"/>
    <cellStyle name="Normal 204 2 3" xfId="4643"/>
    <cellStyle name="Normal 204 3" xfId="4644"/>
    <cellStyle name="Normal 204 4" xfId="4645"/>
    <cellStyle name="Normal 205" xfId="4646"/>
    <cellStyle name="Normal 205 2" xfId="4647"/>
    <cellStyle name="Normal 205 2 2" xfId="4648"/>
    <cellStyle name="Normal 205 2 3" xfId="4649"/>
    <cellStyle name="Normal 205 3" xfId="4650"/>
    <cellStyle name="Normal 205 4" xfId="4651"/>
    <cellStyle name="Normal 206" xfId="4652"/>
    <cellStyle name="Normal 206 2" xfId="4653"/>
    <cellStyle name="Normal 206 2 2" xfId="4654"/>
    <cellStyle name="Normal 206 2 3" xfId="4655"/>
    <cellStyle name="Normal 206 3" xfId="4656"/>
    <cellStyle name="Normal 206 4" xfId="4657"/>
    <cellStyle name="Normal 207" xfId="4658"/>
    <cellStyle name="Normal 207 2" xfId="4659"/>
    <cellStyle name="Normal 207 2 2" xfId="4660"/>
    <cellStyle name="Normal 207 2 3" xfId="4661"/>
    <cellStyle name="Normal 207 3" xfId="4662"/>
    <cellStyle name="Normal 207 4" xfId="4663"/>
    <cellStyle name="Normal 208" xfId="4664"/>
    <cellStyle name="Normal 208 2" xfId="4665"/>
    <cellStyle name="Normal 208 2 2" xfId="4666"/>
    <cellStyle name="Normal 208 2 3" xfId="4667"/>
    <cellStyle name="Normal 208 3" xfId="4668"/>
    <cellStyle name="Normal 208 4" xfId="4669"/>
    <cellStyle name="Normal 209" xfId="4670"/>
    <cellStyle name="Normal 209 2" xfId="4671"/>
    <cellStyle name="Normal 209 2 2" xfId="4672"/>
    <cellStyle name="Normal 209 2 3" xfId="4673"/>
    <cellStyle name="Normal 209 3" xfId="4674"/>
    <cellStyle name="Normal 209 4" xfId="4675"/>
    <cellStyle name="Normal 21" xfId="4676"/>
    <cellStyle name="Normal 21 2" xfId="4677"/>
    <cellStyle name="Normal 210" xfId="4678"/>
    <cellStyle name="Normal 210 2" xfId="4679"/>
    <cellStyle name="Normal 210 2 2" xfId="4680"/>
    <cellStyle name="Normal 210 2 3" xfId="4681"/>
    <cellStyle name="Normal 210 3" xfId="4682"/>
    <cellStyle name="Normal 210 4" xfId="4683"/>
    <cellStyle name="Normal 211" xfId="4684"/>
    <cellStyle name="Normal 212" xfId="4685"/>
    <cellStyle name="Normal 213" xfId="4686"/>
    <cellStyle name="Normal 213 2" xfId="4687"/>
    <cellStyle name="Normal 213 2 2" xfId="4688"/>
    <cellStyle name="Normal 213 2 3" xfId="4689"/>
    <cellStyle name="Normal 213 3" xfId="4690"/>
    <cellStyle name="Normal 213 4" xfId="4691"/>
    <cellStyle name="Normal 214" xfId="4692"/>
    <cellStyle name="Normal 214 2" xfId="4693"/>
    <cellStyle name="Normal 214 2 2" xfId="4694"/>
    <cellStyle name="Normal 214 2 3" xfId="4695"/>
    <cellStyle name="Normal 214 3" xfId="4696"/>
    <cellStyle name="Normal 214 4" xfId="4697"/>
    <cellStyle name="Normal 215" xfId="4698"/>
    <cellStyle name="Normal 215 2" xfId="4699"/>
    <cellStyle name="Normal 215 2 2" xfId="4700"/>
    <cellStyle name="Normal 215 2 3" xfId="4701"/>
    <cellStyle name="Normal 215 3" xfId="4702"/>
    <cellStyle name="Normal 215 4" xfId="4703"/>
    <cellStyle name="Normal 216" xfId="4704"/>
    <cellStyle name="Normal 216 2" xfId="4705"/>
    <cellStyle name="Normal 216 2 2" xfId="4706"/>
    <cellStyle name="Normal 216 2 3" xfId="4707"/>
    <cellStyle name="Normal 216 3" xfId="4708"/>
    <cellStyle name="Normal 216 4" xfId="4709"/>
    <cellStyle name="Normal 217" xfId="4710"/>
    <cellStyle name="Normal 217 2" xfId="4711"/>
    <cellStyle name="Normal 217 2 2" xfId="4712"/>
    <cellStyle name="Normal 217 2 3" xfId="4713"/>
    <cellStyle name="Normal 217 3" xfId="4714"/>
    <cellStyle name="Normal 217 4" xfId="4715"/>
    <cellStyle name="Normal 219" xfId="4716"/>
    <cellStyle name="Normal 219 2" xfId="4717"/>
    <cellStyle name="Normal 219 2 2" xfId="4718"/>
    <cellStyle name="Normal 219 2 3" xfId="4719"/>
    <cellStyle name="Normal 219 3" xfId="4720"/>
    <cellStyle name="Normal 219 4" xfId="4721"/>
    <cellStyle name="Normal 22" xfId="4722"/>
    <cellStyle name="Normal 22 2" xfId="4723"/>
    <cellStyle name="Normal 22 4" xfId="4724"/>
    <cellStyle name="Normal 220" xfId="4725"/>
    <cellStyle name="Normal 220 2" xfId="4726"/>
    <cellStyle name="Normal 220 2 2" xfId="4727"/>
    <cellStyle name="Normal 220 2 3" xfId="4728"/>
    <cellStyle name="Normal 220 3" xfId="4729"/>
    <cellStyle name="Normal 220 4" xfId="4730"/>
    <cellStyle name="Normal 221" xfId="4731"/>
    <cellStyle name="Normal 221 2" xfId="4732"/>
    <cellStyle name="Normal 221 2 2" xfId="4733"/>
    <cellStyle name="Normal 221 2 3" xfId="4734"/>
    <cellStyle name="Normal 221 3" xfId="4735"/>
    <cellStyle name="Normal 221 4" xfId="4736"/>
    <cellStyle name="Normal 222" xfId="4737"/>
    <cellStyle name="Normal 222 2" xfId="4738"/>
    <cellStyle name="Normal 222 2 2" xfId="4739"/>
    <cellStyle name="Normal 222 2 3" xfId="4740"/>
    <cellStyle name="Normal 222 3" xfId="4741"/>
    <cellStyle name="Normal 222 4" xfId="4742"/>
    <cellStyle name="Normal 223" xfId="4743"/>
    <cellStyle name="Normal 223 2" xfId="4744"/>
    <cellStyle name="Normal 223 2 2" xfId="4745"/>
    <cellStyle name="Normal 223 2 3" xfId="4746"/>
    <cellStyle name="Normal 223 3" xfId="4747"/>
    <cellStyle name="Normal 223 4" xfId="4748"/>
    <cellStyle name="Normal 224" xfId="4749"/>
    <cellStyle name="Normal 225" xfId="4750"/>
    <cellStyle name="Normal 226" xfId="4751"/>
    <cellStyle name="Normal 226 2" xfId="4752"/>
    <cellStyle name="Normal 226 2 2" xfId="4753"/>
    <cellStyle name="Normal 226 2 3" xfId="4754"/>
    <cellStyle name="Normal 226 3" xfId="4755"/>
    <cellStyle name="Normal 226 4" xfId="4756"/>
    <cellStyle name="Normal 227" xfId="4757"/>
    <cellStyle name="Normal 228" xfId="4758"/>
    <cellStyle name="Normal 228 2" xfId="4759"/>
    <cellStyle name="Normal 228 2 2" xfId="4760"/>
    <cellStyle name="Normal 228 2 3" xfId="4761"/>
    <cellStyle name="Normal 228 3" xfId="4762"/>
    <cellStyle name="Normal 228 4" xfId="4763"/>
    <cellStyle name="Normal 229" xfId="4764"/>
    <cellStyle name="Normal 229 2" xfId="4765"/>
    <cellStyle name="Normal 229 2 2" xfId="4766"/>
    <cellStyle name="Normal 229 2 3" xfId="4767"/>
    <cellStyle name="Normal 229 3" xfId="4768"/>
    <cellStyle name="Normal 229 4" xfId="4769"/>
    <cellStyle name="Normal 23" xfId="4770"/>
    <cellStyle name="Normal 23 2" xfId="4771"/>
    <cellStyle name="Normal 230" xfId="4772"/>
    <cellStyle name="Normal 231" xfId="4773"/>
    <cellStyle name="Normal 232" xfId="4774"/>
    <cellStyle name="Normal 233" xfId="4775"/>
    <cellStyle name="Normal 234" xfId="4776"/>
    <cellStyle name="Normal 235" xfId="4777"/>
    <cellStyle name="Normal 24" xfId="4778"/>
    <cellStyle name="Normal 24 2" xfId="4779"/>
    <cellStyle name="Normal 24 3" xfId="4780"/>
    <cellStyle name="Normal 246" xfId="4781"/>
    <cellStyle name="Normal 246 2" xfId="4782"/>
    <cellStyle name="Normal 246 2 2" xfId="4783"/>
    <cellStyle name="Normal 246 2 3" xfId="4784"/>
    <cellStyle name="Normal 246 3" xfId="4785"/>
    <cellStyle name="Normal 246 4" xfId="4786"/>
    <cellStyle name="Normal 25" xfId="4787"/>
    <cellStyle name="Normal 25 2" xfId="4788"/>
    <cellStyle name="Normal 254" xfId="4789"/>
    <cellStyle name="Normal 254 2" xfId="4790"/>
    <cellStyle name="Normal 254 2 2" xfId="4791"/>
    <cellStyle name="Normal 254 2 3" xfId="4792"/>
    <cellStyle name="Normal 254 3" xfId="4793"/>
    <cellStyle name="Normal 254 4" xfId="4794"/>
    <cellStyle name="Normal 26" xfId="4795"/>
    <cellStyle name="Normal 26 2" xfId="4796"/>
    <cellStyle name="Normal 26 3" xfId="4797"/>
    <cellStyle name="Normal 261" xfId="4798"/>
    <cellStyle name="Normal 261 2" xfId="4799"/>
    <cellStyle name="Normal 261 2 2" xfId="4800"/>
    <cellStyle name="Normal 261 2 3" xfId="4801"/>
    <cellStyle name="Normal 261 3" xfId="4802"/>
    <cellStyle name="Normal 261 4" xfId="4803"/>
    <cellStyle name="Normal 262" xfId="4804"/>
    <cellStyle name="Normal 262 2" xfId="4805"/>
    <cellStyle name="Normal 262 2 2" xfId="4806"/>
    <cellStyle name="Normal 262 2 3" xfId="4807"/>
    <cellStyle name="Normal 262 3" xfId="4808"/>
    <cellStyle name="Normal 262 4" xfId="4809"/>
    <cellStyle name="Normal 263" xfId="4810"/>
    <cellStyle name="Normal 263 2" xfId="4811"/>
    <cellStyle name="Normal 263 2 2" xfId="4812"/>
    <cellStyle name="Normal 263 2 3" xfId="4813"/>
    <cellStyle name="Normal 263 3" xfId="4814"/>
    <cellStyle name="Normal 263 4" xfId="4815"/>
    <cellStyle name="Normal 27" xfId="4816"/>
    <cellStyle name="Normal 27 2" xfId="4817"/>
    <cellStyle name="Normal 270" xfId="4818"/>
    <cellStyle name="Normal 270 2" xfId="4819"/>
    <cellStyle name="Normal 270 2 2" xfId="4820"/>
    <cellStyle name="Normal 270 2 3" xfId="4821"/>
    <cellStyle name="Normal 270 3" xfId="4822"/>
    <cellStyle name="Normal 270 4" xfId="4823"/>
    <cellStyle name="Normal 275" xfId="4824"/>
    <cellStyle name="Normal 275 2" xfId="4825"/>
    <cellStyle name="Normal 275 2 2" xfId="4826"/>
    <cellStyle name="Normal 275 2 3" xfId="4827"/>
    <cellStyle name="Normal 275 3" xfId="4828"/>
    <cellStyle name="Normal 275 4" xfId="4829"/>
    <cellStyle name="Normal 28" xfId="4830"/>
    <cellStyle name="Normal 28 2" xfId="4831"/>
    <cellStyle name="Normal 28 3" xfId="4832"/>
    <cellStyle name="Normal 28 4" xfId="4833"/>
    <cellStyle name="Normal 28 5" xfId="4834"/>
    <cellStyle name="Normal 28 6" xfId="4835"/>
    <cellStyle name="Normal 28 7" xfId="4836"/>
    <cellStyle name="Normal 287" xfId="4837"/>
    <cellStyle name="Normal 287 2" xfId="4838"/>
    <cellStyle name="Normal 287 2 2" xfId="4839"/>
    <cellStyle name="Normal 287 2 3" xfId="4840"/>
    <cellStyle name="Normal 287 3" xfId="4841"/>
    <cellStyle name="Normal 287 4" xfId="4842"/>
    <cellStyle name="Normal 288" xfId="4843"/>
    <cellStyle name="Normal 288 2" xfId="4844"/>
    <cellStyle name="Normal 288 2 2" xfId="4845"/>
    <cellStyle name="Normal 288 2 3" xfId="4846"/>
    <cellStyle name="Normal 288 3" xfId="4847"/>
    <cellStyle name="Normal 288 4" xfId="4848"/>
    <cellStyle name="Normal 289" xfId="4849"/>
    <cellStyle name="Normal 289 2" xfId="4850"/>
    <cellStyle name="Normal 289 2 2" xfId="4851"/>
    <cellStyle name="Normal 289 2 3" xfId="4852"/>
    <cellStyle name="Normal 289 3" xfId="4853"/>
    <cellStyle name="Normal 289 4" xfId="4854"/>
    <cellStyle name="Normal 29" xfId="4855"/>
    <cellStyle name="Normal 29 2" xfId="4856"/>
    <cellStyle name="Normal 29 3" xfId="4857"/>
    <cellStyle name="Normal 29 4" xfId="4858"/>
    <cellStyle name="Normal 29 5" xfId="4859"/>
    <cellStyle name="Normal 29 6" xfId="4860"/>
    <cellStyle name="Normal 29 7" xfId="4861"/>
    <cellStyle name="Normal 290" xfId="4862"/>
    <cellStyle name="Normal 290 2" xfId="4863"/>
    <cellStyle name="Normal 290 2 2" xfId="4864"/>
    <cellStyle name="Normal 290 2 3" xfId="4865"/>
    <cellStyle name="Normal 290 3" xfId="4866"/>
    <cellStyle name="Normal 290 4" xfId="4867"/>
    <cellStyle name="Normal 291" xfId="4868"/>
    <cellStyle name="Normal 291 2" xfId="4869"/>
    <cellStyle name="Normal 291 2 2" xfId="4870"/>
    <cellStyle name="Normal 291 2 3" xfId="4871"/>
    <cellStyle name="Normal 291 3" xfId="4872"/>
    <cellStyle name="Normal 291 4" xfId="4873"/>
    <cellStyle name="Normal 292" xfId="4874"/>
    <cellStyle name="Normal 292 2" xfId="4875"/>
    <cellStyle name="Normal 292 2 2" xfId="4876"/>
    <cellStyle name="Normal 292 2 3" xfId="4877"/>
    <cellStyle name="Normal 292 3" xfId="4878"/>
    <cellStyle name="Normal 292 4" xfId="4879"/>
    <cellStyle name="Normal 293" xfId="4880"/>
    <cellStyle name="Normal 293 2" xfId="4881"/>
    <cellStyle name="Normal 293 2 2" xfId="4882"/>
    <cellStyle name="Normal 293 2 3" xfId="4883"/>
    <cellStyle name="Normal 293 3" xfId="4884"/>
    <cellStyle name="Normal 293 4" xfId="4885"/>
    <cellStyle name="Normal 296" xfId="4886"/>
    <cellStyle name="Normal 296 2" xfId="4887"/>
    <cellStyle name="Normal 296 2 2" xfId="4888"/>
    <cellStyle name="Normal 296 2 3" xfId="4889"/>
    <cellStyle name="Normal 296 3" xfId="4890"/>
    <cellStyle name="Normal 296 4" xfId="4891"/>
    <cellStyle name="Normal 3" xfId="44"/>
    <cellStyle name="Normal 3 10" xfId="4892"/>
    <cellStyle name="Normal 3 100" xfId="4893"/>
    <cellStyle name="Normal 3 101" xfId="4894"/>
    <cellStyle name="Normal 3 102" xfId="4895"/>
    <cellStyle name="Normal 3 103" xfId="4896"/>
    <cellStyle name="Normal 3 104" xfId="4897"/>
    <cellStyle name="Normal 3 105" xfId="4898"/>
    <cellStyle name="Normal 3 106" xfId="4899"/>
    <cellStyle name="Normal 3 107" xfId="4900"/>
    <cellStyle name="Normal 3 108" xfId="4901"/>
    <cellStyle name="Normal 3 109" xfId="4902"/>
    <cellStyle name="Normal 3 11" xfId="4903"/>
    <cellStyle name="Normal 3 110" xfId="4904"/>
    <cellStyle name="Normal 3 111" xfId="4905"/>
    <cellStyle name="Normal 3 112" xfId="4906"/>
    <cellStyle name="Normal 3 113" xfId="4907"/>
    <cellStyle name="Normal 3 114" xfId="4908"/>
    <cellStyle name="Normal 3 115" xfId="4909"/>
    <cellStyle name="Normal 3 116" xfId="4910"/>
    <cellStyle name="Normal 3 117" xfId="4911"/>
    <cellStyle name="Normal 3 118" xfId="4912"/>
    <cellStyle name="Normal 3 119" xfId="4913"/>
    <cellStyle name="Normal 3 12" xfId="4914"/>
    <cellStyle name="Normal 3 120" xfId="4915"/>
    <cellStyle name="Normal 3 121" xfId="4916"/>
    <cellStyle name="Normal 3 122" xfId="4917"/>
    <cellStyle name="Normal 3 123" xfId="4918"/>
    <cellStyle name="Normal 3 124" xfId="4919"/>
    <cellStyle name="Normal 3 125" xfId="4920"/>
    <cellStyle name="Normal 3 126" xfId="4921"/>
    <cellStyle name="Normal 3 127" xfId="4922"/>
    <cellStyle name="Normal 3 128" xfId="4923"/>
    <cellStyle name="Normal 3 129" xfId="4924"/>
    <cellStyle name="Normal 3 13" xfId="4925"/>
    <cellStyle name="Normal 3 130" xfId="4926"/>
    <cellStyle name="Normal 3 131" xfId="4927"/>
    <cellStyle name="Normal 3 132" xfId="4928"/>
    <cellStyle name="Normal 3 133" xfId="4929"/>
    <cellStyle name="Normal 3 134" xfId="4930"/>
    <cellStyle name="Normal 3 135" xfId="4931"/>
    <cellStyle name="Normal 3 136" xfId="4932"/>
    <cellStyle name="Normal 3 137" xfId="4933"/>
    <cellStyle name="Normal 3 138" xfId="4934"/>
    <cellStyle name="Normal 3 139" xfId="4935"/>
    <cellStyle name="Normal 3 14" xfId="4936"/>
    <cellStyle name="Normal 3 140" xfId="4937"/>
    <cellStyle name="Normal 3 141" xfId="4938"/>
    <cellStyle name="Normal 3 142" xfId="4939"/>
    <cellStyle name="Normal 3 143" xfId="4940"/>
    <cellStyle name="Normal 3 144" xfId="4941"/>
    <cellStyle name="Normal 3 145" xfId="4942"/>
    <cellStyle name="Normal 3 146" xfId="4943"/>
    <cellStyle name="Normal 3 147" xfId="4944"/>
    <cellStyle name="Normal 3 148" xfId="4945"/>
    <cellStyle name="Normal 3 149" xfId="4946"/>
    <cellStyle name="Normal 3 15" xfId="4947"/>
    <cellStyle name="Normal 3 150" xfId="4948"/>
    <cellStyle name="Normal 3 151" xfId="4949"/>
    <cellStyle name="Normal 3 152" xfId="4950"/>
    <cellStyle name="Normal 3 153" xfId="4951"/>
    <cellStyle name="Normal 3 154" xfId="4952"/>
    <cellStyle name="Normal 3 155" xfId="4953"/>
    <cellStyle name="Normal 3 156" xfId="4954"/>
    <cellStyle name="Normal 3 157" xfId="4955"/>
    <cellStyle name="Normal 3 158" xfId="4956"/>
    <cellStyle name="Normal 3 159" xfId="4957"/>
    <cellStyle name="Normal 3 16" xfId="4958"/>
    <cellStyle name="Normal 3 160" xfId="4959"/>
    <cellStyle name="Normal 3 161" xfId="4960"/>
    <cellStyle name="Normal 3 162" xfId="4961"/>
    <cellStyle name="Normal 3 163" xfId="4962"/>
    <cellStyle name="Normal 3 164" xfId="4963"/>
    <cellStyle name="Normal 3 165" xfId="4964"/>
    <cellStyle name="Normal 3 166" xfId="4965"/>
    <cellStyle name="Normal 3 167" xfId="4966"/>
    <cellStyle name="Normal 3 168" xfId="4967"/>
    <cellStyle name="Normal 3 169" xfId="4968"/>
    <cellStyle name="Normal 3 17" xfId="4969"/>
    <cellStyle name="Normal 3 170" xfId="4970"/>
    <cellStyle name="Normal 3 171" xfId="4971"/>
    <cellStyle name="Normal 3 172" xfId="4972"/>
    <cellStyle name="Normal 3 173" xfId="4973"/>
    <cellStyle name="Normal 3 174" xfId="4974"/>
    <cellStyle name="Normal 3 175" xfId="4975"/>
    <cellStyle name="Normal 3 176" xfId="4976"/>
    <cellStyle name="Normal 3 177" xfId="4977"/>
    <cellStyle name="Normal 3 178" xfId="4978"/>
    <cellStyle name="Normal 3 179" xfId="4979"/>
    <cellStyle name="Normal 3 18" xfId="4980"/>
    <cellStyle name="Normal 3 180" xfId="4981"/>
    <cellStyle name="Normal 3 181" xfId="4982"/>
    <cellStyle name="Normal 3 182" xfId="4983"/>
    <cellStyle name="Normal 3 183" xfId="4984"/>
    <cellStyle name="Normal 3 184" xfId="4985"/>
    <cellStyle name="Normal 3 185" xfId="4986"/>
    <cellStyle name="Normal 3 186" xfId="4987"/>
    <cellStyle name="Normal 3 187" xfId="4988"/>
    <cellStyle name="Normal 3 188" xfId="4989"/>
    <cellStyle name="Normal 3 189" xfId="4990"/>
    <cellStyle name="Normal 3 19" xfId="4991"/>
    <cellStyle name="Normal 3 19 2" xfId="4992"/>
    <cellStyle name="Normal 3 190" xfId="4993"/>
    <cellStyle name="Normal 3 191" xfId="4994"/>
    <cellStyle name="Normal 3 192" xfId="4995"/>
    <cellStyle name="Normal 3 193" xfId="4996"/>
    <cellStyle name="Normal 3 194" xfId="4997"/>
    <cellStyle name="Normal 3 195" xfId="4998"/>
    <cellStyle name="Normal 3 196" xfId="4999"/>
    <cellStyle name="Normal 3 197" xfId="5000"/>
    <cellStyle name="Normal 3 198" xfId="5001"/>
    <cellStyle name="Normal 3 199" xfId="5002"/>
    <cellStyle name="Normal 3 2" xfId="121"/>
    <cellStyle name="Normal 3 2 2" xfId="5003"/>
    <cellStyle name="Normal 3 2 3" xfId="5004"/>
    <cellStyle name="Normal 3 2 4" xfId="5005"/>
    <cellStyle name="Normal 3 20" xfId="5006"/>
    <cellStyle name="Normal 3 200" xfId="5007"/>
    <cellStyle name="Normal 3 201" xfId="5008"/>
    <cellStyle name="Normal 3 202" xfId="5009"/>
    <cellStyle name="Normal 3 203" xfId="5010"/>
    <cellStyle name="Normal 3 204" xfId="5011"/>
    <cellStyle name="Normal 3 205" xfId="5012"/>
    <cellStyle name="Normal 3 206" xfId="5013"/>
    <cellStyle name="Normal 3 207" xfId="5014"/>
    <cellStyle name="Normal 3 208" xfId="5015"/>
    <cellStyle name="Normal 3 209" xfId="5016"/>
    <cellStyle name="Normal 3 21" xfId="5017"/>
    <cellStyle name="Normal 3 210" xfId="5018"/>
    <cellStyle name="Normal 3 211" xfId="5019"/>
    <cellStyle name="Normal 3 22" xfId="5020"/>
    <cellStyle name="Normal 3 23" xfId="5021"/>
    <cellStyle name="Normal 3 24" xfId="5022"/>
    <cellStyle name="Normal 3 25" xfId="5023"/>
    <cellStyle name="Normal 3 26" xfId="5024"/>
    <cellStyle name="Normal 3 27" xfId="5025"/>
    <cellStyle name="Normal 3 28" xfId="5026"/>
    <cellStyle name="Normal 3 29" xfId="5027"/>
    <cellStyle name="Normal 3 3" xfId="131"/>
    <cellStyle name="Normal 3 3 2" xfId="5028"/>
    <cellStyle name="Normal 3 3 2 2" xfId="5029"/>
    <cellStyle name="Normal 3 3 2 3" xfId="5030"/>
    <cellStyle name="Normal 3 3 3" xfId="5031"/>
    <cellStyle name="Normal 3 3 4" xfId="5032"/>
    <cellStyle name="Normal 3 3 5" xfId="5033"/>
    <cellStyle name="Normal 3 3 6" xfId="5034"/>
    <cellStyle name="Normal 3 30" xfId="5035"/>
    <cellStyle name="Normal 3 31" xfId="5036"/>
    <cellStyle name="Normal 3 32" xfId="5037"/>
    <cellStyle name="Normal 3 33" xfId="5038"/>
    <cellStyle name="Normal 3 34" xfId="5039"/>
    <cellStyle name="Normal 3 35" xfId="5040"/>
    <cellStyle name="Normal 3 36" xfId="5041"/>
    <cellStyle name="Normal 3 37" xfId="5042"/>
    <cellStyle name="Normal 3 38" xfId="5043"/>
    <cellStyle name="Normal 3 39" xfId="5044"/>
    <cellStyle name="Normal 3 4" xfId="5045"/>
    <cellStyle name="Normal 3 40" xfId="5046"/>
    <cellStyle name="Normal 3 41" xfId="5047"/>
    <cellStyle name="Normal 3 42" xfId="5048"/>
    <cellStyle name="Normal 3 43" xfId="5049"/>
    <cellStyle name="Normal 3 44" xfId="5050"/>
    <cellStyle name="Normal 3 45" xfId="5051"/>
    <cellStyle name="Normal 3 46" xfId="5052"/>
    <cellStyle name="Normal 3 47" xfId="5053"/>
    <cellStyle name="Normal 3 48" xfId="5054"/>
    <cellStyle name="Normal 3 49" xfId="5055"/>
    <cellStyle name="Normal 3 5" xfId="5056"/>
    <cellStyle name="Normal 3 50" xfId="5057"/>
    <cellStyle name="Normal 3 51" xfId="5058"/>
    <cellStyle name="Normal 3 52" xfId="5059"/>
    <cellStyle name="Normal 3 53" xfId="5060"/>
    <cellStyle name="Normal 3 54" xfId="5061"/>
    <cellStyle name="Normal 3 55" xfId="5062"/>
    <cellStyle name="Normal 3 56" xfId="5063"/>
    <cellStyle name="Normal 3 57" xfId="5064"/>
    <cellStyle name="Normal 3 58" xfId="5065"/>
    <cellStyle name="Normal 3 59" xfId="5066"/>
    <cellStyle name="Normal 3 6" xfId="5067"/>
    <cellStyle name="Normal 3 60" xfId="5068"/>
    <cellStyle name="Normal 3 61" xfId="5069"/>
    <cellStyle name="Normal 3 62" xfId="5070"/>
    <cellStyle name="Normal 3 63" xfId="5071"/>
    <cellStyle name="Normal 3 64" xfId="5072"/>
    <cellStyle name="Normal 3 65" xfId="5073"/>
    <cellStyle name="Normal 3 66" xfId="5074"/>
    <cellStyle name="Normal 3 67" xfId="5075"/>
    <cellStyle name="Normal 3 68" xfId="5076"/>
    <cellStyle name="Normal 3 69" xfId="5077"/>
    <cellStyle name="Normal 3 7" xfId="5078"/>
    <cellStyle name="Normal 3 70" xfId="5079"/>
    <cellStyle name="Normal 3 71" xfId="5080"/>
    <cellStyle name="Normal 3 72" xfId="5081"/>
    <cellStyle name="Normal 3 73" xfId="5082"/>
    <cellStyle name="Normal 3 74" xfId="5083"/>
    <cellStyle name="Normal 3 75" xfId="5084"/>
    <cellStyle name="Normal 3 76" xfId="5085"/>
    <cellStyle name="Normal 3 77" xfId="5086"/>
    <cellStyle name="Normal 3 78" xfId="5087"/>
    <cellStyle name="Normal 3 79" xfId="5088"/>
    <cellStyle name="Normal 3 8" xfId="5089"/>
    <cellStyle name="Normal 3 80" xfId="5090"/>
    <cellStyle name="Normal 3 81" xfId="5091"/>
    <cellStyle name="Normal 3 82" xfId="5092"/>
    <cellStyle name="Normal 3 83" xfId="5093"/>
    <cellStyle name="Normal 3 84" xfId="5094"/>
    <cellStyle name="Normal 3 85" xfId="5095"/>
    <cellStyle name="Normal 3 86" xfId="5096"/>
    <cellStyle name="Normal 3 87" xfId="5097"/>
    <cellStyle name="Normal 3 88" xfId="5098"/>
    <cellStyle name="Normal 3 89" xfId="5099"/>
    <cellStyle name="Normal 3 9" xfId="5100"/>
    <cellStyle name="Normal 3 90" xfId="5101"/>
    <cellStyle name="Normal 3 91" xfId="5102"/>
    <cellStyle name="Normal 3 92" xfId="5103"/>
    <cellStyle name="Normal 3 93" xfId="5104"/>
    <cellStyle name="Normal 3 94" xfId="5105"/>
    <cellStyle name="Normal 3 95" xfId="5106"/>
    <cellStyle name="Normal 3 96" xfId="5107"/>
    <cellStyle name="Normal 3 97" xfId="5108"/>
    <cellStyle name="Normal 3 98" xfId="5109"/>
    <cellStyle name="Normal 3 99" xfId="5110"/>
    <cellStyle name="Normal 30" xfId="5111"/>
    <cellStyle name="Normal 30 2" xfId="5112"/>
    <cellStyle name="Normal 30 3" xfId="5113"/>
    <cellStyle name="Normal 30 4" xfId="5114"/>
    <cellStyle name="Normal 30 5" xfId="5115"/>
    <cellStyle name="Normal 30 6" xfId="5116"/>
    <cellStyle name="Normal 30 7" xfId="5117"/>
    <cellStyle name="Normal 302" xfId="5118"/>
    <cellStyle name="Normal 302 2" xfId="5119"/>
    <cellStyle name="Normal 302 2 2" xfId="5120"/>
    <cellStyle name="Normal 302 2 3" xfId="5121"/>
    <cellStyle name="Normal 302 3" xfId="5122"/>
    <cellStyle name="Normal 302 4" xfId="5123"/>
    <cellStyle name="Normal 305" xfId="5124"/>
    <cellStyle name="Normal 305 2" xfId="5125"/>
    <cellStyle name="Normal 305 2 2" xfId="5126"/>
    <cellStyle name="Normal 305 2 3" xfId="5127"/>
    <cellStyle name="Normal 305 3" xfId="5128"/>
    <cellStyle name="Normal 305 4" xfId="5129"/>
    <cellStyle name="Normal 306" xfId="5130"/>
    <cellStyle name="Normal 306 2" xfId="5131"/>
    <cellStyle name="Normal 306 2 2" xfId="5132"/>
    <cellStyle name="Normal 306 2 3" xfId="5133"/>
    <cellStyle name="Normal 306 3" xfId="5134"/>
    <cellStyle name="Normal 306 4" xfId="5135"/>
    <cellStyle name="Normal 307" xfId="5136"/>
    <cellStyle name="Normal 307 2" xfId="5137"/>
    <cellStyle name="Normal 307 2 2" xfId="5138"/>
    <cellStyle name="Normal 307 2 3" xfId="5139"/>
    <cellStyle name="Normal 307 3" xfId="5140"/>
    <cellStyle name="Normal 307 4" xfId="5141"/>
    <cellStyle name="Normal 31" xfId="5142"/>
    <cellStyle name="Normal 31 2" xfId="5143"/>
    <cellStyle name="Normal 31 3" xfId="5144"/>
    <cellStyle name="Normal 31 4" xfId="5145"/>
    <cellStyle name="Normal 31 5" xfId="5146"/>
    <cellStyle name="Normal 31 6" xfId="5147"/>
    <cellStyle name="Normal 31 7" xfId="5148"/>
    <cellStyle name="Normal 316" xfId="5149"/>
    <cellStyle name="Normal 316 2" xfId="5150"/>
    <cellStyle name="Normal 316 2 2" xfId="5151"/>
    <cellStyle name="Normal 316 2 3" xfId="5152"/>
    <cellStyle name="Normal 316 3" xfId="5153"/>
    <cellStyle name="Normal 316 4" xfId="5154"/>
    <cellStyle name="Normal 32" xfId="5155"/>
    <cellStyle name="Normal 32 2" xfId="5156"/>
    <cellStyle name="Normal 32 3" xfId="5157"/>
    <cellStyle name="Normal 32 4" xfId="5158"/>
    <cellStyle name="Normal 32 5" xfId="5159"/>
    <cellStyle name="Normal 32 6" xfId="5160"/>
    <cellStyle name="Normal 32 7" xfId="5161"/>
    <cellStyle name="Normal 326" xfId="5162"/>
    <cellStyle name="Normal 326 2" xfId="5163"/>
    <cellStyle name="Normal 328" xfId="5164"/>
    <cellStyle name="Normal 328 2" xfId="5165"/>
    <cellStyle name="Normal 329" xfId="5166"/>
    <cellStyle name="Normal 329 2" xfId="5167"/>
    <cellStyle name="Normal 33" xfId="5168"/>
    <cellStyle name="Normal 33 2" xfId="5169"/>
    <cellStyle name="Normal 33 3" xfId="5170"/>
    <cellStyle name="Normal 33 4" xfId="5171"/>
    <cellStyle name="Normal 33 5" xfId="5172"/>
    <cellStyle name="Normal 33 6" xfId="5173"/>
    <cellStyle name="Normal 330" xfId="5174"/>
    <cellStyle name="Normal 330 2" xfId="5175"/>
    <cellStyle name="Normal 332" xfId="5176"/>
    <cellStyle name="Normal 332 2" xfId="5177"/>
    <cellStyle name="Normal 333" xfId="5178"/>
    <cellStyle name="Normal 333 2" xfId="5179"/>
    <cellStyle name="Normal 333 2 2" xfId="5180"/>
    <cellStyle name="Normal 333 2 3" xfId="5181"/>
    <cellStyle name="Normal 333 3" xfId="5182"/>
    <cellStyle name="Normal 333 4" xfId="5183"/>
    <cellStyle name="Normal 334" xfId="5184"/>
    <cellStyle name="Normal 334 2" xfId="5185"/>
    <cellStyle name="Normal 336" xfId="5186"/>
    <cellStyle name="Normal 337" xfId="5187"/>
    <cellStyle name="Normal 338" xfId="5188"/>
    <cellStyle name="Normal 339" xfId="5189"/>
    <cellStyle name="Normal 34" xfId="5190"/>
    <cellStyle name="Normal 34 2" xfId="5191"/>
    <cellStyle name="Normal 34 3" xfId="5192"/>
    <cellStyle name="Normal 34 4" xfId="5193"/>
    <cellStyle name="Normal 34 5" xfId="5194"/>
    <cellStyle name="Normal 34 6" xfId="5195"/>
    <cellStyle name="Normal 34 7" xfId="5196"/>
    <cellStyle name="Normal 341" xfId="5197"/>
    <cellStyle name="Normal 342" xfId="5198"/>
    <cellStyle name="Normal 343" xfId="5199"/>
    <cellStyle name="Normal 344" xfId="5200"/>
    <cellStyle name="Normal 345" xfId="5201"/>
    <cellStyle name="Normal 345 2" xfId="5202"/>
    <cellStyle name="Normal 345 2 2" xfId="5203"/>
    <cellStyle name="Normal 345 2 3" xfId="5204"/>
    <cellStyle name="Normal 345 3" xfId="5205"/>
    <cellStyle name="Normal 345 4" xfId="5206"/>
    <cellStyle name="Normal 346" xfId="5207"/>
    <cellStyle name="Normal 347" xfId="5208"/>
    <cellStyle name="Normal 348" xfId="5209"/>
    <cellStyle name="Normal 349" xfId="5210"/>
    <cellStyle name="Normal 35" xfId="5211"/>
    <cellStyle name="Normal 35 2" xfId="5212"/>
    <cellStyle name="Normal 35 2 2" xfId="5213"/>
    <cellStyle name="Normal 35 2 3" xfId="5214"/>
    <cellStyle name="Normal 35 3" xfId="5215"/>
    <cellStyle name="Normal 350" xfId="5216"/>
    <cellStyle name="Normal 351" xfId="5217"/>
    <cellStyle name="Normal 352" xfId="5218"/>
    <cellStyle name="Normal 353" xfId="5219"/>
    <cellStyle name="Normal 354" xfId="5220"/>
    <cellStyle name="Normal 355" xfId="5221"/>
    <cellStyle name="Normal 356" xfId="5222"/>
    <cellStyle name="Normal 356 2" xfId="5223"/>
    <cellStyle name="Normal 357" xfId="5224"/>
    <cellStyle name="Normal 358" xfId="5225"/>
    <cellStyle name="Normal 359" xfId="5226"/>
    <cellStyle name="Normal 36" xfId="5227"/>
    <cellStyle name="Normal 36 2" xfId="5228"/>
    <cellStyle name="Normal 36 2 2" xfId="5229"/>
    <cellStyle name="Normal 36 2 3" xfId="5230"/>
    <cellStyle name="Normal 360" xfId="5231"/>
    <cellStyle name="Normal 361" xfId="5232"/>
    <cellStyle name="Normal 362" xfId="5233"/>
    <cellStyle name="Normal 363" xfId="5234"/>
    <cellStyle name="Normal 364" xfId="5235"/>
    <cellStyle name="Normal 365" xfId="5236"/>
    <cellStyle name="Normal 366" xfId="5237"/>
    <cellStyle name="Normal 367" xfId="5238"/>
    <cellStyle name="Normal 369" xfId="5239"/>
    <cellStyle name="Normal 37" xfId="5240"/>
    <cellStyle name="Normal 37 2" xfId="5241"/>
    <cellStyle name="Normal 37 2 2" xfId="5242"/>
    <cellStyle name="Normal 37 2 3" xfId="5243"/>
    <cellStyle name="Normal 370" xfId="5244"/>
    <cellStyle name="Normal 371" xfId="5245"/>
    <cellStyle name="Normal 372" xfId="5246"/>
    <cellStyle name="Normal 373" xfId="5247"/>
    <cellStyle name="Normal 374" xfId="5248"/>
    <cellStyle name="Normal 375" xfId="5249"/>
    <cellStyle name="Normal 376" xfId="5250"/>
    <cellStyle name="Normal 377" xfId="5251"/>
    <cellStyle name="Normal 378" xfId="5252"/>
    <cellStyle name="Normal 379" xfId="5253"/>
    <cellStyle name="Normal 38" xfId="5254"/>
    <cellStyle name="Normal 38 2" xfId="5255"/>
    <cellStyle name="Normal 38 2 2" xfId="5256"/>
    <cellStyle name="Normal 38 2 3" xfId="5257"/>
    <cellStyle name="Normal 38 3" xfId="5258"/>
    <cellStyle name="Normal 38 3 2" xfId="5259"/>
    <cellStyle name="Normal 38 3 3" xfId="5260"/>
    <cellStyle name="Normal 38 4" xfId="5261"/>
    <cellStyle name="Normal 38 5" xfId="5262"/>
    <cellStyle name="Normal 380" xfId="5263"/>
    <cellStyle name="Normal 381" xfId="5264"/>
    <cellStyle name="Normal 382" xfId="5265"/>
    <cellStyle name="Normal 383" xfId="5266"/>
    <cellStyle name="Normal 384" xfId="5267"/>
    <cellStyle name="Normal 385" xfId="5268"/>
    <cellStyle name="Normal 386" xfId="5269"/>
    <cellStyle name="Normal 387" xfId="5270"/>
    <cellStyle name="Normal 388" xfId="5271"/>
    <cellStyle name="Normal 389" xfId="5272"/>
    <cellStyle name="Normal 39" xfId="5273"/>
    <cellStyle name="Normal 39 2" xfId="5274"/>
    <cellStyle name="Normal 39 2 2" xfId="5275"/>
    <cellStyle name="Normal 39 2 3" xfId="5276"/>
    <cellStyle name="Normal 390" xfId="5277"/>
    <cellStyle name="Normal 391" xfId="5278"/>
    <cellStyle name="Normal 392" xfId="5279"/>
    <cellStyle name="Normal 393" xfId="5280"/>
    <cellStyle name="Normal 393 2" xfId="5281"/>
    <cellStyle name="Normal 394" xfId="5282"/>
    <cellStyle name="Normal 394 2" xfId="5283"/>
    <cellStyle name="Normal 395" xfId="5284"/>
    <cellStyle name="Normal 395 2" xfId="5285"/>
    <cellStyle name="Normal 396" xfId="5286"/>
    <cellStyle name="Normal 396 2" xfId="5287"/>
    <cellStyle name="Normal 397" xfId="5288"/>
    <cellStyle name="Normal 397 2" xfId="5289"/>
    <cellStyle name="Normal 398" xfId="5290"/>
    <cellStyle name="Normal 399" xfId="5291"/>
    <cellStyle name="Normal 4" xfId="46"/>
    <cellStyle name="Normal 4 10" xfId="5292"/>
    <cellStyle name="Normal 4 10 2" xfId="5293"/>
    <cellStyle name="Normal 4 10 3" xfId="5294"/>
    <cellStyle name="Normal 4 100" xfId="5295"/>
    <cellStyle name="Normal 4 100 2" xfId="5296"/>
    <cellStyle name="Normal 4 100 3" xfId="5297"/>
    <cellStyle name="Normal 4 101" xfId="5298"/>
    <cellStyle name="Normal 4 101 2" xfId="5299"/>
    <cellStyle name="Normal 4 101 3" xfId="5300"/>
    <cellStyle name="Normal 4 102" xfId="5301"/>
    <cellStyle name="Normal 4 102 2" xfId="5302"/>
    <cellStyle name="Normal 4 102 3" xfId="5303"/>
    <cellStyle name="Normal 4 103" xfId="5304"/>
    <cellStyle name="Normal 4 103 2" xfId="5305"/>
    <cellStyle name="Normal 4 103 3" xfId="5306"/>
    <cellStyle name="Normal 4 104" xfId="5307"/>
    <cellStyle name="Normal 4 104 2" xfId="5308"/>
    <cellStyle name="Normal 4 104 3" xfId="5309"/>
    <cellStyle name="Normal 4 105" xfId="5310"/>
    <cellStyle name="Normal 4 105 2" xfId="5311"/>
    <cellStyle name="Normal 4 105 3" xfId="5312"/>
    <cellStyle name="Normal 4 106" xfId="5313"/>
    <cellStyle name="Normal 4 106 2" xfId="5314"/>
    <cellStyle name="Normal 4 106 3" xfId="5315"/>
    <cellStyle name="Normal 4 107" xfId="5316"/>
    <cellStyle name="Normal 4 107 2" xfId="5317"/>
    <cellStyle name="Normal 4 107 3" xfId="5318"/>
    <cellStyle name="Normal 4 108" xfId="5319"/>
    <cellStyle name="Normal 4 108 2" xfId="5320"/>
    <cellStyle name="Normal 4 108 3" xfId="5321"/>
    <cellStyle name="Normal 4 109" xfId="5322"/>
    <cellStyle name="Normal 4 109 2" xfId="5323"/>
    <cellStyle name="Normal 4 109 3" xfId="5324"/>
    <cellStyle name="Normal 4 11" xfId="5325"/>
    <cellStyle name="Normal 4 11 2" xfId="5326"/>
    <cellStyle name="Normal 4 11 3" xfId="5327"/>
    <cellStyle name="Normal 4 110" xfId="5328"/>
    <cellStyle name="Normal 4 110 2" xfId="5329"/>
    <cellStyle name="Normal 4 110 3" xfId="5330"/>
    <cellStyle name="Normal 4 111" xfId="5331"/>
    <cellStyle name="Normal 4 111 2" xfId="5332"/>
    <cellStyle name="Normal 4 111 3" xfId="5333"/>
    <cellStyle name="Normal 4 112" xfId="5334"/>
    <cellStyle name="Normal 4 112 2" xfId="5335"/>
    <cellStyle name="Normal 4 112 3" xfId="5336"/>
    <cellStyle name="Normal 4 113" xfId="5337"/>
    <cellStyle name="Normal 4 113 2" xfId="5338"/>
    <cellStyle name="Normal 4 113 3" xfId="5339"/>
    <cellStyle name="Normal 4 114" xfId="5340"/>
    <cellStyle name="Normal 4 114 2" xfId="5341"/>
    <cellStyle name="Normal 4 114 3" xfId="5342"/>
    <cellStyle name="Normal 4 115" xfId="5343"/>
    <cellStyle name="Normal 4 115 2" xfId="5344"/>
    <cellStyle name="Normal 4 115 3" xfId="5345"/>
    <cellStyle name="Normal 4 116" xfId="5346"/>
    <cellStyle name="Normal 4 116 2" xfId="5347"/>
    <cellStyle name="Normal 4 116 3" xfId="5348"/>
    <cellStyle name="Normal 4 117" xfId="5349"/>
    <cellStyle name="Normal 4 117 2" xfId="5350"/>
    <cellStyle name="Normal 4 117 3" xfId="5351"/>
    <cellStyle name="Normal 4 118" xfId="5352"/>
    <cellStyle name="Normal 4 118 2" xfId="5353"/>
    <cellStyle name="Normal 4 118 3" xfId="5354"/>
    <cellStyle name="Normal 4 119" xfId="5355"/>
    <cellStyle name="Normal 4 119 2" xfId="5356"/>
    <cellStyle name="Normal 4 119 3" xfId="5357"/>
    <cellStyle name="Normal 4 12" xfId="5358"/>
    <cellStyle name="Normal 4 12 2" xfId="5359"/>
    <cellStyle name="Normal 4 12 3" xfId="5360"/>
    <cellStyle name="Normal 4 120" xfId="5361"/>
    <cellStyle name="Normal 4 120 2" xfId="5362"/>
    <cellStyle name="Normal 4 120 3" xfId="5363"/>
    <cellStyle name="Normal 4 121" xfId="5364"/>
    <cellStyle name="Normal 4 121 2" xfId="5365"/>
    <cellStyle name="Normal 4 121 3" xfId="5366"/>
    <cellStyle name="Normal 4 122" xfId="5367"/>
    <cellStyle name="Normal 4 122 2" xfId="5368"/>
    <cellStyle name="Normal 4 122 3" xfId="5369"/>
    <cellStyle name="Normal 4 123" xfId="5370"/>
    <cellStyle name="Normal 4 123 2" xfId="5371"/>
    <cellStyle name="Normal 4 123 3" xfId="5372"/>
    <cellStyle name="Normal 4 124" xfId="5373"/>
    <cellStyle name="Normal 4 124 2" xfId="5374"/>
    <cellStyle name="Normal 4 124 3" xfId="5375"/>
    <cellStyle name="Normal 4 125" xfId="5376"/>
    <cellStyle name="Normal 4 125 2" xfId="5377"/>
    <cellStyle name="Normal 4 125 3" xfId="5378"/>
    <cellStyle name="Normal 4 126" xfId="5379"/>
    <cellStyle name="Normal 4 126 2" xfId="5380"/>
    <cellStyle name="Normal 4 126 3" xfId="5381"/>
    <cellStyle name="Normal 4 127" xfId="5382"/>
    <cellStyle name="Normal 4 127 2" xfId="5383"/>
    <cellStyle name="Normal 4 127 3" xfId="5384"/>
    <cellStyle name="Normal 4 128" xfId="5385"/>
    <cellStyle name="Normal 4 128 2" xfId="5386"/>
    <cellStyle name="Normal 4 128 3" xfId="5387"/>
    <cellStyle name="Normal 4 129" xfId="5388"/>
    <cellStyle name="Normal 4 129 2" xfId="5389"/>
    <cellStyle name="Normal 4 129 3" xfId="5390"/>
    <cellStyle name="Normal 4 13" xfId="5391"/>
    <cellStyle name="Normal 4 13 2" xfId="5392"/>
    <cellStyle name="Normal 4 13 3" xfId="5393"/>
    <cellStyle name="Normal 4 130" xfId="5394"/>
    <cellStyle name="Normal 4 130 2" xfId="5395"/>
    <cellStyle name="Normal 4 130 3" xfId="5396"/>
    <cellStyle name="Normal 4 131" xfId="5397"/>
    <cellStyle name="Normal 4 131 2" xfId="5398"/>
    <cellStyle name="Normal 4 131 3" xfId="5399"/>
    <cellStyle name="Normal 4 132" xfId="5400"/>
    <cellStyle name="Normal 4 132 2" xfId="5401"/>
    <cellStyle name="Normal 4 132 3" xfId="5402"/>
    <cellStyle name="Normal 4 133" xfId="5403"/>
    <cellStyle name="Normal 4 133 2" xfId="5404"/>
    <cellStyle name="Normal 4 133 3" xfId="5405"/>
    <cellStyle name="Normal 4 134" xfId="5406"/>
    <cellStyle name="Normal 4 134 2" xfId="5407"/>
    <cellStyle name="Normal 4 134 3" xfId="5408"/>
    <cellStyle name="Normal 4 135" xfId="5409"/>
    <cellStyle name="Normal 4 135 2" xfId="5410"/>
    <cellStyle name="Normal 4 135 3" xfId="5411"/>
    <cellStyle name="Normal 4 136" xfId="5412"/>
    <cellStyle name="Normal 4 136 2" xfId="5413"/>
    <cellStyle name="Normal 4 136 3" xfId="5414"/>
    <cellStyle name="Normal 4 137" xfId="5415"/>
    <cellStyle name="Normal 4 137 2" xfId="5416"/>
    <cellStyle name="Normal 4 137 3" xfId="5417"/>
    <cellStyle name="Normal 4 138" xfId="5418"/>
    <cellStyle name="Normal 4 138 2" xfId="5419"/>
    <cellStyle name="Normal 4 138 3" xfId="5420"/>
    <cellStyle name="Normal 4 139" xfId="5421"/>
    <cellStyle name="Normal 4 139 2" xfId="5422"/>
    <cellStyle name="Normal 4 139 3" xfId="5423"/>
    <cellStyle name="Normal 4 14" xfId="5424"/>
    <cellStyle name="Normal 4 14 2" xfId="5425"/>
    <cellStyle name="Normal 4 14 3" xfId="5426"/>
    <cellStyle name="Normal 4 140" xfId="5427"/>
    <cellStyle name="Normal 4 140 2" xfId="5428"/>
    <cellStyle name="Normal 4 140 3" xfId="5429"/>
    <cellStyle name="Normal 4 141" xfId="5430"/>
    <cellStyle name="Normal 4 141 2" xfId="5431"/>
    <cellStyle name="Normal 4 141 3" xfId="5432"/>
    <cellStyle name="Normal 4 142" xfId="5433"/>
    <cellStyle name="Normal 4 142 2" xfId="5434"/>
    <cellStyle name="Normal 4 142 3" xfId="5435"/>
    <cellStyle name="Normal 4 143" xfId="5436"/>
    <cellStyle name="Normal 4 143 2" xfId="5437"/>
    <cellStyle name="Normal 4 143 3" xfId="5438"/>
    <cellStyle name="Normal 4 144" xfId="5439"/>
    <cellStyle name="Normal 4 144 2" xfId="5440"/>
    <cellStyle name="Normal 4 144 3" xfId="5441"/>
    <cellStyle name="Normal 4 145" xfId="5442"/>
    <cellStyle name="Normal 4 145 2" xfId="5443"/>
    <cellStyle name="Normal 4 145 3" xfId="5444"/>
    <cellStyle name="Normal 4 146" xfId="5445"/>
    <cellStyle name="Normal 4 146 2" xfId="5446"/>
    <cellStyle name="Normal 4 146 3" xfId="5447"/>
    <cellStyle name="Normal 4 147" xfId="5448"/>
    <cellStyle name="Normal 4 147 2" xfId="5449"/>
    <cellStyle name="Normal 4 147 3" xfId="5450"/>
    <cellStyle name="Normal 4 148" xfId="5451"/>
    <cellStyle name="Normal 4 148 2" xfId="5452"/>
    <cellStyle name="Normal 4 148 3" xfId="5453"/>
    <cellStyle name="Normal 4 149" xfId="5454"/>
    <cellStyle name="Normal 4 149 2" xfId="5455"/>
    <cellStyle name="Normal 4 149 3" xfId="5456"/>
    <cellStyle name="Normal 4 15" xfId="5457"/>
    <cellStyle name="Normal 4 15 2" xfId="5458"/>
    <cellStyle name="Normal 4 15 3" xfId="5459"/>
    <cellStyle name="Normal 4 150" xfId="5460"/>
    <cellStyle name="Normal 4 150 2" xfId="5461"/>
    <cellStyle name="Normal 4 150 3" xfId="5462"/>
    <cellStyle name="Normal 4 151" xfId="5463"/>
    <cellStyle name="Normal 4 151 2" xfId="5464"/>
    <cellStyle name="Normal 4 151 3" xfId="5465"/>
    <cellStyle name="Normal 4 152" xfId="5466"/>
    <cellStyle name="Normal 4 152 2" xfId="5467"/>
    <cellStyle name="Normal 4 152 3" xfId="5468"/>
    <cellStyle name="Normal 4 153" xfId="5469"/>
    <cellStyle name="Normal 4 153 2" xfId="5470"/>
    <cellStyle name="Normal 4 153 3" xfId="5471"/>
    <cellStyle name="Normal 4 154" xfId="5472"/>
    <cellStyle name="Normal 4 154 2" xfId="5473"/>
    <cellStyle name="Normal 4 154 3" xfId="5474"/>
    <cellStyle name="Normal 4 155" xfId="5475"/>
    <cellStyle name="Normal 4 155 2" xfId="5476"/>
    <cellStyle name="Normal 4 155 3" xfId="5477"/>
    <cellStyle name="Normal 4 156" xfId="5478"/>
    <cellStyle name="Normal 4 156 2" xfId="5479"/>
    <cellStyle name="Normal 4 156 3" xfId="5480"/>
    <cellStyle name="Normal 4 157" xfId="5481"/>
    <cellStyle name="Normal 4 157 2" xfId="5482"/>
    <cellStyle name="Normal 4 157 3" xfId="5483"/>
    <cellStyle name="Normal 4 158" xfId="5484"/>
    <cellStyle name="Normal 4 158 2" xfId="5485"/>
    <cellStyle name="Normal 4 158 3" xfId="5486"/>
    <cellStyle name="Normal 4 159" xfId="5487"/>
    <cellStyle name="Normal 4 159 2" xfId="5488"/>
    <cellStyle name="Normal 4 159 3" xfId="5489"/>
    <cellStyle name="Normal 4 16" xfId="5490"/>
    <cellStyle name="Normal 4 16 2" xfId="5491"/>
    <cellStyle name="Normal 4 16 3" xfId="5492"/>
    <cellStyle name="Normal 4 160" xfId="5493"/>
    <cellStyle name="Normal 4 160 2" xfId="5494"/>
    <cellStyle name="Normal 4 160 3" xfId="5495"/>
    <cellStyle name="Normal 4 161" xfId="5496"/>
    <cellStyle name="Normal 4 161 2" xfId="5497"/>
    <cellStyle name="Normal 4 161 3" xfId="5498"/>
    <cellStyle name="Normal 4 162" xfId="5499"/>
    <cellStyle name="Normal 4 162 2" xfId="5500"/>
    <cellStyle name="Normal 4 162 3" xfId="5501"/>
    <cellStyle name="Normal 4 163" xfId="5502"/>
    <cellStyle name="Normal 4 163 2" xfId="5503"/>
    <cellStyle name="Normal 4 163 3" xfId="5504"/>
    <cellStyle name="Normal 4 164" xfId="5505"/>
    <cellStyle name="Normal 4 164 2" xfId="5506"/>
    <cellStyle name="Normal 4 164 3" xfId="5507"/>
    <cellStyle name="Normal 4 165" xfId="5508"/>
    <cellStyle name="Normal 4 165 2" xfId="5509"/>
    <cellStyle name="Normal 4 165 3" xfId="5510"/>
    <cellStyle name="Normal 4 166" xfId="5511"/>
    <cellStyle name="Normal 4 166 2" xfId="5512"/>
    <cellStyle name="Normal 4 166 3" xfId="5513"/>
    <cellStyle name="Normal 4 167" xfId="5514"/>
    <cellStyle name="Normal 4 167 2" xfId="5515"/>
    <cellStyle name="Normal 4 167 3" xfId="5516"/>
    <cellStyle name="Normal 4 168" xfId="5517"/>
    <cellStyle name="Normal 4 168 2" xfId="5518"/>
    <cellStyle name="Normal 4 168 3" xfId="5519"/>
    <cellStyle name="Normal 4 169" xfId="5520"/>
    <cellStyle name="Normal 4 169 2" xfId="5521"/>
    <cellStyle name="Normal 4 169 3" xfId="5522"/>
    <cellStyle name="Normal 4 17" xfId="5523"/>
    <cellStyle name="Normal 4 17 2" xfId="5524"/>
    <cellStyle name="Normal 4 17 3" xfId="5525"/>
    <cellStyle name="Normal 4 170" xfId="5526"/>
    <cellStyle name="Normal 4 170 2" xfId="5527"/>
    <cellStyle name="Normal 4 170 3" xfId="5528"/>
    <cellStyle name="Normal 4 171" xfId="5529"/>
    <cellStyle name="Normal 4 171 2" xfId="5530"/>
    <cellStyle name="Normal 4 171 3" xfId="5531"/>
    <cellStyle name="Normal 4 172" xfId="5532"/>
    <cellStyle name="Normal 4 172 2" xfId="5533"/>
    <cellStyle name="Normal 4 172 3" xfId="5534"/>
    <cellStyle name="Normal 4 173" xfId="5535"/>
    <cellStyle name="Normal 4 173 2" xfId="5536"/>
    <cellStyle name="Normal 4 173 3" xfId="5537"/>
    <cellStyle name="Normal 4 174" xfId="5538"/>
    <cellStyle name="Normal 4 174 2" xfId="5539"/>
    <cellStyle name="Normal 4 174 3" xfId="5540"/>
    <cellStyle name="Normal 4 175" xfId="5541"/>
    <cellStyle name="Normal 4 175 2" xfId="5542"/>
    <cellStyle name="Normal 4 175 3" xfId="5543"/>
    <cellStyle name="Normal 4 176" xfId="5544"/>
    <cellStyle name="Normal 4 176 2" xfId="5545"/>
    <cellStyle name="Normal 4 176 3" xfId="5546"/>
    <cellStyle name="Normal 4 177" xfId="5547"/>
    <cellStyle name="Normal 4 177 2" xfId="5548"/>
    <cellStyle name="Normal 4 177 3" xfId="5549"/>
    <cellStyle name="Normal 4 178" xfId="5550"/>
    <cellStyle name="Normal 4 178 2" xfId="5551"/>
    <cellStyle name="Normal 4 178 3" xfId="5552"/>
    <cellStyle name="Normal 4 179" xfId="5553"/>
    <cellStyle name="Normal 4 179 2" xfId="5554"/>
    <cellStyle name="Normal 4 179 3" xfId="5555"/>
    <cellStyle name="Normal 4 18" xfId="5556"/>
    <cellStyle name="Normal 4 18 2" xfId="5557"/>
    <cellStyle name="Normal 4 18 3" xfId="5558"/>
    <cellStyle name="Normal 4 180" xfId="5559"/>
    <cellStyle name="Normal 4 180 2" xfId="5560"/>
    <cellStyle name="Normal 4 180 3" xfId="5561"/>
    <cellStyle name="Normal 4 181" xfId="5562"/>
    <cellStyle name="Normal 4 181 2" xfId="5563"/>
    <cellStyle name="Normal 4 181 3" xfId="5564"/>
    <cellStyle name="Normal 4 182" xfId="5565"/>
    <cellStyle name="Normal 4 182 2" xfId="5566"/>
    <cellStyle name="Normal 4 182 3" xfId="5567"/>
    <cellStyle name="Normal 4 183" xfId="5568"/>
    <cellStyle name="Normal 4 183 2" xfId="5569"/>
    <cellStyle name="Normal 4 183 3" xfId="5570"/>
    <cellStyle name="Normal 4 184" xfId="5571"/>
    <cellStyle name="Normal 4 184 2" xfId="5572"/>
    <cellStyle name="Normal 4 184 3" xfId="5573"/>
    <cellStyle name="Normal 4 185" xfId="5574"/>
    <cellStyle name="Normal 4 185 2" xfId="5575"/>
    <cellStyle name="Normal 4 185 3" xfId="5576"/>
    <cellStyle name="Normal 4 186" xfId="5577"/>
    <cellStyle name="Normal 4 186 2" xfId="5578"/>
    <cellStyle name="Normal 4 186 3" xfId="5579"/>
    <cellStyle name="Normal 4 187" xfId="5580"/>
    <cellStyle name="Normal 4 187 2" xfId="5581"/>
    <cellStyle name="Normal 4 187 3" xfId="5582"/>
    <cellStyle name="Normal 4 188" xfId="5583"/>
    <cellStyle name="Normal 4 188 2" xfId="5584"/>
    <cellStyle name="Normal 4 188 3" xfId="5585"/>
    <cellStyle name="Normal 4 189" xfId="5586"/>
    <cellStyle name="Normal 4 189 2" xfId="5587"/>
    <cellStyle name="Normal 4 189 3" xfId="5588"/>
    <cellStyle name="Normal 4 19" xfId="5589"/>
    <cellStyle name="Normal 4 19 2" xfId="5590"/>
    <cellStyle name="Normal 4 19 3" xfId="5591"/>
    <cellStyle name="Normal 4 190" xfId="5592"/>
    <cellStyle name="Normal 4 190 2" xfId="5593"/>
    <cellStyle name="Normal 4 190 3" xfId="5594"/>
    <cellStyle name="Normal 4 191" xfId="5595"/>
    <cellStyle name="Normal 4 191 2" xfId="5596"/>
    <cellStyle name="Normal 4 191 3" xfId="5597"/>
    <cellStyle name="Normal 4 192" xfId="5598"/>
    <cellStyle name="Normal 4 192 2" xfId="5599"/>
    <cellStyle name="Normal 4 192 3" xfId="5600"/>
    <cellStyle name="Normal 4 193" xfId="5601"/>
    <cellStyle name="Normal 4 193 2" xfId="5602"/>
    <cellStyle name="Normal 4 193 3" xfId="5603"/>
    <cellStyle name="Normal 4 194" xfId="5604"/>
    <cellStyle name="Normal 4 194 2" xfId="5605"/>
    <cellStyle name="Normal 4 194 3" xfId="5606"/>
    <cellStyle name="Normal 4 195" xfId="5607"/>
    <cellStyle name="Normal 4 195 2" xfId="5608"/>
    <cellStyle name="Normal 4 195 3" xfId="5609"/>
    <cellStyle name="Normal 4 196" xfId="5610"/>
    <cellStyle name="Normal 4 196 2" xfId="5611"/>
    <cellStyle name="Normal 4 196 3" xfId="5612"/>
    <cellStyle name="Normal 4 197" xfId="5613"/>
    <cellStyle name="Normal 4 197 2" xfId="5614"/>
    <cellStyle name="Normal 4 197 3" xfId="5615"/>
    <cellStyle name="Normal 4 198" xfId="5616"/>
    <cellStyle name="Normal 4 198 2" xfId="5617"/>
    <cellStyle name="Normal 4 198 3" xfId="5618"/>
    <cellStyle name="Normal 4 199" xfId="5619"/>
    <cellStyle name="Normal 4 199 2" xfId="5620"/>
    <cellStyle name="Normal 4 199 3" xfId="5621"/>
    <cellStyle name="Normal 4 2" xfId="5622"/>
    <cellStyle name="Normal 4 2 2" xfId="5623"/>
    <cellStyle name="Normal 4 2 2 2" xfId="5624"/>
    <cellStyle name="Normal 4 2 2 3" xfId="5625"/>
    <cellStyle name="Normal 4 2 3" xfId="5626"/>
    <cellStyle name="Normal 4 2 4" xfId="5627"/>
    <cellStyle name="Normal 4 2 5" xfId="5628"/>
    <cellStyle name="Normal 4 20" xfId="5629"/>
    <cellStyle name="Normal 4 20 2" xfId="5630"/>
    <cellStyle name="Normal 4 20 3" xfId="5631"/>
    <cellStyle name="Normal 4 200" xfId="5632"/>
    <cellStyle name="Normal 4 200 2" xfId="5633"/>
    <cellStyle name="Normal 4 200 3" xfId="5634"/>
    <cellStyle name="Normal 4 201" xfId="5635"/>
    <cellStyle name="Normal 4 201 2" xfId="5636"/>
    <cellStyle name="Normal 4 201 3" xfId="5637"/>
    <cellStyle name="Normal 4 202" xfId="5638"/>
    <cellStyle name="Normal 4 202 2" xfId="5639"/>
    <cellStyle name="Normal 4 202 3" xfId="5640"/>
    <cellStyle name="Normal 4 203" xfId="5641"/>
    <cellStyle name="Normal 4 203 2" xfId="5642"/>
    <cellStyle name="Normal 4 203 3" xfId="5643"/>
    <cellStyle name="Normal 4 204" xfId="5644"/>
    <cellStyle name="Normal 4 204 2" xfId="5645"/>
    <cellStyle name="Normal 4 204 3" xfId="5646"/>
    <cellStyle name="Normal 4 205" xfId="5647"/>
    <cellStyle name="Normal 4 205 2" xfId="5648"/>
    <cellStyle name="Normal 4 205 3" xfId="5649"/>
    <cellStyle name="Normal 4 206" xfId="5650"/>
    <cellStyle name="Normal 4 206 2" xfId="5651"/>
    <cellStyle name="Normal 4 206 3" xfId="5652"/>
    <cellStyle name="Normal 4 207" xfId="5653"/>
    <cellStyle name="Normal 4 207 2" xfId="5654"/>
    <cellStyle name="Normal 4 207 3" xfId="5655"/>
    <cellStyle name="Normal 4 208" xfId="5656"/>
    <cellStyle name="Normal 4 208 2" xfId="5657"/>
    <cellStyle name="Normal 4 208 3" xfId="5658"/>
    <cellStyle name="Normal 4 209" xfId="5659"/>
    <cellStyle name="Normal 4 209 2" xfId="5660"/>
    <cellStyle name="Normal 4 209 3" xfId="5661"/>
    <cellStyle name="Normal 4 21" xfId="5662"/>
    <cellStyle name="Normal 4 21 2" xfId="5663"/>
    <cellStyle name="Normal 4 21 3" xfId="5664"/>
    <cellStyle name="Normal 4 210" xfId="5665"/>
    <cellStyle name="Normal 4 211" xfId="5666"/>
    <cellStyle name="Normal 4 212" xfId="5667"/>
    <cellStyle name="Normal 4 213" xfId="5668"/>
    <cellStyle name="Normal 4 214" xfId="5669"/>
    <cellStyle name="Normal 4 215" xfId="5670"/>
    <cellStyle name="Normal 4 216" xfId="5671"/>
    <cellStyle name="Normal 4 217" xfId="5672"/>
    <cellStyle name="Normal 4 218" xfId="5673"/>
    <cellStyle name="Normal 4 219" xfId="5674"/>
    <cellStyle name="Normal 4 22" xfId="5675"/>
    <cellStyle name="Normal 4 22 2" xfId="5676"/>
    <cellStyle name="Normal 4 22 3" xfId="5677"/>
    <cellStyle name="Normal 4 220" xfId="5678"/>
    <cellStyle name="Normal 4 221" xfId="5679"/>
    <cellStyle name="Normal 4 222" xfId="5680"/>
    <cellStyle name="Normal 4 23" xfId="5681"/>
    <cellStyle name="Normal 4 23 2" xfId="5682"/>
    <cellStyle name="Normal 4 23 3" xfId="5683"/>
    <cellStyle name="Normal 4 24" xfId="5684"/>
    <cellStyle name="Normal 4 24 2" xfId="5685"/>
    <cellStyle name="Normal 4 24 3" xfId="5686"/>
    <cellStyle name="Normal 4 25" xfId="5687"/>
    <cellStyle name="Normal 4 25 2" xfId="5688"/>
    <cellStyle name="Normal 4 25 3" xfId="5689"/>
    <cellStyle name="Normal 4 26" xfId="5690"/>
    <cellStyle name="Normal 4 26 2" xfId="5691"/>
    <cellStyle name="Normal 4 26 3" xfId="5692"/>
    <cellStyle name="Normal 4 27" xfId="5693"/>
    <cellStyle name="Normal 4 27 2" xfId="5694"/>
    <cellStyle name="Normal 4 27 3" xfId="5695"/>
    <cellStyle name="Normal 4 28" xfId="5696"/>
    <cellStyle name="Normal 4 28 2" xfId="5697"/>
    <cellStyle name="Normal 4 28 3" xfId="5698"/>
    <cellStyle name="Normal 4 29" xfId="5699"/>
    <cellStyle name="Normal 4 29 2" xfId="5700"/>
    <cellStyle name="Normal 4 29 3" xfId="5701"/>
    <cellStyle name="Normal 4 3" xfId="5702"/>
    <cellStyle name="Normal 4 3 2" xfId="5703"/>
    <cellStyle name="Normal 4 3 3" xfId="5704"/>
    <cellStyle name="Normal 4 30" xfId="5705"/>
    <cellStyle name="Normal 4 30 2" xfId="5706"/>
    <cellStyle name="Normal 4 30 3" xfId="5707"/>
    <cellStyle name="Normal 4 31" xfId="5708"/>
    <cellStyle name="Normal 4 31 2" xfId="5709"/>
    <cellStyle name="Normal 4 31 3" xfId="5710"/>
    <cellStyle name="Normal 4 32" xfId="5711"/>
    <cellStyle name="Normal 4 32 2" xfId="5712"/>
    <cellStyle name="Normal 4 32 3" xfId="5713"/>
    <cellStyle name="Normal 4 33" xfId="5714"/>
    <cellStyle name="Normal 4 33 2" xfId="5715"/>
    <cellStyle name="Normal 4 33 3" xfId="5716"/>
    <cellStyle name="Normal 4 34" xfId="5717"/>
    <cellStyle name="Normal 4 34 2" xfId="5718"/>
    <cellStyle name="Normal 4 34 3" xfId="5719"/>
    <cellStyle name="Normal 4 35" xfId="5720"/>
    <cellStyle name="Normal 4 35 2" xfId="5721"/>
    <cellStyle name="Normal 4 35 3" xfId="5722"/>
    <cellStyle name="Normal 4 36" xfId="5723"/>
    <cellStyle name="Normal 4 36 2" xfId="5724"/>
    <cellStyle name="Normal 4 36 3" xfId="5725"/>
    <cellStyle name="Normal 4 37" xfId="5726"/>
    <cellStyle name="Normal 4 37 2" xfId="5727"/>
    <cellStyle name="Normal 4 37 3" xfId="5728"/>
    <cellStyle name="Normal 4 38" xfId="5729"/>
    <cellStyle name="Normal 4 38 2" xfId="5730"/>
    <cellStyle name="Normal 4 38 3" xfId="5731"/>
    <cellStyle name="Normal 4 39" xfId="5732"/>
    <cellStyle name="Normal 4 39 2" xfId="5733"/>
    <cellStyle name="Normal 4 39 3" xfId="5734"/>
    <cellStyle name="Normal 4 4" xfId="5735"/>
    <cellStyle name="Normal 4 4 2" xfId="5736"/>
    <cellStyle name="Normal 4 4 3" xfId="5737"/>
    <cellStyle name="Normal 4 40" xfId="5738"/>
    <cellStyle name="Normal 4 40 2" xfId="5739"/>
    <cellStyle name="Normal 4 40 3" xfId="5740"/>
    <cellStyle name="Normal 4 41" xfId="5741"/>
    <cellStyle name="Normal 4 41 2" xfId="5742"/>
    <cellStyle name="Normal 4 41 3" xfId="5743"/>
    <cellStyle name="Normal 4 42" xfId="5744"/>
    <cellStyle name="Normal 4 42 2" xfId="5745"/>
    <cellStyle name="Normal 4 42 3" xfId="5746"/>
    <cellStyle name="Normal 4 43" xfId="5747"/>
    <cellStyle name="Normal 4 43 2" xfId="5748"/>
    <cellStyle name="Normal 4 43 3" xfId="5749"/>
    <cellStyle name="Normal 4 44" xfId="5750"/>
    <cellStyle name="Normal 4 44 2" xfId="5751"/>
    <cellStyle name="Normal 4 44 3" xfId="5752"/>
    <cellStyle name="Normal 4 45" xfId="5753"/>
    <cellStyle name="Normal 4 45 2" xfId="5754"/>
    <cellStyle name="Normal 4 45 3" xfId="5755"/>
    <cellStyle name="Normal 4 46" xfId="5756"/>
    <cellStyle name="Normal 4 46 2" xfId="5757"/>
    <cellStyle name="Normal 4 46 3" xfId="5758"/>
    <cellStyle name="Normal 4 47" xfId="5759"/>
    <cellStyle name="Normal 4 47 2" xfId="5760"/>
    <cellStyle name="Normal 4 47 3" xfId="5761"/>
    <cellStyle name="Normal 4 48" xfId="5762"/>
    <cellStyle name="Normal 4 48 2" xfId="5763"/>
    <cellStyle name="Normal 4 48 3" xfId="5764"/>
    <cellStyle name="Normal 4 49" xfId="5765"/>
    <cellStyle name="Normal 4 49 2" xfId="5766"/>
    <cellStyle name="Normal 4 49 3" xfId="5767"/>
    <cellStyle name="Normal 4 5" xfId="5768"/>
    <cellStyle name="Normal 4 5 2" xfId="5769"/>
    <cellStyle name="Normal 4 5 3" xfId="5770"/>
    <cellStyle name="Normal 4 50" xfId="5771"/>
    <cellStyle name="Normal 4 50 2" xfId="5772"/>
    <cellStyle name="Normal 4 50 3" xfId="5773"/>
    <cellStyle name="Normal 4 51" xfId="5774"/>
    <cellStyle name="Normal 4 51 2" xfId="5775"/>
    <cellStyle name="Normal 4 51 3" xfId="5776"/>
    <cellStyle name="Normal 4 52" xfId="5777"/>
    <cellStyle name="Normal 4 52 2" xfId="5778"/>
    <cellStyle name="Normal 4 52 3" xfId="5779"/>
    <cellStyle name="Normal 4 53" xfId="5780"/>
    <cellStyle name="Normal 4 53 2" xfId="5781"/>
    <cellStyle name="Normal 4 53 3" xfId="5782"/>
    <cellStyle name="Normal 4 54" xfId="5783"/>
    <cellStyle name="Normal 4 54 2" xfId="5784"/>
    <cellStyle name="Normal 4 54 3" xfId="5785"/>
    <cellStyle name="Normal 4 55" xfId="5786"/>
    <cellStyle name="Normal 4 55 2" xfId="5787"/>
    <cellStyle name="Normal 4 55 3" xfId="5788"/>
    <cellStyle name="Normal 4 56" xfId="5789"/>
    <cellStyle name="Normal 4 56 2" xfId="5790"/>
    <cellStyle name="Normal 4 56 3" xfId="5791"/>
    <cellStyle name="Normal 4 57" xfId="5792"/>
    <cellStyle name="Normal 4 57 2" xfId="5793"/>
    <cellStyle name="Normal 4 57 3" xfId="5794"/>
    <cellStyle name="Normal 4 58" xfId="5795"/>
    <cellStyle name="Normal 4 58 2" xfId="5796"/>
    <cellStyle name="Normal 4 58 3" xfId="5797"/>
    <cellStyle name="Normal 4 59" xfId="5798"/>
    <cellStyle name="Normal 4 59 2" xfId="5799"/>
    <cellStyle name="Normal 4 59 3" xfId="5800"/>
    <cellStyle name="Normal 4 6" xfId="5801"/>
    <cellStyle name="Normal 4 6 2" xfId="5802"/>
    <cellStyle name="Normal 4 6 3" xfId="5803"/>
    <cellStyle name="Normal 4 60" xfId="5804"/>
    <cellStyle name="Normal 4 60 2" xfId="5805"/>
    <cellStyle name="Normal 4 60 3" xfId="5806"/>
    <cellStyle name="Normal 4 61" xfId="5807"/>
    <cellStyle name="Normal 4 61 2" xfId="5808"/>
    <cellStyle name="Normal 4 61 3" xfId="5809"/>
    <cellStyle name="Normal 4 62" xfId="5810"/>
    <cellStyle name="Normal 4 62 2" xfId="5811"/>
    <cellStyle name="Normal 4 62 3" xfId="5812"/>
    <cellStyle name="Normal 4 63" xfId="5813"/>
    <cellStyle name="Normal 4 63 2" xfId="5814"/>
    <cellStyle name="Normal 4 63 3" xfId="5815"/>
    <cellStyle name="Normal 4 64" xfId="5816"/>
    <cellStyle name="Normal 4 64 2" xfId="5817"/>
    <cellStyle name="Normal 4 64 3" xfId="5818"/>
    <cellStyle name="Normal 4 65" xfId="5819"/>
    <cellStyle name="Normal 4 65 2" xfId="5820"/>
    <cellStyle name="Normal 4 65 3" xfId="5821"/>
    <cellStyle name="Normal 4 66" xfId="5822"/>
    <cellStyle name="Normal 4 66 2" xfId="5823"/>
    <cellStyle name="Normal 4 66 3" xfId="5824"/>
    <cellStyle name="Normal 4 67" xfId="5825"/>
    <cellStyle name="Normal 4 67 2" xfId="5826"/>
    <cellStyle name="Normal 4 67 3" xfId="5827"/>
    <cellStyle name="Normal 4 68" xfId="5828"/>
    <cellStyle name="Normal 4 68 2" xfId="5829"/>
    <cellStyle name="Normal 4 68 3" xfId="5830"/>
    <cellStyle name="Normal 4 69" xfId="5831"/>
    <cellStyle name="Normal 4 69 2" xfId="5832"/>
    <cellStyle name="Normal 4 69 3" xfId="5833"/>
    <cellStyle name="Normal 4 7" xfId="5834"/>
    <cellStyle name="Normal 4 7 2" xfId="5835"/>
    <cellStyle name="Normal 4 7 3" xfId="5836"/>
    <cellStyle name="Normal 4 70" xfId="5837"/>
    <cellStyle name="Normal 4 70 2" xfId="5838"/>
    <cellStyle name="Normal 4 70 3" xfId="5839"/>
    <cellStyle name="Normal 4 71" xfId="5840"/>
    <cellStyle name="Normal 4 71 2" xfId="5841"/>
    <cellStyle name="Normal 4 71 3" xfId="5842"/>
    <cellStyle name="Normal 4 72" xfId="5843"/>
    <cellStyle name="Normal 4 72 2" xfId="5844"/>
    <cellStyle name="Normal 4 72 3" xfId="5845"/>
    <cellStyle name="Normal 4 73" xfId="5846"/>
    <cellStyle name="Normal 4 73 2" xfId="5847"/>
    <cellStyle name="Normal 4 73 3" xfId="5848"/>
    <cellStyle name="Normal 4 74" xfId="5849"/>
    <cellStyle name="Normal 4 74 2" xfId="5850"/>
    <cellStyle name="Normal 4 74 3" xfId="5851"/>
    <cellStyle name="Normal 4 75" xfId="5852"/>
    <cellStyle name="Normal 4 75 2" xfId="5853"/>
    <cellStyle name="Normal 4 75 3" xfId="5854"/>
    <cellStyle name="Normal 4 76" xfId="5855"/>
    <cellStyle name="Normal 4 76 2" xfId="5856"/>
    <cellStyle name="Normal 4 76 3" xfId="5857"/>
    <cellStyle name="Normal 4 77" xfId="5858"/>
    <cellStyle name="Normal 4 77 2" xfId="5859"/>
    <cellStyle name="Normal 4 77 3" xfId="5860"/>
    <cellStyle name="Normal 4 78" xfId="5861"/>
    <cellStyle name="Normal 4 78 2" xfId="5862"/>
    <cellStyle name="Normal 4 78 3" xfId="5863"/>
    <cellStyle name="Normal 4 79" xfId="5864"/>
    <cellStyle name="Normal 4 79 2" xfId="5865"/>
    <cellStyle name="Normal 4 79 3" xfId="5866"/>
    <cellStyle name="Normal 4 8" xfId="5867"/>
    <cellStyle name="Normal 4 8 2" xfId="5868"/>
    <cellStyle name="Normal 4 8 3" xfId="5869"/>
    <cellStyle name="Normal 4 80" xfId="5870"/>
    <cellStyle name="Normal 4 80 2" xfId="5871"/>
    <cellStyle name="Normal 4 80 3" xfId="5872"/>
    <cellStyle name="Normal 4 81" xfId="5873"/>
    <cellStyle name="Normal 4 81 2" xfId="5874"/>
    <cellStyle name="Normal 4 81 3" xfId="5875"/>
    <cellStyle name="Normal 4 82" xfId="5876"/>
    <cellStyle name="Normal 4 82 2" xfId="5877"/>
    <cellStyle name="Normal 4 82 3" xfId="5878"/>
    <cellStyle name="Normal 4 83" xfId="5879"/>
    <cellStyle name="Normal 4 83 2" xfId="5880"/>
    <cellStyle name="Normal 4 83 3" xfId="5881"/>
    <cellStyle name="Normal 4 84" xfId="5882"/>
    <cellStyle name="Normal 4 84 2" xfId="5883"/>
    <cellStyle name="Normal 4 84 3" xfId="5884"/>
    <cellStyle name="Normal 4 85" xfId="5885"/>
    <cellStyle name="Normal 4 85 2" xfId="5886"/>
    <cellStyle name="Normal 4 85 3" xfId="5887"/>
    <cellStyle name="Normal 4 86" xfId="5888"/>
    <cellStyle name="Normal 4 86 2" xfId="5889"/>
    <cellStyle name="Normal 4 86 3" xfId="5890"/>
    <cellStyle name="Normal 4 87" xfId="5891"/>
    <cellStyle name="Normal 4 87 2" xfId="5892"/>
    <cellStyle name="Normal 4 87 3" xfId="5893"/>
    <cellStyle name="Normal 4 88" xfId="5894"/>
    <cellStyle name="Normal 4 88 2" xfId="5895"/>
    <cellStyle name="Normal 4 88 3" xfId="5896"/>
    <cellStyle name="Normal 4 89" xfId="5897"/>
    <cellStyle name="Normal 4 89 2" xfId="5898"/>
    <cellStyle name="Normal 4 89 3" xfId="5899"/>
    <cellStyle name="Normal 4 9" xfId="5900"/>
    <cellStyle name="Normal 4 9 2" xfId="5901"/>
    <cellStyle name="Normal 4 9 3" xfId="5902"/>
    <cellStyle name="Normal 4 90" xfId="5903"/>
    <cellStyle name="Normal 4 90 2" xfId="5904"/>
    <cellStyle name="Normal 4 90 3" xfId="5905"/>
    <cellStyle name="Normal 4 91" xfId="5906"/>
    <cellStyle name="Normal 4 91 2" xfId="5907"/>
    <cellStyle name="Normal 4 91 3" xfId="5908"/>
    <cellStyle name="Normal 4 92" xfId="5909"/>
    <cellStyle name="Normal 4 92 2" xfId="5910"/>
    <cellStyle name="Normal 4 92 3" xfId="5911"/>
    <cellStyle name="Normal 4 93" xfId="5912"/>
    <cellStyle name="Normal 4 93 2" xfId="5913"/>
    <cellStyle name="Normal 4 93 3" xfId="5914"/>
    <cellStyle name="Normal 4 94" xfId="5915"/>
    <cellStyle name="Normal 4 94 2" xfId="5916"/>
    <cellStyle name="Normal 4 94 3" xfId="5917"/>
    <cellStyle name="Normal 4 95" xfId="5918"/>
    <cellStyle name="Normal 4 95 2" xfId="5919"/>
    <cellStyle name="Normal 4 95 3" xfId="5920"/>
    <cellStyle name="Normal 4 96" xfId="5921"/>
    <cellStyle name="Normal 4 96 2" xfId="5922"/>
    <cellStyle name="Normal 4 96 3" xfId="5923"/>
    <cellStyle name="Normal 4 97" xfId="5924"/>
    <cellStyle name="Normal 4 97 2" xfId="5925"/>
    <cellStyle name="Normal 4 97 3" xfId="5926"/>
    <cellStyle name="Normal 4 98" xfId="5927"/>
    <cellStyle name="Normal 4 98 2" xfId="5928"/>
    <cellStyle name="Normal 4 98 3" xfId="5929"/>
    <cellStyle name="Normal 4 99" xfId="5930"/>
    <cellStyle name="Normal 4 99 2" xfId="5931"/>
    <cellStyle name="Normal 4 99 3" xfId="5932"/>
    <cellStyle name="Normal 40" xfId="5933"/>
    <cellStyle name="Normal 40 2" xfId="5934"/>
    <cellStyle name="Normal 40 2 2" xfId="5935"/>
    <cellStyle name="Normal 40 2 3" xfId="5936"/>
    <cellStyle name="Normal 40 3" xfId="5937"/>
    <cellStyle name="Normal 40 3 2" xfId="5938"/>
    <cellStyle name="Normal 40 3 3" xfId="5939"/>
    <cellStyle name="Normal 40 4" xfId="5940"/>
    <cellStyle name="Normal 40 5" xfId="5941"/>
    <cellStyle name="Normal 400" xfId="5942"/>
    <cellStyle name="Normal 400 2" xfId="5943"/>
    <cellStyle name="Normal 400 2 2" xfId="5944"/>
    <cellStyle name="Normal 400 2 3" xfId="5945"/>
    <cellStyle name="Normal 400 3" xfId="5946"/>
    <cellStyle name="Normal 400 4" xfId="5947"/>
    <cellStyle name="Normal 401" xfId="5948"/>
    <cellStyle name="Normal 41" xfId="5949"/>
    <cellStyle name="Normal 41 2" xfId="5950"/>
    <cellStyle name="Normal 41 2 2" xfId="5951"/>
    <cellStyle name="Normal 41 2 3" xfId="5952"/>
    <cellStyle name="Normal 41 3" xfId="5953"/>
    <cellStyle name="Normal 41 3 2" xfId="5954"/>
    <cellStyle name="Normal 41 3 3" xfId="5955"/>
    <cellStyle name="Normal 41 4" xfId="5956"/>
    <cellStyle name="Normal 41 5" xfId="5957"/>
    <cellStyle name="Normal 415" xfId="5958"/>
    <cellStyle name="Normal 415 2" xfId="5959"/>
    <cellStyle name="Normal 415 2 2" xfId="5960"/>
    <cellStyle name="Normal 415 2 3" xfId="5961"/>
    <cellStyle name="Normal 415 3" xfId="5962"/>
    <cellStyle name="Normal 415 4" xfId="5963"/>
    <cellStyle name="Normal 416" xfId="5964"/>
    <cellStyle name="Normal 416 2" xfId="5965"/>
    <cellStyle name="Normal 416 2 2" xfId="5966"/>
    <cellStyle name="Normal 416 2 3" xfId="5967"/>
    <cellStyle name="Normal 416 3" xfId="5968"/>
    <cellStyle name="Normal 416 4" xfId="5969"/>
    <cellStyle name="Normal 417" xfId="5970"/>
    <cellStyle name="Normal 417 2" xfId="5971"/>
    <cellStyle name="Normal 417 2 2" xfId="5972"/>
    <cellStyle name="Normal 417 2 3" xfId="5973"/>
    <cellStyle name="Normal 417 3" xfId="5974"/>
    <cellStyle name="Normal 417 4" xfId="5975"/>
    <cellStyle name="Normal 42" xfId="5976"/>
    <cellStyle name="Normal 42 2" xfId="5977"/>
    <cellStyle name="Normal 42 2 2" xfId="5978"/>
    <cellStyle name="Normal 42 2 3" xfId="5979"/>
    <cellStyle name="Normal 420" xfId="5980"/>
    <cellStyle name="Normal 420 2" xfId="5981"/>
    <cellStyle name="Normal 420 2 2" xfId="5982"/>
    <cellStyle name="Normal 420 2 3" xfId="5983"/>
    <cellStyle name="Normal 420 3" xfId="5984"/>
    <cellStyle name="Normal 420 4" xfId="5985"/>
    <cellStyle name="Normal 422" xfId="5986"/>
    <cellStyle name="Normal 422 2" xfId="5987"/>
    <cellStyle name="Normal 422 2 2" xfId="5988"/>
    <cellStyle name="Normal 422 2 3" xfId="5989"/>
    <cellStyle name="Normal 422 3" xfId="5990"/>
    <cellStyle name="Normal 422 4" xfId="5991"/>
    <cellStyle name="Normal 43" xfId="5992"/>
    <cellStyle name="Normal 43 2" xfId="5993"/>
    <cellStyle name="Normal 43 2 2" xfId="5994"/>
    <cellStyle name="Normal 43 2 3" xfId="5995"/>
    <cellStyle name="Normal 44" xfId="5996"/>
    <cellStyle name="Normal 44 2" xfId="5997"/>
    <cellStyle name="Normal 44 2 2" xfId="5998"/>
    <cellStyle name="Normal 44 2 3" xfId="5999"/>
    <cellStyle name="Normal 442" xfId="6000"/>
    <cellStyle name="Normal 442 2" xfId="6001"/>
    <cellStyle name="Normal 443" xfId="6002"/>
    <cellStyle name="Normal 443 2" xfId="6003"/>
    <cellStyle name="Normal 443 2 2" xfId="6004"/>
    <cellStyle name="Normal 443 2 3" xfId="6005"/>
    <cellStyle name="Normal 443 3" xfId="6006"/>
    <cellStyle name="Normal 443 4" xfId="6007"/>
    <cellStyle name="Normal 444" xfId="6008"/>
    <cellStyle name="Normal 444 2" xfId="6009"/>
    <cellStyle name="Normal 444 2 2" xfId="6010"/>
    <cellStyle name="Normal 444 2 3" xfId="6011"/>
    <cellStyle name="Normal 444 3" xfId="6012"/>
    <cellStyle name="Normal 444 4" xfId="6013"/>
    <cellStyle name="Normal 445" xfId="6014"/>
    <cellStyle name="Normal 445 2" xfId="6015"/>
    <cellStyle name="Normal 445 2 2" xfId="6016"/>
    <cellStyle name="Normal 445 2 3" xfId="6017"/>
    <cellStyle name="Normal 445 3" xfId="6018"/>
    <cellStyle name="Normal 445 4" xfId="6019"/>
    <cellStyle name="Normal 446" xfId="6020"/>
    <cellStyle name="Normal 446 2" xfId="6021"/>
    <cellStyle name="Normal 447" xfId="6022"/>
    <cellStyle name="Normal 447 2" xfId="6023"/>
    <cellStyle name="Normal 447 2 2" xfId="6024"/>
    <cellStyle name="Normal 447 2 3" xfId="6025"/>
    <cellStyle name="Normal 447 3" xfId="6026"/>
    <cellStyle name="Normal 447 4" xfId="6027"/>
    <cellStyle name="Normal 448" xfId="6028"/>
    <cellStyle name="Normal 448 2" xfId="6029"/>
    <cellStyle name="Normal 448 2 2" xfId="6030"/>
    <cellStyle name="Normal 448 2 3" xfId="6031"/>
    <cellStyle name="Normal 448 3" xfId="6032"/>
    <cellStyle name="Normal 448 4" xfId="6033"/>
    <cellStyle name="Normal 449" xfId="6034"/>
    <cellStyle name="Normal 449 2" xfId="6035"/>
    <cellStyle name="Normal 449 2 2" xfId="6036"/>
    <cellStyle name="Normal 449 2 3" xfId="6037"/>
    <cellStyle name="Normal 449 3" xfId="6038"/>
    <cellStyle name="Normal 449 4" xfId="6039"/>
    <cellStyle name="Normal 45" xfId="6040"/>
    <cellStyle name="Normal 45 2" xfId="6041"/>
    <cellStyle name="Normal 45 2 2" xfId="6042"/>
    <cellStyle name="Normal 45 2 3" xfId="6043"/>
    <cellStyle name="Normal 450" xfId="6044"/>
    <cellStyle name="Normal 450 2" xfId="6045"/>
    <cellStyle name="Normal 450 2 2" xfId="6046"/>
    <cellStyle name="Normal 450 2 3" xfId="6047"/>
    <cellStyle name="Normal 450 3" xfId="6048"/>
    <cellStyle name="Normal 450 4" xfId="6049"/>
    <cellStyle name="Normal 451" xfId="6050"/>
    <cellStyle name="Normal 451 2" xfId="6051"/>
    <cellStyle name="Normal 451 2 2" xfId="6052"/>
    <cellStyle name="Normal 451 2 3" xfId="6053"/>
    <cellStyle name="Normal 451 3" xfId="6054"/>
    <cellStyle name="Normal 451 4" xfId="6055"/>
    <cellStyle name="Normal 452" xfId="6056"/>
    <cellStyle name="Normal 452 2" xfId="6057"/>
    <cellStyle name="Normal 452 2 2" xfId="6058"/>
    <cellStyle name="Normal 452 2 3" xfId="6059"/>
    <cellStyle name="Normal 452 3" xfId="6060"/>
    <cellStyle name="Normal 452 4" xfId="6061"/>
    <cellStyle name="Normal 453" xfId="6062"/>
    <cellStyle name="Normal 454" xfId="6063"/>
    <cellStyle name="Normal 455" xfId="6064"/>
    <cellStyle name="Normal 455 2" xfId="6065"/>
    <cellStyle name="Normal 456" xfId="6066"/>
    <cellStyle name="Normal 456 2" xfId="6067"/>
    <cellStyle name="Normal 457" xfId="6068"/>
    <cellStyle name="Normal 457 2" xfId="6069"/>
    <cellStyle name="Normal 458" xfId="6070"/>
    <cellStyle name="Normal 458 2" xfId="6071"/>
    <cellStyle name="Normal 459" xfId="6072"/>
    <cellStyle name="Normal 459 2" xfId="6073"/>
    <cellStyle name="Normal 46" xfId="6074"/>
    <cellStyle name="Normal 46 2" xfId="6075"/>
    <cellStyle name="Normal 46 2 2" xfId="6076"/>
    <cellStyle name="Normal 46 2 3" xfId="6077"/>
    <cellStyle name="Normal 460" xfId="6078"/>
    <cellStyle name="Normal 460 2" xfId="6079"/>
    <cellStyle name="Normal 461" xfId="6080"/>
    <cellStyle name="Normal 461 2" xfId="6081"/>
    <cellStyle name="Normal 462" xfId="6082"/>
    <cellStyle name="Normal 462 2" xfId="6083"/>
    <cellStyle name="Normal 463" xfId="6084"/>
    <cellStyle name="Normal 463 2" xfId="6085"/>
    <cellStyle name="Normal 464" xfId="6086"/>
    <cellStyle name="Normal 464 2" xfId="6087"/>
    <cellStyle name="Normal 465" xfId="6088"/>
    <cellStyle name="Normal 465 2" xfId="6089"/>
    <cellStyle name="Normal 47" xfId="6090"/>
    <cellStyle name="Normal 47 2" xfId="6091"/>
    <cellStyle name="Normal 47 2 2" xfId="6092"/>
    <cellStyle name="Normal 47 2 3" xfId="6093"/>
    <cellStyle name="Normal 471" xfId="6094"/>
    <cellStyle name="Normal 471 2" xfId="6095"/>
    <cellStyle name="Normal 472" xfId="6096"/>
    <cellStyle name="Normal 472 2" xfId="6097"/>
    <cellStyle name="Normal 473" xfId="6098"/>
    <cellStyle name="Normal 473 2" xfId="6099"/>
    <cellStyle name="Normal 474" xfId="6100"/>
    <cellStyle name="Normal 474 2" xfId="6101"/>
    <cellStyle name="Normal 475" xfId="6102"/>
    <cellStyle name="Normal 475 2" xfId="6103"/>
    <cellStyle name="Normal 476" xfId="6104"/>
    <cellStyle name="Normal 476 2" xfId="6105"/>
    <cellStyle name="Normal 478" xfId="6106"/>
    <cellStyle name="Normal 478 2" xfId="6107"/>
    <cellStyle name="Normal 479" xfId="6108"/>
    <cellStyle name="Normal 479 2" xfId="6109"/>
    <cellStyle name="Normal 48" xfId="6110"/>
    <cellStyle name="Normal 48 2" xfId="6111"/>
    <cellStyle name="Normal 48 2 2" xfId="6112"/>
    <cellStyle name="Normal 48 2 3" xfId="6113"/>
    <cellStyle name="Normal 480" xfId="6114"/>
    <cellStyle name="Normal 480 2" xfId="6115"/>
    <cellStyle name="Normal 481" xfId="6116"/>
    <cellStyle name="Normal 481 2" xfId="6117"/>
    <cellStyle name="Normal 482" xfId="6118"/>
    <cellStyle name="Normal 482 2" xfId="6119"/>
    <cellStyle name="Normal 483" xfId="6120"/>
    <cellStyle name="Normal 483 2" xfId="6121"/>
    <cellStyle name="Normal 484" xfId="6122"/>
    <cellStyle name="Normal 484 2" xfId="6123"/>
    <cellStyle name="Normal 485" xfId="6124"/>
    <cellStyle name="Normal 485 2" xfId="6125"/>
    <cellStyle name="Normal 486" xfId="6126"/>
    <cellStyle name="Normal 486 2" xfId="6127"/>
    <cellStyle name="Normal 487" xfId="6128"/>
    <cellStyle name="Normal 487 2" xfId="6129"/>
    <cellStyle name="Normal 488" xfId="6130"/>
    <cellStyle name="Normal 488 2" xfId="6131"/>
    <cellStyle name="Normal 489" xfId="6132"/>
    <cellStyle name="Normal 489 2" xfId="6133"/>
    <cellStyle name="Normal 49" xfId="6134"/>
    <cellStyle name="Normal 49 2" xfId="6135"/>
    <cellStyle name="Normal 49 2 2" xfId="6136"/>
    <cellStyle name="Normal 49 2 3" xfId="6137"/>
    <cellStyle name="Normal 490" xfId="6138"/>
    <cellStyle name="Normal 490 2" xfId="6139"/>
    <cellStyle name="Normal 491" xfId="6140"/>
    <cellStyle name="Normal 491 2" xfId="6141"/>
    <cellStyle name="Normal 492" xfId="6142"/>
    <cellStyle name="Normal 492 2" xfId="6143"/>
    <cellStyle name="Normal 493" xfId="6144"/>
    <cellStyle name="Normal 493 2" xfId="6145"/>
    <cellStyle name="Normal 494" xfId="6146"/>
    <cellStyle name="Normal 494 2" xfId="6147"/>
    <cellStyle name="Normal 495" xfId="6148"/>
    <cellStyle name="Normal 495 2" xfId="6149"/>
    <cellStyle name="Normal 496" xfId="6150"/>
    <cellStyle name="Normal 496 2" xfId="6151"/>
    <cellStyle name="Normal 497" xfId="6152"/>
    <cellStyle name="Normal 497 2" xfId="6153"/>
    <cellStyle name="Normal 498" xfId="6154"/>
    <cellStyle name="Normal 498 2" xfId="6155"/>
    <cellStyle name="Normal 499" xfId="6156"/>
    <cellStyle name="Normal 5" xfId="132"/>
    <cellStyle name="Normal 5 10" xfId="6157"/>
    <cellStyle name="Normal 5 11" xfId="6158"/>
    <cellStyle name="Normal 5 12" xfId="6159"/>
    <cellStyle name="Normal 5 13" xfId="6160"/>
    <cellStyle name="Normal 5 2" xfId="133"/>
    <cellStyle name="Normal 5 2 2" xfId="6161"/>
    <cellStyle name="Normal 5 2 3" xfId="6162"/>
    <cellStyle name="Normal 5 3" xfId="6163"/>
    <cellStyle name="Normal 5 4" xfId="6164"/>
    <cellStyle name="Normal 5 5" xfId="6165"/>
    <cellStyle name="Normal 5 6" xfId="6166"/>
    <cellStyle name="Normal 5 7" xfId="6167"/>
    <cellStyle name="Normal 5 8" xfId="6168"/>
    <cellStyle name="Normal 5 9" xfId="6169"/>
    <cellStyle name="Normal 50" xfId="6170"/>
    <cellStyle name="Normal 50 2" xfId="6171"/>
    <cellStyle name="Normal 50 2 2" xfId="6172"/>
    <cellStyle name="Normal 50 2 3" xfId="6173"/>
    <cellStyle name="Normal 500" xfId="6174"/>
    <cellStyle name="Normal 500 2" xfId="6175"/>
    <cellStyle name="Normal 501" xfId="6176"/>
    <cellStyle name="Normal 501 2" xfId="6177"/>
    <cellStyle name="Normal 502" xfId="6178"/>
    <cellStyle name="Normal 502 2" xfId="6179"/>
    <cellStyle name="Normal 503" xfId="6180"/>
    <cellStyle name="Normal 503 2" xfId="6181"/>
    <cellStyle name="Normal 504" xfId="6182"/>
    <cellStyle name="Normal 504 2" xfId="6183"/>
    <cellStyle name="Normal 508" xfId="6184"/>
    <cellStyle name="Normal 509" xfId="6185"/>
    <cellStyle name="Normal 509 2" xfId="6186"/>
    <cellStyle name="Normal 51" xfId="6187"/>
    <cellStyle name="Normal 51 2" xfId="6188"/>
    <cellStyle name="Normal 51 2 2" xfId="6189"/>
    <cellStyle name="Normal 51 2 3" xfId="6190"/>
    <cellStyle name="Normal 519" xfId="6191"/>
    <cellStyle name="Normal 519 2" xfId="6192"/>
    <cellStyle name="Normal 52" xfId="6193"/>
    <cellStyle name="Normal 52 2" xfId="6194"/>
    <cellStyle name="Normal 52 2 2" xfId="6195"/>
    <cellStyle name="Normal 52 2 3" xfId="6196"/>
    <cellStyle name="Normal 520" xfId="6197"/>
    <cellStyle name="Normal 520 2" xfId="6198"/>
    <cellStyle name="Normal 521" xfId="6199"/>
    <cellStyle name="Normal 521 2" xfId="6200"/>
    <cellStyle name="Normal 522" xfId="6201"/>
    <cellStyle name="Normal 522 2" xfId="6202"/>
    <cellStyle name="Normal 523" xfId="6203"/>
    <cellStyle name="Normal 523 2" xfId="6204"/>
    <cellStyle name="Normal 524" xfId="6205"/>
    <cellStyle name="Normal 524 2" xfId="6206"/>
    <cellStyle name="Normal 525" xfId="6207"/>
    <cellStyle name="Normal 525 2" xfId="6208"/>
    <cellStyle name="Normal 526" xfId="6209"/>
    <cellStyle name="Normal 526 2" xfId="6210"/>
    <cellStyle name="Normal 527" xfId="6211"/>
    <cellStyle name="Normal 527 2" xfId="6212"/>
    <cellStyle name="Normal 528" xfId="6213"/>
    <cellStyle name="Normal 528 2" xfId="6214"/>
    <cellStyle name="Normal 529" xfId="6215"/>
    <cellStyle name="Normal 529 2" xfId="6216"/>
    <cellStyle name="Normal 53" xfId="6217"/>
    <cellStyle name="Normal 53 2" xfId="6218"/>
    <cellStyle name="Normal 53 3" xfId="6219"/>
    <cellStyle name="Normal 53 3 2" xfId="6220"/>
    <cellStyle name="Normal 53 3 3" xfId="6221"/>
    <cellStyle name="Normal 530" xfId="6222"/>
    <cellStyle name="Normal 530 2" xfId="6223"/>
    <cellStyle name="Normal 531" xfId="6224"/>
    <cellStyle name="Normal 531 2" xfId="6225"/>
    <cellStyle name="Normal 532" xfId="6226"/>
    <cellStyle name="Normal 532 2" xfId="6227"/>
    <cellStyle name="Normal 533" xfId="6228"/>
    <cellStyle name="Normal 533 2" xfId="6229"/>
    <cellStyle name="Normal 534" xfId="6230"/>
    <cellStyle name="Normal 534 2" xfId="6231"/>
    <cellStyle name="Normal 535" xfId="6232"/>
    <cellStyle name="Normal 535 2" xfId="6233"/>
    <cellStyle name="Normal 536" xfId="6234"/>
    <cellStyle name="Normal 536 2" xfId="6235"/>
    <cellStyle name="Normal 538" xfId="6236"/>
    <cellStyle name="Normal 538 2" xfId="6237"/>
    <cellStyle name="Normal 539" xfId="6238"/>
    <cellStyle name="Normal 539 2" xfId="6239"/>
    <cellStyle name="Normal 54" xfId="6240"/>
    <cellStyle name="Normal 54 2" xfId="6241"/>
    <cellStyle name="Normal 54 3" xfId="6242"/>
    <cellStyle name="Normal 54 3 2" xfId="6243"/>
    <cellStyle name="Normal 54 3 3" xfId="6244"/>
    <cellStyle name="Normal 540" xfId="6245"/>
    <cellStyle name="Normal 540 2" xfId="6246"/>
    <cellStyle name="Normal 541" xfId="6247"/>
    <cellStyle name="Normal 541 2" xfId="6248"/>
    <cellStyle name="Normal 542" xfId="6249"/>
    <cellStyle name="Normal 542 2" xfId="6250"/>
    <cellStyle name="Normal 543" xfId="6251"/>
    <cellStyle name="Normal 543 2" xfId="6252"/>
    <cellStyle name="Normal 544" xfId="6253"/>
    <cellStyle name="Normal 544 2" xfId="6254"/>
    <cellStyle name="Normal 545" xfId="6255"/>
    <cellStyle name="Normal 545 2" xfId="6256"/>
    <cellStyle name="Normal 546" xfId="6257"/>
    <cellStyle name="Normal 546 2" xfId="6258"/>
    <cellStyle name="Normal 547" xfId="6259"/>
    <cellStyle name="Normal 547 2" xfId="6260"/>
    <cellStyle name="Normal 548" xfId="6261"/>
    <cellStyle name="Normal 548 2" xfId="6262"/>
    <cellStyle name="Normal 549" xfId="6263"/>
    <cellStyle name="Normal 549 2" xfId="6264"/>
    <cellStyle name="Normal 55" xfId="6265"/>
    <cellStyle name="Normal 55 2" xfId="6266"/>
    <cellStyle name="Normal 55 3" xfId="6267"/>
    <cellStyle name="Normal 55 3 2" xfId="6268"/>
    <cellStyle name="Normal 55 3 3" xfId="6269"/>
    <cellStyle name="Normal 550" xfId="6270"/>
    <cellStyle name="Normal 550 2" xfId="6271"/>
    <cellStyle name="Normal 552" xfId="6272"/>
    <cellStyle name="Normal 552 2" xfId="6273"/>
    <cellStyle name="Normal 553" xfId="6274"/>
    <cellStyle name="Normal 553 2" xfId="6275"/>
    <cellStyle name="Normal 554" xfId="6276"/>
    <cellStyle name="Normal 554 2" xfId="6277"/>
    <cellStyle name="Normal 555" xfId="6278"/>
    <cellStyle name="Normal 555 2" xfId="6279"/>
    <cellStyle name="Normal 556" xfId="6280"/>
    <cellStyle name="Normal 556 2" xfId="6281"/>
    <cellStyle name="Normal 557" xfId="6282"/>
    <cellStyle name="Normal 557 2" xfId="6283"/>
    <cellStyle name="Normal 558" xfId="6284"/>
    <cellStyle name="Normal 558 2" xfId="6285"/>
    <cellStyle name="Normal 559" xfId="6286"/>
    <cellStyle name="Normal 559 2" xfId="6287"/>
    <cellStyle name="Normal 56" xfId="6288"/>
    <cellStyle name="Normal 56 2" xfId="6289"/>
    <cellStyle name="Normal 56 3" xfId="6290"/>
    <cellStyle name="Normal 56 3 2" xfId="6291"/>
    <cellStyle name="Normal 56 3 3" xfId="6292"/>
    <cellStyle name="Normal 561" xfId="6293"/>
    <cellStyle name="Normal 561 2" xfId="6294"/>
    <cellStyle name="Normal 562" xfId="6295"/>
    <cellStyle name="Normal 562 2" xfId="6296"/>
    <cellStyle name="Normal 563" xfId="6297"/>
    <cellStyle name="Normal 563 2" xfId="6298"/>
    <cellStyle name="Normal 564" xfId="6299"/>
    <cellStyle name="Normal 564 2" xfId="6300"/>
    <cellStyle name="Normal 565" xfId="6301"/>
    <cellStyle name="Normal 565 2" xfId="6302"/>
    <cellStyle name="Normal 566" xfId="6303"/>
    <cellStyle name="Normal 566 2" xfId="6304"/>
    <cellStyle name="Normal 567" xfId="6305"/>
    <cellStyle name="Normal 567 2" xfId="6306"/>
    <cellStyle name="Normal 568" xfId="6307"/>
    <cellStyle name="Normal 568 2" xfId="6308"/>
    <cellStyle name="Normal 569" xfId="6309"/>
    <cellStyle name="Normal 569 2" xfId="6310"/>
    <cellStyle name="Normal 57" xfId="6311"/>
    <cellStyle name="Normal 57 2" xfId="6312"/>
    <cellStyle name="Normal 57 2 2" xfId="6313"/>
    <cellStyle name="Normal 57 2 3" xfId="6314"/>
    <cellStyle name="Normal 57 3" xfId="6315"/>
    <cellStyle name="Normal 57 3 2" xfId="6316"/>
    <cellStyle name="Normal 57 3 3" xfId="6317"/>
    <cellStyle name="Normal 57 4" xfId="6318"/>
    <cellStyle name="Normal 57 5" xfId="6319"/>
    <cellStyle name="Normal 570" xfId="6320"/>
    <cellStyle name="Normal 570 2" xfId="6321"/>
    <cellStyle name="Normal 571" xfId="6322"/>
    <cellStyle name="Normal 571 2" xfId="6323"/>
    <cellStyle name="Normal 572" xfId="6324"/>
    <cellStyle name="Normal 572 2" xfId="6325"/>
    <cellStyle name="Normal 573" xfId="6326"/>
    <cellStyle name="Normal 573 2" xfId="6327"/>
    <cellStyle name="Normal 575" xfId="6328"/>
    <cellStyle name="Normal 575 2" xfId="6329"/>
    <cellStyle name="Normal 576" xfId="6330"/>
    <cellStyle name="Normal 576 2" xfId="6331"/>
    <cellStyle name="Normal 577" xfId="6332"/>
    <cellStyle name="Normal 577 2" xfId="6333"/>
    <cellStyle name="Normal 579" xfId="6334"/>
    <cellStyle name="Normal 579 2" xfId="6335"/>
    <cellStyle name="Normal 58" xfId="6336"/>
    <cellStyle name="Normal 58 2" xfId="6337"/>
    <cellStyle name="Normal 58 3" xfId="6338"/>
    <cellStyle name="Normal 58 3 2" xfId="6339"/>
    <cellStyle name="Normal 58 3 3" xfId="6340"/>
    <cellStyle name="Normal 580" xfId="6341"/>
    <cellStyle name="Normal 580 2" xfId="6342"/>
    <cellStyle name="Normal 583" xfId="6343"/>
    <cellStyle name="Normal 583 2" xfId="6344"/>
    <cellStyle name="Normal 585" xfId="6345"/>
    <cellStyle name="Normal 585 2" xfId="6346"/>
    <cellStyle name="Normal 586" xfId="6347"/>
    <cellStyle name="Normal 586 2" xfId="6348"/>
    <cellStyle name="Normal 587" xfId="6349"/>
    <cellStyle name="Normal 587 2" xfId="6350"/>
    <cellStyle name="Normal 588" xfId="6351"/>
    <cellStyle name="Normal 588 2" xfId="6352"/>
    <cellStyle name="Normal 589" xfId="6353"/>
    <cellStyle name="Normal 589 2" xfId="6354"/>
    <cellStyle name="Normal 59" xfId="6355"/>
    <cellStyle name="Normal 59 2" xfId="6356"/>
    <cellStyle name="Normal 59 3" xfId="6357"/>
    <cellStyle name="Normal 590" xfId="6358"/>
    <cellStyle name="Normal 590 2" xfId="6359"/>
    <cellStyle name="Normal 591" xfId="6360"/>
    <cellStyle name="Normal 591 2" xfId="6361"/>
    <cellStyle name="Normal 592" xfId="6362"/>
    <cellStyle name="Normal 592 2" xfId="6363"/>
    <cellStyle name="Normal 593" xfId="6364"/>
    <cellStyle name="Normal 593 2" xfId="6365"/>
    <cellStyle name="Normal 594" xfId="6366"/>
    <cellStyle name="Normal 594 2" xfId="6367"/>
    <cellStyle name="Normal 595" xfId="6368"/>
    <cellStyle name="Normal 595 2" xfId="6369"/>
    <cellStyle name="Normal 596" xfId="6370"/>
    <cellStyle name="Normal 596 2" xfId="6371"/>
    <cellStyle name="Normal 597" xfId="6372"/>
    <cellStyle name="Normal 597 2" xfId="6373"/>
    <cellStyle name="Normal 598" xfId="6374"/>
    <cellStyle name="Normal 598 2" xfId="6375"/>
    <cellStyle name="Normal 599" xfId="6376"/>
    <cellStyle name="Normal 599 2" xfId="6377"/>
    <cellStyle name="Normal 6" xfId="134"/>
    <cellStyle name="Normal 6 10" xfId="6378"/>
    <cellStyle name="Normal 6 10 2" xfId="6379"/>
    <cellStyle name="Normal 6 10 3" xfId="6380"/>
    <cellStyle name="Normal 6 100" xfId="6381"/>
    <cellStyle name="Normal 6 100 2" xfId="6382"/>
    <cellStyle name="Normal 6 100 3" xfId="6383"/>
    <cellStyle name="Normal 6 101" xfId="6384"/>
    <cellStyle name="Normal 6 101 2" xfId="6385"/>
    <cellStyle name="Normal 6 101 3" xfId="6386"/>
    <cellStyle name="Normal 6 102" xfId="6387"/>
    <cellStyle name="Normal 6 102 2" xfId="6388"/>
    <cellStyle name="Normal 6 102 3" xfId="6389"/>
    <cellStyle name="Normal 6 103" xfId="6390"/>
    <cellStyle name="Normal 6 103 2" xfId="6391"/>
    <cellStyle name="Normal 6 103 3" xfId="6392"/>
    <cellStyle name="Normal 6 104" xfId="6393"/>
    <cellStyle name="Normal 6 104 2" xfId="6394"/>
    <cellStyle name="Normal 6 104 3" xfId="6395"/>
    <cellStyle name="Normal 6 105" xfId="6396"/>
    <cellStyle name="Normal 6 105 2" xfId="6397"/>
    <cellStyle name="Normal 6 105 3" xfId="6398"/>
    <cellStyle name="Normal 6 106" xfId="6399"/>
    <cellStyle name="Normal 6 106 2" xfId="6400"/>
    <cellStyle name="Normal 6 106 3" xfId="6401"/>
    <cellStyle name="Normal 6 107" xfId="6402"/>
    <cellStyle name="Normal 6 107 2" xfId="6403"/>
    <cellStyle name="Normal 6 107 3" xfId="6404"/>
    <cellStyle name="Normal 6 108" xfId="6405"/>
    <cellStyle name="Normal 6 108 2" xfId="6406"/>
    <cellStyle name="Normal 6 108 3" xfId="6407"/>
    <cellStyle name="Normal 6 109" xfId="6408"/>
    <cellStyle name="Normal 6 109 2" xfId="6409"/>
    <cellStyle name="Normal 6 109 3" xfId="6410"/>
    <cellStyle name="Normal 6 11" xfId="6411"/>
    <cellStyle name="Normal 6 11 2" xfId="6412"/>
    <cellStyle name="Normal 6 11 3" xfId="6413"/>
    <cellStyle name="Normal 6 110" xfId="6414"/>
    <cellStyle name="Normal 6 110 2" xfId="6415"/>
    <cellStyle name="Normal 6 110 3" xfId="6416"/>
    <cellStyle name="Normal 6 111" xfId="6417"/>
    <cellStyle name="Normal 6 111 2" xfId="6418"/>
    <cellStyle name="Normal 6 111 3" xfId="6419"/>
    <cellStyle name="Normal 6 112" xfId="6420"/>
    <cellStyle name="Normal 6 112 2" xfId="6421"/>
    <cellStyle name="Normal 6 112 3" xfId="6422"/>
    <cellStyle name="Normal 6 113" xfId="6423"/>
    <cellStyle name="Normal 6 113 2" xfId="6424"/>
    <cellStyle name="Normal 6 113 3" xfId="6425"/>
    <cellStyle name="Normal 6 114" xfId="6426"/>
    <cellStyle name="Normal 6 114 2" xfId="6427"/>
    <cellStyle name="Normal 6 114 3" xfId="6428"/>
    <cellStyle name="Normal 6 115" xfId="6429"/>
    <cellStyle name="Normal 6 115 2" xfId="6430"/>
    <cellStyle name="Normal 6 115 3" xfId="6431"/>
    <cellStyle name="Normal 6 116" xfId="6432"/>
    <cellStyle name="Normal 6 116 2" xfId="6433"/>
    <cellStyle name="Normal 6 116 3" xfId="6434"/>
    <cellStyle name="Normal 6 117" xfId="6435"/>
    <cellStyle name="Normal 6 117 2" xfId="6436"/>
    <cellStyle name="Normal 6 117 3" xfId="6437"/>
    <cellStyle name="Normal 6 118" xfId="6438"/>
    <cellStyle name="Normal 6 118 2" xfId="6439"/>
    <cellStyle name="Normal 6 118 3" xfId="6440"/>
    <cellStyle name="Normal 6 119" xfId="6441"/>
    <cellStyle name="Normal 6 119 2" xfId="6442"/>
    <cellStyle name="Normal 6 119 3" xfId="6443"/>
    <cellStyle name="Normal 6 12" xfId="6444"/>
    <cellStyle name="Normal 6 12 2" xfId="6445"/>
    <cellStyle name="Normal 6 12 3" xfId="6446"/>
    <cellStyle name="Normal 6 120" xfId="6447"/>
    <cellStyle name="Normal 6 120 2" xfId="6448"/>
    <cellStyle name="Normal 6 120 3" xfId="6449"/>
    <cellStyle name="Normal 6 121" xfId="6450"/>
    <cellStyle name="Normal 6 121 2" xfId="6451"/>
    <cellStyle name="Normal 6 121 3" xfId="6452"/>
    <cellStyle name="Normal 6 122" xfId="6453"/>
    <cellStyle name="Normal 6 122 2" xfId="6454"/>
    <cellStyle name="Normal 6 122 3" xfId="6455"/>
    <cellStyle name="Normal 6 123" xfId="6456"/>
    <cellStyle name="Normal 6 123 2" xfId="6457"/>
    <cellStyle name="Normal 6 123 3" xfId="6458"/>
    <cellStyle name="Normal 6 124" xfId="6459"/>
    <cellStyle name="Normal 6 124 2" xfId="6460"/>
    <cellStyle name="Normal 6 124 3" xfId="6461"/>
    <cellStyle name="Normal 6 125" xfId="6462"/>
    <cellStyle name="Normal 6 125 2" xfId="6463"/>
    <cellStyle name="Normal 6 125 3" xfId="6464"/>
    <cellStyle name="Normal 6 126" xfId="6465"/>
    <cellStyle name="Normal 6 126 2" xfId="6466"/>
    <cellStyle name="Normal 6 126 3" xfId="6467"/>
    <cellStyle name="Normal 6 127" xfId="6468"/>
    <cellStyle name="Normal 6 127 2" xfId="6469"/>
    <cellStyle name="Normal 6 127 3" xfId="6470"/>
    <cellStyle name="Normal 6 128" xfId="6471"/>
    <cellStyle name="Normal 6 128 2" xfId="6472"/>
    <cellStyle name="Normal 6 128 3" xfId="6473"/>
    <cellStyle name="Normal 6 129" xfId="6474"/>
    <cellStyle name="Normal 6 129 2" xfId="6475"/>
    <cellStyle name="Normal 6 129 3" xfId="6476"/>
    <cellStyle name="Normal 6 13" xfId="6477"/>
    <cellStyle name="Normal 6 13 2" xfId="6478"/>
    <cellStyle name="Normal 6 13 3" xfId="6479"/>
    <cellStyle name="Normal 6 130" xfId="6480"/>
    <cellStyle name="Normal 6 130 2" xfId="6481"/>
    <cellStyle name="Normal 6 130 3" xfId="6482"/>
    <cellStyle name="Normal 6 131" xfId="6483"/>
    <cellStyle name="Normal 6 131 2" xfId="6484"/>
    <cellStyle name="Normal 6 131 3" xfId="6485"/>
    <cellStyle name="Normal 6 132" xfId="6486"/>
    <cellStyle name="Normal 6 133" xfId="6487"/>
    <cellStyle name="Normal 6 134" xfId="6488"/>
    <cellStyle name="Normal 6 135" xfId="6489"/>
    <cellStyle name="Normal 6 136" xfId="6490"/>
    <cellStyle name="Normal 6 136 2" xfId="6491"/>
    <cellStyle name="Normal 6 136 2 2" xfId="6492"/>
    <cellStyle name="Normal 6 136 2 3" xfId="6493"/>
    <cellStyle name="Normal 6 136 3" xfId="6494"/>
    <cellStyle name="Normal 6 136 3 2" xfId="6495"/>
    <cellStyle name="Normal 6 136 3 3" xfId="6496"/>
    <cellStyle name="Normal 6 136 4" xfId="6497"/>
    <cellStyle name="Normal 6 136 4 2" xfId="6498"/>
    <cellStyle name="Normal 6 136 4 3" xfId="6499"/>
    <cellStyle name="Normal 6 137" xfId="6500"/>
    <cellStyle name="Normal 6 138" xfId="6501"/>
    <cellStyle name="Normal 6 139" xfId="6502"/>
    <cellStyle name="Normal 6 139 2" xfId="6503"/>
    <cellStyle name="Normal 6 139 3" xfId="6504"/>
    <cellStyle name="Normal 6 14" xfId="6505"/>
    <cellStyle name="Normal 6 14 2" xfId="6506"/>
    <cellStyle name="Normal 6 14 3" xfId="6507"/>
    <cellStyle name="Normal 6 140" xfId="6508"/>
    <cellStyle name="Normal 6 140 2" xfId="6509"/>
    <cellStyle name="Normal 6 140 3" xfId="6510"/>
    <cellStyle name="Normal 6 141" xfId="6511"/>
    <cellStyle name="Normal 6 141 2" xfId="6512"/>
    <cellStyle name="Normal 6 141 3" xfId="6513"/>
    <cellStyle name="Normal 6 142" xfId="6514"/>
    <cellStyle name="Normal 6 142 2" xfId="6515"/>
    <cellStyle name="Normal 6 142 3" xfId="6516"/>
    <cellStyle name="Normal 6 143" xfId="6517"/>
    <cellStyle name="Normal 6 143 2" xfId="6518"/>
    <cellStyle name="Normal 6 143 3" xfId="6519"/>
    <cellStyle name="Normal 6 144" xfId="6520"/>
    <cellStyle name="Normal 6 144 2" xfId="6521"/>
    <cellStyle name="Normal 6 144 3" xfId="6522"/>
    <cellStyle name="Normal 6 145" xfId="6523"/>
    <cellStyle name="Normal 6 145 2" xfId="6524"/>
    <cellStyle name="Normal 6 145 3" xfId="6525"/>
    <cellStyle name="Normal 6 146" xfId="6526"/>
    <cellStyle name="Normal 6 146 2" xfId="6527"/>
    <cellStyle name="Normal 6 146 3" xfId="6528"/>
    <cellStyle name="Normal 6 147" xfId="6529"/>
    <cellStyle name="Normal 6 147 2" xfId="6530"/>
    <cellStyle name="Normal 6 147 3" xfId="6531"/>
    <cellStyle name="Normal 6 148" xfId="6532"/>
    <cellStyle name="Normal 6 148 2" xfId="6533"/>
    <cellStyle name="Normal 6 148 3" xfId="6534"/>
    <cellStyle name="Normal 6 149" xfId="6535"/>
    <cellStyle name="Normal 6 149 2" xfId="6536"/>
    <cellStyle name="Normal 6 149 3" xfId="6537"/>
    <cellStyle name="Normal 6 15" xfId="6538"/>
    <cellStyle name="Normal 6 15 2" xfId="6539"/>
    <cellStyle name="Normal 6 15 3" xfId="6540"/>
    <cellStyle name="Normal 6 150" xfId="6541"/>
    <cellStyle name="Normal 6 150 2" xfId="6542"/>
    <cellStyle name="Normal 6 150 3" xfId="6543"/>
    <cellStyle name="Normal 6 151" xfId="6544"/>
    <cellStyle name="Normal 6 151 2" xfId="6545"/>
    <cellStyle name="Normal 6 151 3" xfId="6546"/>
    <cellStyle name="Normal 6 152" xfId="6547"/>
    <cellStyle name="Normal 6 152 2" xfId="6548"/>
    <cellStyle name="Normal 6 152 3" xfId="6549"/>
    <cellStyle name="Normal 6 153" xfId="6550"/>
    <cellStyle name="Normal 6 153 2" xfId="6551"/>
    <cellStyle name="Normal 6 153 3" xfId="6552"/>
    <cellStyle name="Normal 6 154" xfId="6553"/>
    <cellStyle name="Normal 6 154 2" xfId="6554"/>
    <cellStyle name="Normal 6 154 3" xfId="6555"/>
    <cellStyle name="Normal 6 155" xfId="6556"/>
    <cellStyle name="Normal 6 155 2" xfId="6557"/>
    <cellStyle name="Normal 6 155 3" xfId="6558"/>
    <cellStyle name="Normal 6 156" xfId="6559"/>
    <cellStyle name="Normal 6 156 2" xfId="6560"/>
    <cellStyle name="Normal 6 156 3" xfId="6561"/>
    <cellStyle name="Normal 6 157" xfId="6562"/>
    <cellStyle name="Normal 6 157 2" xfId="6563"/>
    <cellStyle name="Normal 6 157 3" xfId="6564"/>
    <cellStyle name="Normal 6 158" xfId="6565"/>
    <cellStyle name="Normal 6 158 2" xfId="6566"/>
    <cellStyle name="Normal 6 158 3" xfId="6567"/>
    <cellStyle name="Normal 6 159" xfId="6568"/>
    <cellStyle name="Normal 6 159 2" xfId="6569"/>
    <cellStyle name="Normal 6 159 3" xfId="6570"/>
    <cellStyle name="Normal 6 16" xfId="6571"/>
    <cellStyle name="Normal 6 16 2" xfId="6572"/>
    <cellStyle name="Normal 6 16 3" xfId="6573"/>
    <cellStyle name="Normal 6 160" xfId="6574"/>
    <cellStyle name="Normal 6 160 2" xfId="6575"/>
    <cellStyle name="Normal 6 160 3" xfId="6576"/>
    <cellStyle name="Normal 6 161" xfId="6577"/>
    <cellStyle name="Normal 6 161 2" xfId="6578"/>
    <cellStyle name="Normal 6 161 3" xfId="6579"/>
    <cellStyle name="Normal 6 162" xfId="6580"/>
    <cellStyle name="Normal 6 162 2" xfId="6581"/>
    <cellStyle name="Normal 6 162 3" xfId="6582"/>
    <cellStyle name="Normal 6 163" xfId="6583"/>
    <cellStyle name="Normal 6 163 2" xfId="6584"/>
    <cellStyle name="Normal 6 163 3" xfId="6585"/>
    <cellStyle name="Normal 6 164" xfId="6586"/>
    <cellStyle name="Normal 6 164 2" xfId="6587"/>
    <cellStyle name="Normal 6 164 3" xfId="6588"/>
    <cellStyle name="Normal 6 165" xfId="6589"/>
    <cellStyle name="Normal 6 165 2" xfId="6590"/>
    <cellStyle name="Normal 6 165 3" xfId="6591"/>
    <cellStyle name="Normal 6 166" xfId="6592"/>
    <cellStyle name="Normal 6 166 2" xfId="6593"/>
    <cellStyle name="Normal 6 166 3" xfId="6594"/>
    <cellStyle name="Normal 6 167" xfId="6595"/>
    <cellStyle name="Normal 6 167 2" xfId="6596"/>
    <cellStyle name="Normal 6 167 3" xfId="6597"/>
    <cellStyle name="Normal 6 168" xfId="6598"/>
    <cellStyle name="Normal 6 168 2" xfId="6599"/>
    <cellStyle name="Normal 6 168 3" xfId="6600"/>
    <cellStyle name="Normal 6 169" xfId="6601"/>
    <cellStyle name="Normal 6 169 2" xfId="6602"/>
    <cellStyle name="Normal 6 169 3" xfId="6603"/>
    <cellStyle name="Normal 6 17" xfId="6604"/>
    <cellStyle name="Normal 6 17 2" xfId="6605"/>
    <cellStyle name="Normal 6 17 3" xfId="6606"/>
    <cellStyle name="Normal 6 170" xfId="6607"/>
    <cellStyle name="Normal 6 170 2" xfId="6608"/>
    <cellStyle name="Normal 6 170 3" xfId="6609"/>
    <cellStyle name="Normal 6 171" xfId="6610"/>
    <cellStyle name="Normal 6 171 2" xfId="6611"/>
    <cellStyle name="Normal 6 171 3" xfId="6612"/>
    <cellStyle name="Normal 6 172" xfId="6613"/>
    <cellStyle name="Normal 6 172 2" xfId="6614"/>
    <cellStyle name="Normal 6 172 3" xfId="6615"/>
    <cellStyle name="Normal 6 173" xfId="6616"/>
    <cellStyle name="Normal 6 173 2" xfId="6617"/>
    <cellStyle name="Normal 6 173 3" xfId="6618"/>
    <cellStyle name="Normal 6 174" xfId="6619"/>
    <cellStyle name="Normal 6 174 2" xfId="6620"/>
    <cellStyle name="Normal 6 174 3" xfId="6621"/>
    <cellStyle name="Normal 6 175" xfId="6622"/>
    <cellStyle name="Normal 6 175 2" xfId="6623"/>
    <cellStyle name="Normal 6 175 3" xfId="6624"/>
    <cellStyle name="Normal 6 176" xfId="6625"/>
    <cellStyle name="Normal 6 176 2" xfId="6626"/>
    <cellStyle name="Normal 6 176 3" xfId="6627"/>
    <cellStyle name="Normal 6 177" xfId="6628"/>
    <cellStyle name="Normal 6 177 2" xfId="6629"/>
    <cellStyle name="Normal 6 177 3" xfId="6630"/>
    <cellStyle name="Normal 6 178" xfId="6631"/>
    <cellStyle name="Normal 6 178 2" xfId="6632"/>
    <cellStyle name="Normal 6 178 3" xfId="6633"/>
    <cellStyle name="Normal 6 179" xfId="6634"/>
    <cellStyle name="Normal 6 179 2" xfId="6635"/>
    <cellStyle name="Normal 6 179 3" xfId="6636"/>
    <cellStyle name="Normal 6 18" xfId="6637"/>
    <cellStyle name="Normal 6 18 2" xfId="6638"/>
    <cellStyle name="Normal 6 18 3" xfId="6639"/>
    <cellStyle name="Normal 6 180" xfId="6640"/>
    <cellStyle name="Normal 6 180 2" xfId="6641"/>
    <cellStyle name="Normal 6 180 3" xfId="6642"/>
    <cellStyle name="Normal 6 181" xfId="6643"/>
    <cellStyle name="Normal 6 181 2" xfId="6644"/>
    <cellStyle name="Normal 6 181 3" xfId="6645"/>
    <cellStyle name="Normal 6 182" xfId="6646"/>
    <cellStyle name="Normal 6 182 2" xfId="6647"/>
    <cellStyle name="Normal 6 182 3" xfId="6648"/>
    <cellStyle name="Normal 6 183" xfId="6649"/>
    <cellStyle name="Normal 6 183 2" xfId="6650"/>
    <cellStyle name="Normal 6 183 3" xfId="6651"/>
    <cellStyle name="Normal 6 184" xfId="6652"/>
    <cellStyle name="Normal 6 184 2" xfId="6653"/>
    <cellStyle name="Normal 6 184 3" xfId="6654"/>
    <cellStyle name="Normal 6 185" xfId="6655"/>
    <cellStyle name="Normal 6 185 2" xfId="6656"/>
    <cellStyle name="Normal 6 185 3" xfId="6657"/>
    <cellStyle name="Normal 6 186" xfId="6658"/>
    <cellStyle name="Normal 6 186 2" xfId="6659"/>
    <cellStyle name="Normal 6 186 3" xfId="6660"/>
    <cellStyle name="Normal 6 187" xfId="6661"/>
    <cellStyle name="Normal 6 187 2" xfId="6662"/>
    <cellStyle name="Normal 6 187 3" xfId="6663"/>
    <cellStyle name="Normal 6 188" xfId="6664"/>
    <cellStyle name="Normal 6 188 2" xfId="6665"/>
    <cellStyle name="Normal 6 188 3" xfId="6666"/>
    <cellStyle name="Normal 6 189" xfId="6667"/>
    <cellStyle name="Normal 6 189 2" xfId="6668"/>
    <cellStyle name="Normal 6 189 3" xfId="6669"/>
    <cellStyle name="Normal 6 19" xfId="6670"/>
    <cellStyle name="Normal 6 19 2" xfId="6671"/>
    <cellStyle name="Normal 6 19 3" xfId="6672"/>
    <cellStyle name="Normal 6 190" xfId="6673"/>
    <cellStyle name="Normal 6 190 2" xfId="6674"/>
    <cellStyle name="Normal 6 190 3" xfId="6675"/>
    <cellStyle name="Normal 6 191" xfId="6676"/>
    <cellStyle name="Normal 6 191 2" xfId="6677"/>
    <cellStyle name="Normal 6 191 3" xfId="6678"/>
    <cellStyle name="Normal 6 192" xfId="6679"/>
    <cellStyle name="Normal 6 192 2" xfId="6680"/>
    <cellStyle name="Normal 6 192 3" xfId="6681"/>
    <cellStyle name="Normal 6 193" xfId="6682"/>
    <cellStyle name="Normal 6 193 2" xfId="6683"/>
    <cellStyle name="Normal 6 193 3" xfId="6684"/>
    <cellStyle name="Normal 6 194" xfId="6685"/>
    <cellStyle name="Normal 6 194 2" xfId="6686"/>
    <cellStyle name="Normal 6 194 3" xfId="6687"/>
    <cellStyle name="Normal 6 195" xfId="6688"/>
    <cellStyle name="Normal 6 195 2" xfId="6689"/>
    <cellStyle name="Normal 6 195 3" xfId="6690"/>
    <cellStyle name="Normal 6 196" xfId="6691"/>
    <cellStyle name="Normal 6 196 2" xfId="6692"/>
    <cellStyle name="Normal 6 196 3" xfId="6693"/>
    <cellStyle name="Normal 6 197" xfId="6694"/>
    <cellStyle name="Normal 6 197 2" xfId="6695"/>
    <cellStyle name="Normal 6 197 3" xfId="6696"/>
    <cellStyle name="Normal 6 198" xfId="6697"/>
    <cellStyle name="Normal 6 198 2" xfId="6698"/>
    <cellStyle name="Normal 6 198 3" xfId="6699"/>
    <cellStyle name="Normal 6 199" xfId="6700"/>
    <cellStyle name="Normal 6 199 2" xfId="6701"/>
    <cellStyle name="Normal 6 199 3" xfId="6702"/>
    <cellStyle name="Normal 6 2" xfId="135"/>
    <cellStyle name="Normal 6 2 2" xfId="6703"/>
    <cellStyle name="Normal 6 2 2 2" xfId="6704"/>
    <cellStyle name="Normal 6 2 2 3" xfId="6705"/>
    <cellStyle name="Normal 6 2 3" xfId="6706"/>
    <cellStyle name="Normal 6 2 4" xfId="6707"/>
    <cellStyle name="Normal 6 2 5" xfId="6708"/>
    <cellStyle name="Normal 6 20" xfId="6709"/>
    <cellStyle name="Normal 6 20 2" xfId="6710"/>
    <cellStyle name="Normal 6 20 3" xfId="6711"/>
    <cellStyle name="Normal 6 200" xfId="6712"/>
    <cellStyle name="Normal 6 200 2" xfId="6713"/>
    <cellStyle name="Normal 6 200 3" xfId="6714"/>
    <cellStyle name="Normal 6 201" xfId="6715"/>
    <cellStyle name="Normal 6 201 2" xfId="6716"/>
    <cellStyle name="Normal 6 201 3" xfId="6717"/>
    <cellStyle name="Normal 6 202" xfId="6718"/>
    <cellStyle name="Normal 6 202 2" xfId="6719"/>
    <cellStyle name="Normal 6 202 3" xfId="6720"/>
    <cellStyle name="Normal 6 203" xfId="6721"/>
    <cellStyle name="Normal 6 203 2" xfId="6722"/>
    <cellStyle name="Normal 6 203 3" xfId="6723"/>
    <cellStyle name="Normal 6 204" xfId="6724"/>
    <cellStyle name="Normal 6 204 2" xfId="6725"/>
    <cellStyle name="Normal 6 204 3" xfId="6726"/>
    <cellStyle name="Normal 6 205" xfId="6727"/>
    <cellStyle name="Normal 6 205 2" xfId="6728"/>
    <cellStyle name="Normal 6 205 3" xfId="6729"/>
    <cellStyle name="Normal 6 206" xfId="6730"/>
    <cellStyle name="Normal 6 206 2" xfId="6731"/>
    <cellStyle name="Normal 6 206 3" xfId="6732"/>
    <cellStyle name="Normal 6 207" xfId="6733"/>
    <cellStyle name="Normal 6 207 2" xfId="6734"/>
    <cellStyle name="Normal 6 207 3" xfId="6735"/>
    <cellStyle name="Normal 6 208" xfId="6736"/>
    <cellStyle name="Normal 6 208 2" xfId="6737"/>
    <cellStyle name="Normal 6 208 3" xfId="6738"/>
    <cellStyle name="Normal 6 209" xfId="6739"/>
    <cellStyle name="Normal 6 209 2" xfId="6740"/>
    <cellStyle name="Normal 6 209 3" xfId="6741"/>
    <cellStyle name="Normal 6 21" xfId="6742"/>
    <cellStyle name="Normal 6 21 2" xfId="6743"/>
    <cellStyle name="Normal 6 21 3" xfId="6744"/>
    <cellStyle name="Normal 6 210" xfId="6745"/>
    <cellStyle name="Normal 6 210 2" xfId="6746"/>
    <cellStyle name="Normal 6 210 3" xfId="6747"/>
    <cellStyle name="Normal 6 211" xfId="6748"/>
    <cellStyle name="Normal 6 211 2" xfId="6749"/>
    <cellStyle name="Normal 6 211 3" xfId="6750"/>
    <cellStyle name="Normal 6 212" xfId="6751"/>
    <cellStyle name="Normal 6 212 2" xfId="6752"/>
    <cellStyle name="Normal 6 212 3" xfId="6753"/>
    <cellStyle name="Normal 6 213" xfId="6754"/>
    <cellStyle name="Normal 6 213 2" xfId="6755"/>
    <cellStyle name="Normal 6 213 3" xfId="6756"/>
    <cellStyle name="Normal 6 214" xfId="6757"/>
    <cellStyle name="Normal 6 214 2" xfId="6758"/>
    <cellStyle name="Normal 6 214 3" xfId="6759"/>
    <cellStyle name="Normal 6 215" xfId="6760"/>
    <cellStyle name="Normal 6 215 2" xfId="6761"/>
    <cellStyle name="Normal 6 215 3" xfId="6762"/>
    <cellStyle name="Normal 6 216" xfId="6763"/>
    <cellStyle name="Normal 6 217" xfId="6764"/>
    <cellStyle name="Normal 6 218" xfId="6765"/>
    <cellStyle name="Normal 6 219" xfId="6766"/>
    <cellStyle name="Normal 6 22" xfId="6767"/>
    <cellStyle name="Normal 6 22 2" xfId="6768"/>
    <cellStyle name="Normal 6 22 3" xfId="6769"/>
    <cellStyle name="Normal 6 220" xfId="6770"/>
    <cellStyle name="Normal 6 221" xfId="6771"/>
    <cellStyle name="Normal 6 222" xfId="6772"/>
    <cellStyle name="Normal 6 223" xfId="6773"/>
    <cellStyle name="Normal 6 224" xfId="6774"/>
    <cellStyle name="Normal 6 225" xfId="6775"/>
    <cellStyle name="Normal 6 226" xfId="6776"/>
    <cellStyle name="Normal 6 227" xfId="6777"/>
    <cellStyle name="Normal 6 228" xfId="6778"/>
    <cellStyle name="Normal 6 229" xfId="6779"/>
    <cellStyle name="Normal 6 23" xfId="6780"/>
    <cellStyle name="Normal 6 23 2" xfId="6781"/>
    <cellStyle name="Normal 6 23 3" xfId="6782"/>
    <cellStyle name="Normal 6 230" xfId="6783"/>
    <cellStyle name="Normal 6 231" xfId="6784"/>
    <cellStyle name="Normal 6 232" xfId="6785"/>
    <cellStyle name="Normal 6 233" xfId="6786"/>
    <cellStyle name="Normal 6 234" xfId="6787"/>
    <cellStyle name="Normal 6 235" xfId="6788"/>
    <cellStyle name="Normal 6 24" xfId="6789"/>
    <cellStyle name="Normal 6 24 2" xfId="6790"/>
    <cellStyle name="Normal 6 24 3" xfId="6791"/>
    <cellStyle name="Normal 6 25" xfId="6792"/>
    <cellStyle name="Normal 6 25 2" xfId="6793"/>
    <cellStyle name="Normal 6 25 3" xfId="6794"/>
    <cellStyle name="Normal 6 26" xfId="6795"/>
    <cellStyle name="Normal 6 26 2" xfId="6796"/>
    <cellStyle name="Normal 6 26 3" xfId="6797"/>
    <cellStyle name="Normal 6 27" xfId="6798"/>
    <cellStyle name="Normal 6 27 2" xfId="6799"/>
    <cellStyle name="Normal 6 27 3" xfId="6800"/>
    <cellStyle name="Normal 6 28" xfId="6801"/>
    <cellStyle name="Normal 6 28 2" xfId="6802"/>
    <cellStyle name="Normal 6 28 3" xfId="6803"/>
    <cellStyle name="Normal 6 29" xfId="6804"/>
    <cellStyle name="Normal 6 29 2" xfId="6805"/>
    <cellStyle name="Normal 6 29 3" xfId="6806"/>
    <cellStyle name="Normal 6 3" xfId="6807"/>
    <cellStyle name="Normal 6 3 2" xfId="6808"/>
    <cellStyle name="Normal 6 3 3" xfId="6809"/>
    <cellStyle name="Normal 6 3 4" xfId="6810"/>
    <cellStyle name="Normal 6 30" xfId="6811"/>
    <cellStyle name="Normal 6 30 2" xfId="6812"/>
    <cellStyle name="Normal 6 30 3" xfId="6813"/>
    <cellStyle name="Normal 6 31" xfId="6814"/>
    <cellStyle name="Normal 6 31 2" xfId="6815"/>
    <cellStyle name="Normal 6 31 3" xfId="6816"/>
    <cellStyle name="Normal 6 32" xfId="6817"/>
    <cellStyle name="Normal 6 32 2" xfId="6818"/>
    <cellStyle name="Normal 6 32 3" xfId="6819"/>
    <cellStyle name="Normal 6 33" xfId="6820"/>
    <cellStyle name="Normal 6 33 2" xfId="6821"/>
    <cellStyle name="Normal 6 33 3" xfId="6822"/>
    <cellStyle name="Normal 6 34" xfId="6823"/>
    <cellStyle name="Normal 6 34 2" xfId="6824"/>
    <cellStyle name="Normal 6 34 3" xfId="6825"/>
    <cellStyle name="Normal 6 35" xfId="6826"/>
    <cellStyle name="Normal 6 35 2" xfId="6827"/>
    <cellStyle name="Normal 6 35 3" xfId="6828"/>
    <cellStyle name="Normal 6 36" xfId="6829"/>
    <cellStyle name="Normal 6 36 2" xfId="6830"/>
    <cellStyle name="Normal 6 36 3" xfId="6831"/>
    <cellStyle name="Normal 6 37" xfId="6832"/>
    <cellStyle name="Normal 6 37 2" xfId="6833"/>
    <cellStyle name="Normal 6 37 3" xfId="6834"/>
    <cellStyle name="Normal 6 38" xfId="6835"/>
    <cellStyle name="Normal 6 38 2" xfId="6836"/>
    <cellStyle name="Normal 6 38 3" xfId="6837"/>
    <cellStyle name="Normal 6 39" xfId="6838"/>
    <cellStyle name="Normal 6 39 2" xfId="6839"/>
    <cellStyle name="Normal 6 39 3" xfId="6840"/>
    <cellStyle name="Normal 6 4" xfId="6841"/>
    <cellStyle name="Normal 6 4 2" xfId="6842"/>
    <cellStyle name="Normal 6 4 3" xfId="6843"/>
    <cellStyle name="Normal 6 40" xfId="6844"/>
    <cellStyle name="Normal 6 40 2" xfId="6845"/>
    <cellStyle name="Normal 6 40 3" xfId="6846"/>
    <cellStyle name="Normal 6 41" xfId="6847"/>
    <cellStyle name="Normal 6 41 2" xfId="6848"/>
    <cellStyle name="Normal 6 41 3" xfId="6849"/>
    <cellStyle name="Normal 6 42" xfId="6850"/>
    <cellStyle name="Normal 6 42 2" xfId="6851"/>
    <cellStyle name="Normal 6 42 3" xfId="6852"/>
    <cellStyle name="Normal 6 43" xfId="6853"/>
    <cellStyle name="Normal 6 43 2" xfId="6854"/>
    <cellStyle name="Normal 6 43 3" xfId="6855"/>
    <cellStyle name="Normal 6 44" xfId="6856"/>
    <cellStyle name="Normal 6 44 2" xfId="6857"/>
    <cellStyle name="Normal 6 44 3" xfId="6858"/>
    <cellStyle name="Normal 6 45" xfId="6859"/>
    <cellStyle name="Normal 6 45 2" xfId="6860"/>
    <cellStyle name="Normal 6 45 3" xfId="6861"/>
    <cellStyle name="Normal 6 46" xfId="6862"/>
    <cellStyle name="Normal 6 46 2" xfId="6863"/>
    <cellStyle name="Normal 6 46 3" xfId="6864"/>
    <cellStyle name="Normal 6 47" xfId="6865"/>
    <cellStyle name="Normal 6 47 2" xfId="6866"/>
    <cellStyle name="Normal 6 47 3" xfId="6867"/>
    <cellStyle name="Normal 6 48" xfId="6868"/>
    <cellStyle name="Normal 6 48 2" xfId="6869"/>
    <cellStyle name="Normal 6 48 3" xfId="6870"/>
    <cellStyle name="Normal 6 49" xfId="6871"/>
    <cellStyle name="Normal 6 49 2" xfId="6872"/>
    <cellStyle name="Normal 6 49 3" xfId="6873"/>
    <cellStyle name="Normal 6 5" xfId="6874"/>
    <cellStyle name="Normal 6 5 2" xfId="6875"/>
    <cellStyle name="Normal 6 5 3" xfId="6876"/>
    <cellStyle name="Normal 6 50" xfId="6877"/>
    <cellStyle name="Normal 6 50 2" xfId="6878"/>
    <cellStyle name="Normal 6 50 3" xfId="6879"/>
    <cellStyle name="Normal 6 51" xfId="6880"/>
    <cellStyle name="Normal 6 51 2" xfId="6881"/>
    <cellStyle name="Normal 6 51 3" xfId="6882"/>
    <cellStyle name="Normal 6 52" xfId="6883"/>
    <cellStyle name="Normal 6 52 2" xfId="6884"/>
    <cellStyle name="Normal 6 52 3" xfId="6885"/>
    <cellStyle name="Normal 6 53" xfId="6886"/>
    <cellStyle name="Normal 6 53 2" xfId="6887"/>
    <cellStyle name="Normal 6 53 3" xfId="6888"/>
    <cellStyle name="Normal 6 54" xfId="6889"/>
    <cellStyle name="Normal 6 54 2" xfId="6890"/>
    <cellStyle name="Normal 6 54 3" xfId="6891"/>
    <cellStyle name="Normal 6 55" xfId="6892"/>
    <cellStyle name="Normal 6 55 2" xfId="6893"/>
    <cellStyle name="Normal 6 55 3" xfId="6894"/>
    <cellStyle name="Normal 6 56" xfId="6895"/>
    <cellStyle name="Normal 6 56 2" xfId="6896"/>
    <cellStyle name="Normal 6 56 3" xfId="6897"/>
    <cellStyle name="Normal 6 57" xfId="6898"/>
    <cellStyle name="Normal 6 57 2" xfId="6899"/>
    <cellStyle name="Normal 6 57 3" xfId="6900"/>
    <cellStyle name="Normal 6 58" xfId="6901"/>
    <cellStyle name="Normal 6 58 2" xfId="6902"/>
    <cellStyle name="Normal 6 58 3" xfId="6903"/>
    <cellStyle name="Normal 6 59" xfId="6904"/>
    <cellStyle name="Normal 6 59 2" xfId="6905"/>
    <cellStyle name="Normal 6 59 3" xfId="6906"/>
    <cellStyle name="Normal 6 6" xfId="6907"/>
    <cellStyle name="Normal 6 6 2" xfId="6908"/>
    <cellStyle name="Normal 6 6 3" xfId="6909"/>
    <cellStyle name="Normal 6 60" xfId="6910"/>
    <cellStyle name="Normal 6 60 2" xfId="6911"/>
    <cellStyle name="Normal 6 60 3" xfId="6912"/>
    <cellStyle name="Normal 6 61" xfId="6913"/>
    <cellStyle name="Normal 6 61 2" xfId="6914"/>
    <cellStyle name="Normal 6 61 3" xfId="6915"/>
    <cellStyle name="Normal 6 62" xfId="6916"/>
    <cellStyle name="Normal 6 62 2" xfId="6917"/>
    <cellStyle name="Normal 6 62 3" xfId="6918"/>
    <cellStyle name="Normal 6 63" xfId="6919"/>
    <cellStyle name="Normal 6 63 2" xfId="6920"/>
    <cellStyle name="Normal 6 63 3" xfId="6921"/>
    <cellStyle name="Normal 6 64" xfId="6922"/>
    <cellStyle name="Normal 6 64 2" xfId="6923"/>
    <cellStyle name="Normal 6 64 3" xfId="6924"/>
    <cellStyle name="Normal 6 65" xfId="6925"/>
    <cellStyle name="Normal 6 65 2" xfId="6926"/>
    <cellStyle name="Normal 6 65 3" xfId="6927"/>
    <cellStyle name="Normal 6 66" xfId="6928"/>
    <cellStyle name="Normal 6 66 2" xfId="6929"/>
    <cellStyle name="Normal 6 66 3" xfId="6930"/>
    <cellStyle name="Normal 6 67" xfId="6931"/>
    <cellStyle name="Normal 6 67 2" xfId="6932"/>
    <cellStyle name="Normal 6 67 3" xfId="6933"/>
    <cellStyle name="Normal 6 68" xfId="6934"/>
    <cellStyle name="Normal 6 68 2" xfId="6935"/>
    <cellStyle name="Normal 6 68 3" xfId="6936"/>
    <cellStyle name="Normal 6 69" xfId="6937"/>
    <cellStyle name="Normal 6 69 2" xfId="6938"/>
    <cellStyle name="Normal 6 69 3" xfId="6939"/>
    <cellStyle name="Normal 6 7" xfId="6940"/>
    <cellStyle name="Normal 6 7 2" xfId="6941"/>
    <cellStyle name="Normal 6 7 3" xfId="6942"/>
    <cellStyle name="Normal 6 70" xfId="6943"/>
    <cellStyle name="Normal 6 70 2" xfId="6944"/>
    <cellStyle name="Normal 6 70 3" xfId="6945"/>
    <cellStyle name="Normal 6 71" xfId="6946"/>
    <cellStyle name="Normal 6 71 2" xfId="6947"/>
    <cellStyle name="Normal 6 71 3" xfId="6948"/>
    <cellStyle name="Normal 6 72" xfId="6949"/>
    <cellStyle name="Normal 6 72 2" xfId="6950"/>
    <cellStyle name="Normal 6 72 3" xfId="6951"/>
    <cellStyle name="Normal 6 73" xfId="6952"/>
    <cellStyle name="Normal 6 73 2" xfId="6953"/>
    <cellStyle name="Normal 6 73 3" xfId="6954"/>
    <cellStyle name="Normal 6 74" xfId="6955"/>
    <cellStyle name="Normal 6 74 2" xfId="6956"/>
    <cellStyle name="Normal 6 74 3" xfId="6957"/>
    <cellStyle name="Normal 6 75" xfId="6958"/>
    <cellStyle name="Normal 6 75 2" xfId="6959"/>
    <cellStyle name="Normal 6 75 3" xfId="6960"/>
    <cellStyle name="Normal 6 76" xfId="6961"/>
    <cellStyle name="Normal 6 76 2" xfId="6962"/>
    <cellStyle name="Normal 6 76 3" xfId="6963"/>
    <cellStyle name="Normal 6 77" xfId="6964"/>
    <cellStyle name="Normal 6 77 2" xfId="6965"/>
    <cellStyle name="Normal 6 77 3" xfId="6966"/>
    <cellStyle name="Normal 6 78" xfId="6967"/>
    <cellStyle name="Normal 6 78 2" xfId="6968"/>
    <cellStyle name="Normal 6 78 3" xfId="6969"/>
    <cellStyle name="Normal 6 79" xfId="6970"/>
    <cellStyle name="Normal 6 79 2" xfId="6971"/>
    <cellStyle name="Normal 6 79 3" xfId="6972"/>
    <cellStyle name="Normal 6 8" xfId="6973"/>
    <cellStyle name="Normal 6 8 2" xfId="6974"/>
    <cellStyle name="Normal 6 8 3" xfId="6975"/>
    <cellStyle name="Normal 6 80" xfId="6976"/>
    <cellStyle name="Normal 6 80 2" xfId="6977"/>
    <cellStyle name="Normal 6 80 3" xfId="6978"/>
    <cellStyle name="Normal 6 81" xfId="6979"/>
    <cellStyle name="Normal 6 81 2" xfId="6980"/>
    <cellStyle name="Normal 6 81 3" xfId="6981"/>
    <cellStyle name="Normal 6 82" xfId="6982"/>
    <cellStyle name="Normal 6 82 2" xfId="6983"/>
    <cellStyle name="Normal 6 82 3" xfId="6984"/>
    <cellStyle name="Normal 6 83" xfId="6985"/>
    <cellStyle name="Normal 6 83 2" xfId="6986"/>
    <cellStyle name="Normal 6 83 3" xfId="6987"/>
    <cellStyle name="Normal 6 84" xfId="6988"/>
    <cellStyle name="Normal 6 84 2" xfId="6989"/>
    <cellStyle name="Normal 6 84 3" xfId="6990"/>
    <cellStyle name="Normal 6 85" xfId="6991"/>
    <cellStyle name="Normal 6 85 2" xfId="6992"/>
    <cellStyle name="Normal 6 85 3" xfId="6993"/>
    <cellStyle name="Normal 6 86" xfId="6994"/>
    <cellStyle name="Normal 6 86 2" xfId="6995"/>
    <cellStyle name="Normal 6 86 3" xfId="6996"/>
    <cellStyle name="Normal 6 87" xfId="6997"/>
    <cellStyle name="Normal 6 87 2" xfId="6998"/>
    <cellStyle name="Normal 6 87 3" xfId="6999"/>
    <cellStyle name="Normal 6 88" xfId="7000"/>
    <cellStyle name="Normal 6 88 2" xfId="7001"/>
    <cellStyle name="Normal 6 88 3" xfId="7002"/>
    <cellStyle name="Normal 6 89" xfId="7003"/>
    <cellStyle name="Normal 6 89 2" xfId="7004"/>
    <cellStyle name="Normal 6 89 3" xfId="7005"/>
    <cellStyle name="Normal 6 9" xfId="7006"/>
    <cellStyle name="Normal 6 9 2" xfId="7007"/>
    <cellStyle name="Normal 6 9 3" xfId="7008"/>
    <cellStyle name="Normal 6 90" xfId="7009"/>
    <cellStyle name="Normal 6 90 2" xfId="7010"/>
    <cellStyle name="Normal 6 90 3" xfId="7011"/>
    <cellStyle name="Normal 6 91" xfId="7012"/>
    <cellStyle name="Normal 6 91 2" xfId="7013"/>
    <cellStyle name="Normal 6 91 3" xfId="7014"/>
    <cellStyle name="Normal 6 92" xfId="7015"/>
    <cellStyle name="Normal 6 92 2" xfId="7016"/>
    <cellStyle name="Normal 6 92 3" xfId="7017"/>
    <cellStyle name="Normal 6 93" xfId="7018"/>
    <cellStyle name="Normal 6 93 2" xfId="7019"/>
    <cellStyle name="Normal 6 93 3" xfId="7020"/>
    <cellStyle name="Normal 6 94" xfId="7021"/>
    <cellStyle name="Normal 6 94 2" xfId="7022"/>
    <cellStyle name="Normal 6 94 3" xfId="7023"/>
    <cellStyle name="Normal 6 95" xfId="7024"/>
    <cellStyle name="Normal 6 95 2" xfId="7025"/>
    <cellStyle name="Normal 6 95 3" xfId="7026"/>
    <cellStyle name="Normal 6 96" xfId="7027"/>
    <cellStyle name="Normal 6 96 2" xfId="7028"/>
    <cellStyle name="Normal 6 96 3" xfId="7029"/>
    <cellStyle name="Normal 6 97" xfId="7030"/>
    <cellStyle name="Normal 6 97 2" xfId="7031"/>
    <cellStyle name="Normal 6 97 3" xfId="7032"/>
    <cellStyle name="Normal 6 98" xfId="7033"/>
    <cellStyle name="Normal 6 98 2" xfId="7034"/>
    <cellStyle name="Normal 6 98 3" xfId="7035"/>
    <cellStyle name="Normal 6 99" xfId="7036"/>
    <cellStyle name="Normal 6 99 2" xfId="7037"/>
    <cellStyle name="Normal 6 99 3" xfId="7038"/>
    <cellStyle name="Normal 60" xfId="7039"/>
    <cellStyle name="Normal 60 2" xfId="7040"/>
    <cellStyle name="Normal 60 3" xfId="7041"/>
    <cellStyle name="Normal 60 3 2" xfId="7042"/>
    <cellStyle name="Normal 60 3 3" xfId="7043"/>
    <cellStyle name="Normal 600" xfId="7044"/>
    <cellStyle name="Normal 600 2" xfId="7045"/>
    <cellStyle name="Normal 601" xfId="7046"/>
    <cellStyle name="Normal 601 2" xfId="7047"/>
    <cellStyle name="Normal 602" xfId="7048"/>
    <cellStyle name="Normal 602 2" xfId="7049"/>
    <cellStyle name="Normal 607" xfId="7050"/>
    <cellStyle name="Normal 607 2" xfId="7051"/>
    <cellStyle name="Normal 608" xfId="7052"/>
    <cellStyle name="Normal 608 2" xfId="7053"/>
    <cellStyle name="Normal 609" xfId="7054"/>
    <cellStyle name="Normal 609 2" xfId="7055"/>
    <cellStyle name="Normal 61" xfId="7056"/>
    <cellStyle name="Normal 61 2" xfId="7057"/>
    <cellStyle name="Normal 61 2 2" xfId="7058"/>
    <cellStyle name="Normal 61 2 3" xfId="7059"/>
    <cellStyle name="Normal 61 3" xfId="7060"/>
    <cellStyle name="Normal 61 4" xfId="7061"/>
    <cellStyle name="Normal 610" xfId="7062"/>
    <cellStyle name="Normal 610 2" xfId="7063"/>
    <cellStyle name="Normal 611" xfId="7064"/>
    <cellStyle name="Normal 611 2" xfId="7065"/>
    <cellStyle name="Normal 612" xfId="7066"/>
    <cellStyle name="Normal 612 2" xfId="7067"/>
    <cellStyle name="Normal 613" xfId="7068"/>
    <cellStyle name="Normal 613 2" xfId="7069"/>
    <cellStyle name="Normal 614" xfId="7070"/>
    <cellStyle name="Normal 614 2" xfId="7071"/>
    <cellStyle name="Normal 615" xfId="7072"/>
    <cellStyle name="Normal 615 2" xfId="7073"/>
    <cellStyle name="Normal 616" xfId="7074"/>
    <cellStyle name="Normal 616 2" xfId="7075"/>
    <cellStyle name="Normal 617" xfId="7076"/>
    <cellStyle name="Normal 617 2" xfId="7077"/>
    <cellStyle name="Normal 618" xfId="7078"/>
    <cellStyle name="Normal 618 2" xfId="7079"/>
    <cellStyle name="Normal 619" xfId="7080"/>
    <cellStyle name="Normal 619 2" xfId="7081"/>
    <cellStyle name="Normal 62" xfId="7082"/>
    <cellStyle name="Normal 62 2" xfId="7083"/>
    <cellStyle name="Normal 62 3" xfId="7084"/>
    <cellStyle name="Normal 620" xfId="7085"/>
    <cellStyle name="Normal 620 2" xfId="7086"/>
    <cellStyle name="Normal 621" xfId="7087"/>
    <cellStyle name="Normal 621 2" xfId="7088"/>
    <cellStyle name="Normal 622" xfId="7089"/>
    <cellStyle name="Normal 622 2" xfId="7090"/>
    <cellStyle name="Normal 623" xfId="7091"/>
    <cellStyle name="Normal 623 2" xfId="7092"/>
    <cellStyle name="Normal 624" xfId="7093"/>
    <cellStyle name="Normal 624 2" xfId="7094"/>
    <cellStyle name="Normal 625" xfId="7095"/>
    <cellStyle name="Normal 625 2" xfId="7096"/>
    <cellStyle name="Normal 626" xfId="7097"/>
    <cellStyle name="Normal 626 2" xfId="7098"/>
    <cellStyle name="Normal 627" xfId="7099"/>
    <cellStyle name="Normal 627 2" xfId="7100"/>
    <cellStyle name="Normal 628" xfId="7101"/>
    <cellStyle name="Normal 628 2" xfId="7102"/>
    <cellStyle name="Normal 629" xfId="7103"/>
    <cellStyle name="Normal 629 2" xfId="7104"/>
    <cellStyle name="Normal 63" xfId="7105"/>
    <cellStyle name="Normal 63 2" xfId="7106"/>
    <cellStyle name="Normal 63 3" xfId="7107"/>
    <cellStyle name="Normal 630" xfId="7108"/>
    <cellStyle name="Normal 630 2" xfId="7109"/>
    <cellStyle name="Normal 631" xfId="7110"/>
    <cellStyle name="Normal 631 2" xfId="7111"/>
    <cellStyle name="Normal 632" xfId="7112"/>
    <cellStyle name="Normal 632 2" xfId="7113"/>
    <cellStyle name="Normal 633" xfId="7114"/>
    <cellStyle name="Normal 633 2" xfId="7115"/>
    <cellStyle name="Normal 634" xfId="7116"/>
    <cellStyle name="Normal 634 2" xfId="7117"/>
    <cellStyle name="Normal 635" xfId="7118"/>
    <cellStyle name="Normal 635 2" xfId="7119"/>
    <cellStyle name="Normal 636" xfId="7120"/>
    <cellStyle name="Normal 636 2" xfId="7121"/>
    <cellStyle name="Normal 637" xfId="7122"/>
    <cellStyle name="Normal 637 2" xfId="7123"/>
    <cellStyle name="Normal 638" xfId="7124"/>
    <cellStyle name="Normal 638 2" xfId="7125"/>
    <cellStyle name="Normal 639" xfId="7126"/>
    <cellStyle name="Normal 639 2" xfId="7127"/>
    <cellStyle name="Normal 64" xfId="7128"/>
    <cellStyle name="Normal 64 2" xfId="7129"/>
    <cellStyle name="Normal 64 3" xfId="7130"/>
    <cellStyle name="Normal 64 3 2" xfId="7131"/>
    <cellStyle name="Normal 64 3 3" xfId="7132"/>
    <cellStyle name="Normal 640" xfId="7133"/>
    <cellStyle name="Normal 640 2" xfId="7134"/>
    <cellStyle name="Normal 641" xfId="7135"/>
    <cellStyle name="Normal 641 2" xfId="7136"/>
    <cellStyle name="Normal 642" xfId="7137"/>
    <cellStyle name="Normal 642 2" xfId="7138"/>
    <cellStyle name="Normal 643" xfId="7139"/>
    <cellStyle name="Normal 643 2" xfId="7140"/>
    <cellStyle name="Normal 644" xfId="7141"/>
    <cellStyle name="Normal 644 2" xfId="7142"/>
    <cellStyle name="Normal 645" xfId="7143"/>
    <cellStyle name="Normal 645 2" xfId="7144"/>
    <cellStyle name="Normal 646" xfId="7145"/>
    <cellStyle name="Normal 646 2" xfId="7146"/>
    <cellStyle name="Normal 647" xfId="7147"/>
    <cellStyle name="Normal 647 2" xfId="7148"/>
    <cellStyle name="Normal 648" xfId="7149"/>
    <cellStyle name="Normal 648 2" xfId="7150"/>
    <cellStyle name="Normal 649" xfId="7151"/>
    <cellStyle name="Normal 649 2" xfId="7152"/>
    <cellStyle name="Normal 65" xfId="7153"/>
    <cellStyle name="Normal 65 2" xfId="7154"/>
    <cellStyle name="Normal 65 3" xfId="7155"/>
    <cellStyle name="Normal 650" xfId="7156"/>
    <cellStyle name="Normal 650 2" xfId="7157"/>
    <cellStyle name="Normal 651" xfId="7158"/>
    <cellStyle name="Normal 651 2" xfId="7159"/>
    <cellStyle name="Normal 652" xfId="7160"/>
    <cellStyle name="Normal 652 2" xfId="7161"/>
    <cellStyle name="Normal 653" xfId="7162"/>
    <cellStyle name="Normal 653 2" xfId="7163"/>
    <cellStyle name="Normal 654" xfId="7164"/>
    <cellStyle name="Normal 654 2" xfId="7165"/>
    <cellStyle name="Normal 655" xfId="7166"/>
    <cellStyle name="Normal 655 2" xfId="7167"/>
    <cellStyle name="Normal 656" xfId="7168"/>
    <cellStyle name="Normal 656 2" xfId="7169"/>
    <cellStyle name="Normal 657" xfId="7170"/>
    <cellStyle name="Normal 657 2" xfId="7171"/>
    <cellStyle name="Normal 658" xfId="7172"/>
    <cellStyle name="Normal 658 2" xfId="7173"/>
    <cellStyle name="Normal 659" xfId="7174"/>
    <cellStyle name="Normal 659 2" xfId="7175"/>
    <cellStyle name="Normal 66" xfId="7176"/>
    <cellStyle name="Normal 66 2" xfId="7177"/>
    <cellStyle name="Normal 66 3" xfId="7178"/>
    <cellStyle name="Normal 660" xfId="7179"/>
    <cellStyle name="Normal 660 2" xfId="7180"/>
    <cellStyle name="Normal 661" xfId="7181"/>
    <cellStyle name="Normal 661 2" xfId="7182"/>
    <cellStyle name="Normal 662" xfId="7183"/>
    <cellStyle name="Normal 662 2" xfId="7184"/>
    <cellStyle name="Normal 663" xfId="7185"/>
    <cellStyle name="Normal 663 2" xfId="7186"/>
    <cellStyle name="Normal 664" xfId="7187"/>
    <cellStyle name="Normal 664 2" xfId="7188"/>
    <cellStyle name="Normal 665" xfId="7189"/>
    <cellStyle name="Normal 665 2" xfId="7190"/>
    <cellStyle name="Normal 666" xfId="7191"/>
    <cellStyle name="Normal 666 2" xfId="7192"/>
    <cellStyle name="Normal 667" xfId="7193"/>
    <cellStyle name="Normal 667 2" xfId="7194"/>
    <cellStyle name="Normal 668" xfId="7195"/>
    <cellStyle name="Normal 668 2" xfId="7196"/>
    <cellStyle name="Normal 67" xfId="7197"/>
    <cellStyle name="Normal 67 2" xfId="7198"/>
    <cellStyle name="Normal 67 3" xfId="7199"/>
    <cellStyle name="Normal 67 3 2" xfId="7200"/>
    <cellStyle name="Normal 67 3 3" xfId="7201"/>
    <cellStyle name="Normal 670" xfId="7202"/>
    <cellStyle name="Normal 670 2" xfId="7203"/>
    <cellStyle name="Normal 671" xfId="7204"/>
    <cellStyle name="Normal 671 2" xfId="7205"/>
    <cellStyle name="Normal 672" xfId="7206"/>
    <cellStyle name="Normal 673" xfId="7207"/>
    <cellStyle name="Normal 674" xfId="7208"/>
    <cellStyle name="Normal 675" xfId="7209"/>
    <cellStyle name="Normal 676" xfId="7210"/>
    <cellStyle name="Normal 68" xfId="7211"/>
    <cellStyle name="Normal 68 2" xfId="7212"/>
    <cellStyle name="Normal 69" xfId="7213"/>
    <cellStyle name="Normal 69 2" xfId="7214"/>
    <cellStyle name="Normal 69 3" xfId="7215"/>
    <cellStyle name="Normal 696" xfId="7216"/>
    <cellStyle name="Normal 697" xfId="7217"/>
    <cellStyle name="Normal 698" xfId="7218"/>
    <cellStyle name="Normal 699" xfId="7219"/>
    <cellStyle name="Normal 7" xfId="136"/>
    <cellStyle name="Normal 7 10" xfId="7220"/>
    <cellStyle name="Normal 7 11" xfId="7221"/>
    <cellStyle name="Normal 7 12" xfId="7222"/>
    <cellStyle name="Normal 7 12 2" xfId="7223"/>
    <cellStyle name="Normal 7 12 3" xfId="7224"/>
    <cellStyle name="Normal 7 13" xfId="7225"/>
    <cellStyle name="Normal 7 14" xfId="7226"/>
    <cellStyle name="Normal 7 2" xfId="137"/>
    <cellStyle name="Normal 7 3" xfId="7227"/>
    <cellStyle name="Normal 7 4" xfId="7228"/>
    <cellStyle name="Normal 7 5" xfId="7229"/>
    <cellStyle name="Normal 7 6" xfId="7230"/>
    <cellStyle name="Normal 7 7" xfId="7231"/>
    <cellStyle name="Normal 7 8" xfId="7232"/>
    <cellStyle name="Normal 7 9" xfId="7233"/>
    <cellStyle name="Normal 70" xfId="7234"/>
    <cellStyle name="Normal 70 2" xfId="7235"/>
    <cellStyle name="Normal 700" xfId="7236"/>
    <cellStyle name="Normal 701" xfId="7237"/>
    <cellStyle name="Normal 702" xfId="7238"/>
    <cellStyle name="Normal 703" xfId="7239"/>
    <cellStyle name="Normal 704" xfId="7240"/>
    <cellStyle name="Normal 705" xfId="7241"/>
    <cellStyle name="Normal 71" xfId="7242"/>
    <cellStyle name="Normal 71 2" xfId="7243"/>
    <cellStyle name="Normal 711" xfId="7244"/>
    <cellStyle name="Normal 711 2" xfId="7245"/>
    <cellStyle name="Normal 712" xfId="7246"/>
    <cellStyle name="Normal 712 2" xfId="7247"/>
    <cellStyle name="Normal 713" xfId="7248"/>
    <cellStyle name="Normal 713 2" xfId="7249"/>
    <cellStyle name="Normal 714" xfId="7250"/>
    <cellStyle name="Normal 714 2" xfId="7251"/>
    <cellStyle name="Normal 716" xfId="7252"/>
    <cellStyle name="Normal 717" xfId="7253"/>
    <cellStyle name="Normal 718" xfId="7254"/>
    <cellStyle name="Normal 719" xfId="7255"/>
    <cellStyle name="Normal 72" xfId="7256"/>
    <cellStyle name="Normal 72 2" xfId="7257"/>
    <cellStyle name="Normal 720" xfId="7258"/>
    <cellStyle name="Normal 721" xfId="7259"/>
    <cellStyle name="Normal 722" xfId="7260"/>
    <cellStyle name="Normal 723" xfId="7261"/>
    <cellStyle name="Normal 724" xfId="7262"/>
    <cellStyle name="Normal 725" xfId="7263"/>
    <cellStyle name="Normal 726" xfId="7264"/>
    <cellStyle name="Normal 727" xfId="7265"/>
    <cellStyle name="Normal 728" xfId="7266"/>
    <cellStyle name="Normal 729" xfId="7267"/>
    <cellStyle name="Normal 73" xfId="7268"/>
    <cellStyle name="Normal 73 2" xfId="7269"/>
    <cellStyle name="Normal 73 3" xfId="7270"/>
    <cellStyle name="Normal 730" xfId="7271"/>
    <cellStyle name="Normal 731" xfId="7272"/>
    <cellStyle name="Normal 732" xfId="7273"/>
    <cellStyle name="Normal 733" xfId="7274"/>
    <cellStyle name="Normal 734" xfId="7275"/>
    <cellStyle name="Normal 735" xfId="7276"/>
    <cellStyle name="Normal 736" xfId="7277"/>
    <cellStyle name="Normal 738" xfId="7278"/>
    <cellStyle name="Normal 739" xfId="7279"/>
    <cellStyle name="Normal 74" xfId="7280"/>
    <cellStyle name="Normal 74 2" xfId="7281"/>
    <cellStyle name="Normal 74 2 2" xfId="7282"/>
    <cellStyle name="Normal 74 2 3" xfId="7283"/>
    <cellStyle name="Normal 74 3" xfId="7284"/>
    <cellStyle name="Normal 74 4" xfId="7285"/>
    <cellStyle name="Normal 74 4 2" xfId="7286"/>
    <cellStyle name="Normal 74 4 3" xfId="7287"/>
    <cellStyle name="Normal 74 5" xfId="7288"/>
    <cellStyle name="Normal 74 6" xfId="7289"/>
    <cellStyle name="Normal 740" xfId="7290"/>
    <cellStyle name="Normal 741" xfId="7291"/>
    <cellStyle name="Normal 742" xfId="7292"/>
    <cellStyle name="Normal 744" xfId="7293"/>
    <cellStyle name="Normal 745" xfId="7294"/>
    <cellStyle name="Normal 746" xfId="7295"/>
    <cellStyle name="Normal 747" xfId="7296"/>
    <cellStyle name="Normal 748" xfId="7297"/>
    <cellStyle name="Normal 749" xfId="7298"/>
    <cellStyle name="Normal 75" xfId="7299"/>
    <cellStyle name="Normal 75 2" xfId="7300"/>
    <cellStyle name="Normal 75 2 2" xfId="7301"/>
    <cellStyle name="Normal 75 2 3" xfId="7302"/>
    <cellStyle name="Normal 75 3" xfId="7303"/>
    <cellStyle name="Normal 75 4" xfId="7304"/>
    <cellStyle name="Normal 75 5" xfId="7305"/>
    <cellStyle name="Normal 751" xfId="7306"/>
    <cellStyle name="Normal 752" xfId="7307"/>
    <cellStyle name="Normal 753" xfId="7308"/>
    <cellStyle name="Normal 754" xfId="7309"/>
    <cellStyle name="Normal 755" xfId="7310"/>
    <cellStyle name="Normal 756" xfId="7311"/>
    <cellStyle name="Normal 757" xfId="7312"/>
    <cellStyle name="Normal 757 2" xfId="7313"/>
    <cellStyle name="Normal 758" xfId="7314"/>
    <cellStyle name="Normal 759" xfId="7315"/>
    <cellStyle name="Normal 76" xfId="7316"/>
    <cellStyle name="Normal 76 2" xfId="7317"/>
    <cellStyle name="Normal 76 2 2" xfId="7318"/>
    <cellStyle name="Normal 76 2 3" xfId="7319"/>
    <cellStyle name="Normal 76 3" xfId="7320"/>
    <cellStyle name="Normal 76 4" xfId="7321"/>
    <cellStyle name="Normal 76 5" xfId="7322"/>
    <cellStyle name="Normal 760" xfId="7323"/>
    <cellStyle name="Normal 761" xfId="7324"/>
    <cellStyle name="Normal 762" xfId="7325"/>
    <cellStyle name="Normal 764" xfId="7326"/>
    <cellStyle name="Normal 766" xfId="7327"/>
    <cellStyle name="Normal 767" xfId="7328"/>
    <cellStyle name="Normal 768" xfId="7329"/>
    <cellStyle name="Normal 769" xfId="7330"/>
    <cellStyle name="Normal 77" xfId="7331"/>
    <cellStyle name="Normal 77 2" xfId="7332"/>
    <cellStyle name="Normal 77 2 2" xfId="7333"/>
    <cellStyle name="Normal 77 2 3" xfId="7334"/>
    <cellStyle name="Normal 77 3" xfId="7335"/>
    <cellStyle name="Normal 77 4" xfId="7336"/>
    <cellStyle name="Normal 770" xfId="7337"/>
    <cellStyle name="Normal 771" xfId="7338"/>
    <cellStyle name="Normal 772" xfId="7339"/>
    <cellStyle name="Normal 773" xfId="7340"/>
    <cellStyle name="Normal 774" xfId="7341"/>
    <cellStyle name="Normal 775" xfId="7342"/>
    <cellStyle name="Normal 776" xfId="7343"/>
    <cellStyle name="Normal 777" xfId="7344"/>
    <cellStyle name="Normal 778" xfId="7345"/>
    <cellStyle name="Normal 779" xfId="7346"/>
    <cellStyle name="Normal 78" xfId="7347"/>
    <cellStyle name="Normal 78 2" xfId="7348"/>
    <cellStyle name="Normal 78 2 2" xfId="7349"/>
    <cellStyle name="Normal 78 2 3" xfId="7350"/>
    <cellStyle name="Normal 78 3" xfId="7351"/>
    <cellStyle name="Normal 78 4" xfId="7352"/>
    <cellStyle name="Normal 780" xfId="7353"/>
    <cellStyle name="Normal 781" xfId="7354"/>
    <cellStyle name="Normal 782" xfId="7355"/>
    <cellStyle name="Normal 783" xfId="7356"/>
    <cellStyle name="Normal 784" xfId="7357"/>
    <cellStyle name="Normal 786" xfId="7358"/>
    <cellStyle name="Normal 787" xfId="7359"/>
    <cellStyle name="Normal 788" xfId="7360"/>
    <cellStyle name="Normal 79" xfId="7361"/>
    <cellStyle name="Normal 79 2" xfId="7362"/>
    <cellStyle name="Normal 79 2 2" xfId="7363"/>
    <cellStyle name="Normal 79 2 3" xfId="7364"/>
    <cellStyle name="Normal 79 3" xfId="7365"/>
    <cellStyle name="Normal 79 4" xfId="7366"/>
    <cellStyle name="Normal 790" xfId="7367"/>
    <cellStyle name="Normal 791" xfId="7368"/>
    <cellStyle name="Normal 792" xfId="7369"/>
    <cellStyle name="Normal 793" xfId="7370"/>
    <cellStyle name="Normal 794" xfId="7371"/>
    <cellStyle name="Normal 796" xfId="7372"/>
    <cellStyle name="Normal 797" xfId="7373"/>
    <cellStyle name="Normal 798" xfId="7374"/>
    <cellStyle name="Normal 799" xfId="7375"/>
    <cellStyle name="Normal 8" xfId="176"/>
    <cellStyle name="Normal 8 2" xfId="7376"/>
    <cellStyle name="Normal 8 2 2" xfId="7377"/>
    <cellStyle name="Normal 8 3" xfId="7378"/>
    <cellStyle name="Normal 8 4" xfId="7379"/>
    <cellStyle name="Normal 8 5" xfId="7380"/>
    <cellStyle name="Normal 8 6" xfId="7381"/>
    <cellStyle name="Normal 8 7" xfId="7382"/>
    <cellStyle name="Normal 8 8" xfId="7383"/>
    <cellStyle name="Normal 8 9" xfId="7384"/>
    <cellStyle name="Normal 80" xfId="7385"/>
    <cellStyle name="Normal 80 2" xfId="7386"/>
    <cellStyle name="Normal 80 2 2" xfId="7387"/>
    <cellStyle name="Normal 80 2 3" xfId="7388"/>
    <cellStyle name="Normal 80 3" xfId="7389"/>
    <cellStyle name="Normal 80 4" xfId="7390"/>
    <cellStyle name="Normal 800" xfId="7391"/>
    <cellStyle name="Normal 801" xfId="7392"/>
    <cellStyle name="Normal 802" xfId="7393"/>
    <cellStyle name="Normal 803" xfId="7394"/>
    <cellStyle name="Normal 804" xfId="7395"/>
    <cellStyle name="Normal 805" xfId="7396"/>
    <cellStyle name="Normal 81" xfId="7397"/>
    <cellStyle name="Normal 81 2" xfId="7398"/>
    <cellStyle name="Normal 81 2 2" xfId="7399"/>
    <cellStyle name="Normal 81 2 3" xfId="7400"/>
    <cellStyle name="Normal 81 3" xfId="7401"/>
    <cellStyle name="Normal 81 4" xfId="7402"/>
    <cellStyle name="Normal 819" xfId="7403"/>
    <cellStyle name="Normal 82" xfId="7404"/>
    <cellStyle name="Normal 82 2" xfId="7405"/>
    <cellStyle name="Normal 82 2 2" xfId="7406"/>
    <cellStyle name="Normal 82 2 3" xfId="7407"/>
    <cellStyle name="Normal 82 3" xfId="7408"/>
    <cellStyle name="Normal 82 4" xfId="7409"/>
    <cellStyle name="Normal 820" xfId="7410"/>
    <cellStyle name="Normal 821" xfId="7411"/>
    <cellStyle name="Normal 822" xfId="7412"/>
    <cellStyle name="Normal 823" xfId="7413"/>
    <cellStyle name="Normal 825" xfId="7414"/>
    <cellStyle name="Normal 825 2" xfId="7415"/>
    <cellStyle name="Normal 826" xfId="7416"/>
    <cellStyle name="Normal 826 2" xfId="7417"/>
    <cellStyle name="Normal 827" xfId="7418"/>
    <cellStyle name="Normal 827 2" xfId="7419"/>
    <cellStyle name="Normal 828" xfId="7420"/>
    <cellStyle name="Normal 828 2" xfId="7421"/>
    <cellStyle name="Normal 829" xfId="7422"/>
    <cellStyle name="Normal 829 2" xfId="7423"/>
    <cellStyle name="Normal 83" xfId="7424"/>
    <cellStyle name="Normal 83 2" xfId="7425"/>
    <cellStyle name="Normal 83 2 2" xfId="7426"/>
    <cellStyle name="Normal 83 2 3" xfId="7427"/>
    <cellStyle name="Normal 83 3" xfId="7428"/>
    <cellStyle name="Normal 83 4" xfId="7429"/>
    <cellStyle name="Normal 830" xfId="7430"/>
    <cellStyle name="Normal 830 2" xfId="7431"/>
    <cellStyle name="Normal 831" xfId="7432"/>
    <cellStyle name="Normal 831 2" xfId="7433"/>
    <cellStyle name="Normal 832" xfId="7434"/>
    <cellStyle name="Normal 832 2" xfId="7435"/>
    <cellStyle name="Normal 833" xfId="7436"/>
    <cellStyle name="Normal 833 2" xfId="7437"/>
    <cellStyle name="Normal 834" xfId="7438"/>
    <cellStyle name="Normal 834 2" xfId="7439"/>
    <cellStyle name="Normal 835" xfId="7440"/>
    <cellStyle name="Normal 835 2" xfId="7441"/>
    <cellStyle name="Normal 836" xfId="7442"/>
    <cellStyle name="Normal 836 2" xfId="7443"/>
    <cellStyle name="Normal 837" xfId="7444"/>
    <cellStyle name="Normal 837 2" xfId="7445"/>
    <cellStyle name="Normal 838" xfId="7446"/>
    <cellStyle name="Normal 838 2" xfId="7447"/>
    <cellStyle name="Normal 839" xfId="7448"/>
    <cellStyle name="Normal 839 2" xfId="7449"/>
    <cellStyle name="Normal 84" xfId="7450"/>
    <cellStyle name="Normal 840" xfId="7451"/>
    <cellStyle name="Normal 840 2" xfId="7452"/>
    <cellStyle name="Normal 841" xfId="7453"/>
    <cellStyle name="Normal 841 2" xfId="7454"/>
    <cellStyle name="Normal 842" xfId="7455"/>
    <cellStyle name="Normal 842 2" xfId="7456"/>
    <cellStyle name="Normal 85" xfId="7457"/>
    <cellStyle name="Normal 85 2" xfId="7458"/>
    <cellStyle name="Normal 85 2 2" xfId="7459"/>
    <cellStyle name="Normal 85 2 3" xfId="7460"/>
    <cellStyle name="Normal 85 3" xfId="7461"/>
    <cellStyle name="Normal 85 4" xfId="7462"/>
    <cellStyle name="Normal 86" xfId="7463"/>
    <cellStyle name="Normal 86 2" xfId="7464"/>
    <cellStyle name="Normal 86 2 2" xfId="7465"/>
    <cellStyle name="Normal 86 2 3" xfId="7466"/>
    <cellStyle name="Normal 86 3" xfId="7467"/>
    <cellStyle name="Normal 86 4" xfId="7468"/>
    <cellStyle name="Normal 87" xfId="7469"/>
    <cellStyle name="Normal 87 2" xfId="7470"/>
    <cellStyle name="Normal 87 2 2" xfId="7471"/>
    <cellStyle name="Normal 87 2 3" xfId="7472"/>
    <cellStyle name="Normal 87 3" xfId="7473"/>
    <cellStyle name="Normal 87 4" xfId="7474"/>
    <cellStyle name="Normal 88" xfId="7475"/>
    <cellStyle name="Normal 88 2" xfId="7476"/>
    <cellStyle name="Normal 88 2 2" xfId="7477"/>
    <cellStyle name="Normal 88 2 3" xfId="7478"/>
    <cellStyle name="Normal 88 3" xfId="7479"/>
    <cellStyle name="Normal 88 4" xfId="7480"/>
    <cellStyle name="Normal 89" xfId="7481"/>
    <cellStyle name="Normal 89 2" xfId="7482"/>
    <cellStyle name="Normal 89 2 2" xfId="7483"/>
    <cellStyle name="Normal 89 2 3" xfId="7484"/>
    <cellStyle name="Normal 89 3" xfId="7485"/>
    <cellStyle name="Normal 89 4" xfId="7486"/>
    <cellStyle name="Normal 9" xfId="48"/>
    <cellStyle name="Normal 9 10" xfId="7487"/>
    <cellStyle name="Normal 9 11" xfId="7488"/>
    <cellStyle name="Normal 9 12" xfId="7489"/>
    <cellStyle name="Normal 9 13" xfId="7490"/>
    <cellStyle name="Normal 9 2" xfId="7491"/>
    <cellStyle name="Normal 9 3" xfId="7492"/>
    <cellStyle name="Normal 9 4" xfId="7493"/>
    <cellStyle name="Normal 9 5" xfId="7494"/>
    <cellStyle name="Normal 9 6" xfId="7495"/>
    <cellStyle name="Normal 9 7" xfId="7496"/>
    <cellStyle name="Normal 9 8" xfId="7497"/>
    <cellStyle name="Normal 9 9" xfId="7498"/>
    <cellStyle name="Normal 90" xfId="7499"/>
    <cellStyle name="Normal 91" xfId="7500"/>
    <cellStyle name="Normal 92" xfId="7501"/>
    <cellStyle name="Normal 92 2" xfId="7502"/>
    <cellStyle name="Normal 92 2 2" xfId="7503"/>
    <cellStyle name="Normal 92 2 3" xfId="7504"/>
    <cellStyle name="Normal 92 3" xfId="7505"/>
    <cellStyle name="Normal 92 4" xfId="7506"/>
    <cellStyle name="Normal 93" xfId="7507"/>
    <cellStyle name="Normal 94" xfId="7508"/>
    <cellStyle name="Normal 95" xfId="7509"/>
    <cellStyle name="Normal 96" xfId="7510"/>
    <cellStyle name="Normal 96 2" xfId="7511"/>
    <cellStyle name="Normal 96 3" xfId="7512"/>
    <cellStyle name="Normal 97" xfId="7513"/>
    <cellStyle name="Normal 97 2" xfId="7514"/>
    <cellStyle name="Normal_Sheet1" xfId="187"/>
    <cellStyle name="Note" xfId="16" builtinId="10" customBuiltin="1"/>
    <cellStyle name="Note 10" xfId="7515"/>
    <cellStyle name="Note 11" xfId="7516"/>
    <cellStyle name="Note 12" xfId="7517"/>
    <cellStyle name="Note 13" xfId="7518"/>
    <cellStyle name="Note 14" xfId="7519"/>
    <cellStyle name="Note 15" xfId="7520"/>
    <cellStyle name="Note 16" xfId="7521"/>
    <cellStyle name="Note 17" xfId="7522"/>
    <cellStyle name="Note 18" xfId="7523"/>
    <cellStyle name="Note 19" xfId="7524"/>
    <cellStyle name="Note 2" xfId="7525"/>
    <cellStyle name="Note 2 2" xfId="7526"/>
    <cellStyle name="Note 2 2 2" xfId="7527"/>
    <cellStyle name="Note 2 2 3" xfId="7528"/>
    <cellStyle name="Note 2 3" xfId="7529"/>
    <cellStyle name="Note 2 4" xfId="7530"/>
    <cellStyle name="Note 2 5" xfId="7531"/>
    <cellStyle name="Note 2 6" xfId="7532"/>
    <cellStyle name="Note 20" xfId="7533"/>
    <cellStyle name="Note 21" xfId="7534"/>
    <cellStyle name="Note 22" xfId="7535"/>
    <cellStyle name="Note 23" xfId="7536"/>
    <cellStyle name="Note 24" xfId="7537"/>
    <cellStyle name="Note 25" xfId="7538"/>
    <cellStyle name="Note 26" xfId="7539"/>
    <cellStyle name="Note 27" xfId="7540"/>
    <cellStyle name="Note 28" xfId="7541"/>
    <cellStyle name="Note 29" xfId="7542"/>
    <cellStyle name="Note 3" xfId="7543"/>
    <cellStyle name="Note 3 2" xfId="7544"/>
    <cellStyle name="Note 3 3" xfId="7545"/>
    <cellStyle name="Note 3 4" xfId="7546"/>
    <cellStyle name="Note 3 5" xfId="7547"/>
    <cellStyle name="Note 30" xfId="7548"/>
    <cellStyle name="Note 31" xfId="7549"/>
    <cellStyle name="Note 32" xfId="7550"/>
    <cellStyle name="Note 33" xfId="7551"/>
    <cellStyle name="Note 34" xfId="7552"/>
    <cellStyle name="Note 35" xfId="7553"/>
    <cellStyle name="Note 36" xfId="7554"/>
    <cellStyle name="Note 37" xfId="7555"/>
    <cellStyle name="Note 38" xfId="7556"/>
    <cellStyle name="Note 39" xfId="7557"/>
    <cellStyle name="Note 4" xfId="7558"/>
    <cellStyle name="Note 40" xfId="7559"/>
    <cellStyle name="Note 41" xfId="7560"/>
    <cellStyle name="Note 42" xfId="7561"/>
    <cellStyle name="Note 43" xfId="7562"/>
    <cellStyle name="Note 44" xfId="7563"/>
    <cellStyle name="Note 45" xfId="7564"/>
    <cellStyle name="Note 46" xfId="7565"/>
    <cellStyle name="Note 47" xfId="7566"/>
    <cellStyle name="Note 48" xfId="7567"/>
    <cellStyle name="Note 49" xfId="7568"/>
    <cellStyle name="Note 5" xfId="7569"/>
    <cellStyle name="Note 50" xfId="7570"/>
    <cellStyle name="Note 51" xfId="7571"/>
    <cellStyle name="Note 52" xfId="7572"/>
    <cellStyle name="Note 53" xfId="7573"/>
    <cellStyle name="Note 54" xfId="7574"/>
    <cellStyle name="Note 55" xfId="7575"/>
    <cellStyle name="Note 56" xfId="7576"/>
    <cellStyle name="Note 57" xfId="7577"/>
    <cellStyle name="Note 58" xfId="7578"/>
    <cellStyle name="Note 59" xfId="7579"/>
    <cellStyle name="Note 6" xfId="7580"/>
    <cellStyle name="Note 60" xfId="7581"/>
    <cellStyle name="Note 61" xfId="7582"/>
    <cellStyle name="Note 62" xfId="7583"/>
    <cellStyle name="Note 63" xfId="7584"/>
    <cellStyle name="Note 64" xfId="7585"/>
    <cellStyle name="Note 65" xfId="7586"/>
    <cellStyle name="Note 66" xfId="7587"/>
    <cellStyle name="Note 67" xfId="7588"/>
    <cellStyle name="Note 68" xfId="7589"/>
    <cellStyle name="Note 69" xfId="7590"/>
    <cellStyle name="Note 7" xfId="7591"/>
    <cellStyle name="Note 70" xfId="7592"/>
    <cellStyle name="Note 71" xfId="7593"/>
    <cellStyle name="Note 72" xfId="7594"/>
    <cellStyle name="Note 73" xfId="7595"/>
    <cellStyle name="Note 74" xfId="7596"/>
    <cellStyle name="Note 75" xfId="7597"/>
    <cellStyle name="Note 76" xfId="7598"/>
    <cellStyle name="Note 77" xfId="7599"/>
    <cellStyle name="Note 78" xfId="7600"/>
    <cellStyle name="Note 79" xfId="7601"/>
    <cellStyle name="Note 8" xfId="7602"/>
    <cellStyle name="Note 80" xfId="7603"/>
    <cellStyle name="Note 9" xfId="7604"/>
    <cellStyle name="Output" xfId="11" builtinId="21" customBuiltin="1"/>
    <cellStyle name="Output 10" xfId="7605"/>
    <cellStyle name="Output 11" xfId="7606"/>
    <cellStyle name="Output 12" xfId="7607"/>
    <cellStyle name="Output 13" xfId="7608"/>
    <cellStyle name="Output 14" xfId="7609"/>
    <cellStyle name="Output 15" xfId="7610"/>
    <cellStyle name="Output 16" xfId="7611"/>
    <cellStyle name="Output 17" xfId="7612"/>
    <cellStyle name="Output 18" xfId="7613"/>
    <cellStyle name="Output 19" xfId="7614"/>
    <cellStyle name="Output 2" xfId="7615"/>
    <cellStyle name="Output 2 2" xfId="7616"/>
    <cellStyle name="Output 2 3" xfId="7617"/>
    <cellStyle name="Output 20" xfId="7618"/>
    <cellStyle name="Output 21" xfId="7619"/>
    <cellStyle name="Output 22" xfId="7620"/>
    <cellStyle name="Output 23" xfId="7621"/>
    <cellStyle name="Output 24" xfId="7622"/>
    <cellStyle name="Output 25" xfId="7623"/>
    <cellStyle name="Output 26" xfId="7624"/>
    <cellStyle name="Output 27" xfId="7625"/>
    <cellStyle name="Output 28" xfId="7626"/>
    <cellStyle name="Output 29" xfId="7627"/>
    <cellStyle name="Output 3" xfId="7628"/>
    <cellStyle name="Output 30" xfId="7629"/>
    <cellStyle name="Output 31" xfId="7630"/>
    <cellStyle name="Output 32" xfId="7631"/>
    <cellStyle name="Output 33" xfId="7632"/>
    <cellStyle name="Output 34" xfId="7633"/>
    <cellStyle name="Output 35" xfId="7634"/>
    <cellStyle name="Output 36" xfId="7635"/>
    <cellStyle name="Output 37" xfId="7636"/>
    <cellStyle name="Output 38" xfId="7637"/>
    <cellStyle name="Output 39" xfId="7638"/>
    <cellStyle name="Output 4" xfId="7639"/>
    <cellStyle name="Output 40" xfId="7640"/>
    <cellStyle name="Output 41" xfId="7641"/>
    <cellStyle name="Output 42" xfId="7642"/>
    <cellStyle name="Output 43" xfId="7643"/>
    <cellStyle name="Output 44" xfId="7644"/>
    <cellStyle name="Output 45" xfId="7645"/>
    <cellStyle name="Output 46" xfId="7646"/>
    <cellStyle name="Output 47" xfId="7647"/>
    <cellStyle name="Output 48" xfId="7648"/>
    <cellStyle name="Output 49" xfId="7649"/>
    <cellStyle name="Output 5" xfId="7650"/>
    <cellStyle name="Output 50" xfId="7651"/>
    <cellStyle name="Output 51" xfId="7652"/>
    <cellStyle name="Output 52" xfId="7653"/>
    <cellStyle name="Output 53" xfId="7654"/>
    <cellStyle name="Output 54" xfId="7655"/>
    <cellStyle name="Output 55" xfId="7656"/>
    <cellStyle name="Output 56" xfId="7657"/>
    <cellStyle name="Output 57" xfId="7658"/>
    <cellStyle name="Output 58" xfId="7659"/>
    <cellStyle name="Output 59" xfId="7660"/>
    <cellStyle name="Output 6" xfId="7661"/>
    <cellStyle name="Output 60" xfId="7662"/>
    <cellStyle name="Output 61" xfId="7663"/>
    <cellStyle name="Output 62" xfId="7664"/>
    <cellStyle name="Output 63" xfId="7665"/>
    <cellStyle name="Output 64" xfId="7666"/>
    <cellStyle name="Output 65" xfId="7667"/>
    <cellStyle name="Output 66" xfId="7668"/>
    <cellStyle name="Output 67" xfId="7669"/>
    <cellStyle name="Output 68" xfId="7670"/>
    <cellStyle name="Output 69" xfId="7671"/>
    <cellStyle name="Output 7" xfId="7672"/>
    <cellStyle name="Output 70" xfId="7673"/>
    <cellStyle name="Output 71" xfId="7674"/>
    <cellStyle name="Output 72" xfId="7675"/>
    <cellStyle name="Output 73" xfId="7676"/>
    <cellStyle name="Output 74" xfId="7677"/>
    <cellStyle name="Output 75" xfId="7678"/>
    <cellStyle name="Output 76" xfId="7679"/>
    <cellStyle name="Output 77" xfId="7680"/>
    <cellStyle name="Output 78" xfId="7681"/>
    <cellStyle name="Output 79" xfId="7682"/>
    <cellStyle name="Output 8" xfId="7683"/>
    <cellStyle name="Output 9" xfId="7684"/>
    <cellStyle name="Percent" xfId="111" builtinId="5"/>
    <cellStyle name="Percent 2" xfId="7685"/>
    <cellStyle name="Percent 2 2" xfId="7686"/>
    <cellStyle name="Percent 2 3" xfId="7687"/>
    <cellStyle name="Percent 2 4" xfId="7688"/>
    <cellStyle name="Percent 3" xfId="7689"/>
    <cellStyle name="Percent 3 2" xfId="7690"/>
    <cellStyle name="Percent 4" xfId="7691"/>
    <cellStyle name="Percent 4 2" xfId="7692"/>
    <cellStyle name="Style 1" xfId="7693"/>
    <cellStyle name="Title" xfId="2" builtinId="15" customBuiltin="1"/>
    <cellStyle name="Title 10" xfId="7694"/>
    <cellStyle name="Title 11" xfId="7695"/>
    <cellStyle name="Title 12" xfId="7696"/>
    <cellStyle name="Title 13" xfId="7697"/>
    <cellStyle name="Title 14" xfId="7698"/>
    <cellStyle name="Title 15" xfId="7699"/>
    <cellStyle name="Title 16" xfId="7700"/>
    <cellStyle name="Title 17" xfId="7701"/>
    <cellStyle name="Title 18" xfId="7702"/>
    <cellStyle name="Title 19" xfId="7703"/>
    <cellStyle name="Title 2" xfId="7704"/>
    <cellStyle name="Title 20" xfId="7705"/>
    <cellStyle name="Title 21" xfId="7706"/>
    <cellStyle name="Title 22" xfId="7707"/>
    <cellStyle name="Title 23" xfId="7708"/>
    <cellStyle name="Title 24" xfId="7709"/>
    <cellStyle name="Title 25" xfId="7710"/>
    <cellStyle name="Title 26" xfId="7711"/>
    <cellStyle name="Title 27" xfId="7712"/>
    <cellStyle name="Title 28" xfId="7713"/>
    <cellStyle name="Title 29" xfId="7714"/>
    <cellStyle name="Title 3" xfId="7715"/>
    <cellStyle name="Title 30" xfId="7716"/>
    <cellStyle name="Title 31" xfId="7717"/>
    <cellStyle name="Title 32" xfId="7718"/>
    <cellStyle name="Title 33" xfId="7719"/>
    <cellStyle name="Title 34" xfId="7720"/>
    <cellStyle name="Title 35" xfId="7721"/>
    <cellStyle name="Title 36" xfId="7722"/>
    <cellStyle name="Title 37" xfId="7723"/>
    <cellStyle name="Title 38" xfId="7724"/>
    <cellStyle name="Title 39" xfId="7725"/>
    <cellStyle name="Title 4" xfId="7726"/>
    <cellStyle name="Title 40" xfId="7727"/>
    <cellStyle name="Title 41" xfId="7728"/>
    <cellStyle name="Title 42" xfId="7729"/>
    <cellStyle name="Title 43" xfId="7730"/>
    <cellStyle name="Title 44" xfId="7731"/>
    <cellStyle name="Title 45" xfId="7732"/>
    <cellStyle name="Title 46" xfId="7733"/>
    <cellStyle name="Title 47" xfId="7734"/>
    <cellStyle name="Title 48" xfId="7735"/>
    <cellStyle name="Title 49" xfId="7736"/>
    <cellStyle name="Title 5" xfId="7737"/>
    <cellStyle name="Title 50" xfId="7738"/>
    <cellStyle name="Title 51" xfId="7739"/>
    <cellStyle name="Title 52" xfId="7740"/>
    <cellStyle name="Title 53" xfId="7741"/>
    <cellStyle name="Title 54" xfId="7742"/>
    <cellStyle name="Title 55" xfId="7743"/>
    <cellStyle name="Title 56" xfId="7744"/>
    <cellStyle name="Title 57" xfId="7745"/>
    <cellStyle name="Title 58" xfId="7746"/>
    <cellStyle name="Title 59" xfId="7747"/>
    <cellStyle name="Title 6" xfId="7748"/>
    <cellStyle name="Title 60" xfId="7749"/>
    <cellStyle name="Title 61" xfId="7750"/>
    <cellStyle name="Title 62" xfId="7751"/>
    <cellStyle name="Title 63" xfId="7752"/>
    <cellStyle name="Title 64" xfId="7753"/>
    <cellStyle name="Title 65" xfId="7754"/>
    <cellStyle name="Title 66" xfId="7755"/>
    <cellStyle name="Title 67" xfId="7756"/>
    <cellStyle name="Title 68" xfId="7757"/>
    <cellStyle name="Title 69" xfId="7758"/>
    <cellStyle name="Title 7" xfId="7759"/>
    <cellStyle name="Title 70" xfId="7760"/>
    <cellStyle name="Title 71" xfId="7761"/>
    <cellStyle name="Title 72" xfId="7762"/>
    <cellStyle name="Title 73" xfId="7763"/>
    <cellStyle name="Title 74" xfId="7764"/>
    <cellStyle name="Title 75" xfId="7765"/>
    <cellStyle name="Title 76" xfId="7766"/>
    <cellStyle name="Title 77" xfId="7767"/>
    <cellStyle name="Title 78" xfId="7768"/>
    <cellStyle name="Title 79" xfId="7769"/>
    <cellStyle name="Title 8" xfId="7770"/>
    <cellStyle name="Title 9" xfId="7771"/>
    <cellStyle name="Total" xfId="18" builtinId="25" customBuiltin="1"/>
    <cellStyle name="Total 10" xfId="7772"/>
    <cellStyle name="Total 11" xfId="7773"/>
    <cellStyle name="Total 12" xfId="7774"/>
    <cellStyle name="Total 13" xfId="7775"/>
    <cellStyle name="Total 14" xfId="7776"/>
    <cellStyle name="Total 15" xfId="7777"/>
    <cellStyle name="Total 16" xfId="7778"/>
    <cellStyle name="Total 17" xfId="7779"/>
    <cellStyle name="Total 18" xfId="7780"/>
    <cellStyle name="Total 19" xfId="7781"/>
    <cellStyle name="Total 2" xfId="7782"/>
    <cellStyle name="Total 2 2" xfId="7783"/>
    <cellStyle name="Total 2 3" xfId="7784"/>
    <cellStyle name="Total 20" xfId="7785"/>
    <cellStyle name="Total 21" xfId="7786"/>
    <cellStyle name="Total 22" xfId="7787"/>
    <cellStyle name="Total 23" xfId="7788"/>
    <cellStyle name="Total 24" xfId="7789"/>
    <cellStyle name="Total 25" xfId="7790"/>
    <cellStyle name="Total 26" xfId="7791"/>
    <cellStyle name="Total 27" xfId="7792"/>
    <cellStyle name="Total 28" xfId="7793"/>
    <cellStyle name="Total 29" xfId="7794"/>
    <cellStyle name="Total 3" xfId="7795"/>
    <cellStyle name="Total 30" xfId="7796"/>
    <cellStyle name="Total 31" xfId="7797"/>
    <cellStyle name="Total 32" xfId="7798"/>
    <cellStyle name="Total 33" xfId="7799"/>
    <cellStyle name="Total 34" xfId="7800"/>
    <cellStyle name="Total 35" xfId="7801"/>
    <cellStyle name="Total 36" xfId="7802"/>
    <cellStyle name="Total 37" xfId="7803"/>
    <cellStyle name="Total 38" xfId="7804"/>
    <cellStyle name="Total 39" xfId="7805"/>
    <cellStyle name="Total 4" xfId="7806"/>
    <cellStyle name="Total 40" xfId="7807"/>
    <cellStyle name="Total 41" xfId="7808"/>
    <cellStyle name="Total 42" xfId="7809"/>
    <cellStyle name="Total 43" xfId="7810"/>
    <cellStyle name="Total 44" xfId="7811"/>
    <cellStyle name="Total 45" xfId="7812"/>
    <cellStyle name="Total 46" xfId="7813"/>
    <cellStyle name="Total 47" xfId="7814"/>
    <cellStyle name="Total 48" xfId="7815"/>
    <cellStyle name="Total 49" xfId="7816"/>
    <cellStyle name="Total 5" xfId="7817"/>
    <cellStyle name="Total 50" xfId="7818"/>
    <cellStyle name="Total 51" xfId="7819"/>
    <cellStyle name="Total 52" xfId="7820"/>
    <cellStyle name="Total 53" xfId="7821"/>
    <cellStyle name="Total 54" xfId="7822"/>
    <cellStyle name="Total 55" xfId="7823"/>
    <cellStyle name="Total 56" xfId="7824"/>
    <cellStyle name="Total 57" xfId="7825"/>
    <cellStyle name="Total 58" xfId="7826"/>
    <cellStyle name="Total 59" xfId="7827"/>
    <cellStyle name="Total 6" xfId="7828"/>
    <cellStyle name="Total 60" xfId="7829"/>
    <cellStyle name="Total 61" xfId="7830"/>
    <cellStyle name="Total 62" xfId="7831"/>
    <cellStyle name="Total 63" xfId="7832"/>
    <cellStyle name="Total 64" xfId="7833"/>
    <cellStyle name="Total 65" xfId="7834"/>
    <cellStyle name="Total 66" xfId="7835"/>
    <cellStyle name="Total 67" xfId="7836"/>
    <cellStyle name="Total 68" xfId="7837"/>
    <cellStyle name="Total 69" xfId="7838"/>
    <cellStyle name="Total 7" xfId="7839"/>
    <cellStyle name="Total 70" xfId="7840"/>
    <cellStyle name="Total 71" xfId="7841"/>
    <cellStyle name="Total 72" xfId="7842"/>
    <cellStyle name="Total 73" xfId="7843"/>
    <cellStyle name="Total 74" xfId="7844"/>
    <cellStyle name="Total 75" xfId="7845"/>
    <cellStyle name="Total 76" xfId="7846"/>
    <cellStyle name="Total 77" xfId="7847"/>
    <cellStyle name="Total 78" xfId="7848"/>
    <cellStyle name="Total 79" xfId="7849"/>
    <cellStyle name="Total 8" xfId="7850"/>
    <cellStyle name="Total 9" xfId="7851"/>
    <cellStyle name="Warning Text" xfId="15" builtinId="11" customBuiltin="1"/>
    <cellStyle name="Warning Text 10" xfId="7852"/>
    <cellStyle name="Warning Text 11" xfId="7853"/>
    <cellStyle name="Warning Text 12" xfId="7854"/>
    <cellStyle name="Warning Text 13" xfId="7855"/>
    <cellStyle name="Warning Text 14" xfId="7856"/>
    <cellStyle name="Warning Text 15" xfId="7857"/>
    <cellStyle name="Warning Text 16" xfId="7858"/>
    <cellStyle name="Warning Text 17" xfId="7859"/>
    <cellStyle name="Warning Text 18" xfId="7860"/>
    <cellStyle name="Warning Text 19" xfId="7861"/>
    <cellStyle name="Warning Text 2" xfId="7862"/>
    <cellStyle name="Warning Text 2 2" xfId="7863"/>
    <cellStyle name="Warning Text 2 3" xfId="7864"/>
    <cellStyle name="Warning Text 20" xfId="7865"/>
    <cellStyle name="Warning Text 21" xfId="7866"/>
    <cellStyle name="Warning Text 22" xfId="7867"/>
    <cellStyle name="Warning Text 23" xfId="7868"/>
    <cellStyle name="Warning Text 24" xfId="7869"/>
    <cellStyle name="Warning Text 25" xfId="7870"/>
    <cellStyle name="Warning Text 26" xfId="7871"/>
    <cellStyle name="Warning Text 27" xfId="7872"/>
    <cellStyle name="Warning Text 28" xfId="7873"/>
    <cellStyle name="Warning Text 29" xfId="7874"/>
    <cellStyle name="Warning Text 3" xfId="7875"/>
    <cellStyle name="Warning Text 30" xfId="7876"/>
    <cellStyle name="Warning Text 31" xfId="7877"/>
    <cellStyle name="Warning Text 32" xfId="7878"/>
    <cellStyle name="Warning Text 33" xfId="7879"/>
    <cellStyle name="Warning Text 34" xfId="7880"/>
    <cellStyle name="Warning Text 35" xfId="7881"/>
    <cellStyle name="Warning Text 36" xfId="7882"/>
    <cellStyle name="Warning Text 37" xfId="7883"/>
    <cellStyle name="Warning Text 38" xfId="7884"/>
    <cellStyle name="Warning Text 39" xfId="7885"/>
    <cellStyle name="Warning Text 4" xfId="7886"/>
    <cellStyle name="Warning Text 40" xfId="7887"/>
    <cellStyle name="Warning Text 41" xfId="7888"/>
    <cellStyle name="Warning Text 42" xfId="7889"/>
    <cellStyle name="Warning Text 43" xfId="7890"/>
    <cellStyle name="Warning Text 44" xfId="7891"/>
    <cellStyle name="Warning Text 45" xfId="7892"/>
    <cellStyle name="Warning Text 46" xfId="7893"/>
    <cellStyle name="Warning Text 47" xfId="7894"/>
    <cellStyle name="Warning Text 48" xfId="7895"/>
    <cellStyle name="Warning Text 49" xfId="7896"/>
    <cellStyle name="Warning Text 5" xfId="7897"/>
    <cellStyle name="Warning Text 50" xfId="7898"/>
    <cellStyle name="Warning Text 51" xfId="7899"/>
    <cellStyle name="Warning Text 52" xfId="7900"/>
    <cellStyle name="Warning Text 53" xfId="7901"/>
    <cellStyle name="Warning Text 54" xfId="7902"/>
    <cellStyle name="Warning Text 55" xfId="7903"/>
    <cellStyle name="Warning Text 56" xfId="7904"/>
    <cellStyle name="Warning Text 57" xfId="7905"/>
    <cellStyle name="Warning Text 58" xfId="7906"/>
    <cellStyle name="Warning Text 59" xfId="7907"/>
    <cellStyle name="Warning Text 6" xfId="7908"/>
    <cellStyle name="Warning Text 60" xfId="7909"/>
    <cellStyle name="Warning Text 61" xfId="7910"/>
    <cellStyle name="Warning Text 62" xfId="7911"/>
    <cellStyle name="Warning Text 63" xfId="7912"/>
    <cellStyle name="Warning Text 64" xfId="7913"/>
    <cellStyle name="Warning Text 65" xfId="7914"/>
    <cellStyle name="Warning Text 66" xfId="7915"/>
    <cellStyle name="Warning Text 67" xfId="7916"/>
    <cellStyle name="Warning Text 68" xfId="7917"/>
    <cellStyle name="Warning Text 69" xfId="7918"/>
    <cellStyle name="Warning Text 7" xfId="7919"/>
    <cellStyle name="Warning Text 70" xfId="7920"/>
    <cellStyle name="Warning Text 71" xfId="7921"/>
    <cellStyle name="Warning Text 72" xfId="7922"/>
    <cellStyle name="Warning Text 73" xfId="7923"/>
    <cellStyle name="Warning Text 74" xfId="7924"/>
    <cellStyle name="Warning Text 75" xfId="7925"/>
    <cellStyle name="Warning Text 76" xfId="7926"/>
    <cellStyle name="Warning Text 77" xfId="7927"/>
    <cellStyle name="Warning Text 78" xfId="7928"/>
    <cellStyle name="Warning Text 8" xfId="7929"/>
    <cellStyle name="Warning Text 9" xfId="7930"/>
  </cellStyles>
  <dxfs count="0"/>
  <tableStyles count="0" defaultTableStyle="TableStyleMedium2" defaultPivotStyle="PivotStyleLight16"/>
  <colors>
    <mruColors>
      <color rgb="FFFF6600"/>
      <color rgb="FFFF9999"/>
      <color rgb="FF00FFFF"/>
      <color rgb="FF99CC00"/>
      <color rgb="FFFF9900"/>
      <color rgb="FFFF9933"/>
      <color rgb="FFFF00FF"/>
      <color rgb="FFCCFF99"/>
      <color rgb="FF99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Supply and Managed Demand</a:t>
            </a:r>
          </a:p>
        </c:rich>
      </c:tx>
      <c:overlay val="0"/>
    </c:title>
    <c:autoTitleDeleted val="0"/>
    <c:plotArea>
      <c:layout/>
      <c:scatterChart>
        <c:scatterStyle val="lineMarker"/>
        <c:varyColors val="0"/>
        <c:ser>
          <c:idx val="0"/>
          <c:order val="0"/>
          <c:tx>
            <c:strRef>
              <c:f>Scenarios!$D$82</c:f>
              <c:strCache>
                <c:ptCount val="1"/>
                <c:pt idx="0">
                  <c:v>Demand: Trajectory Scenario</c:v>
                </c:pt>
              </c:strCache>
            </c:strRef>
          </c:tx>
          <c:spPr>
            <a:ln w="28575">
              <a:solidFill>
                <a:srgbClr val="99CC00"/>
              </a:solidFill>
            </a:ln>
          </c:spPr>
          <c:marker>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Scenarios!$E$82:$Y$82</c:f>
              <c:numCache>
                <c:formatCode>_(* #,##0_);_(* \(#,##0\);_(* "-"??_);_(@_)</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1"/>
          <c:order val="1"/>
          <c:tx>
            <c:v>Demand: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Scenarios!$E$6:$Y$6</c:f>
              <c:numCache>
                <c:formatCode>#,##0_);[Red]\(#,##0\)</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3"/>
          <c:order val="2"/>
          <c:tx>
            <c:strRef>
              <c:f>Scenarios!$D$83</c:f>
              <c:strCache>
                <c:ptCount val="1"/>
                <c:pt idx="0">
                  <c:v>Supply: Trajectory Scenario</c:v>
                </c:pt>
              </c:strCache>
            </c:strRef>
          </c:tx>
          <c:spPr>
            <a:ln w="28575">
              <a:solidFill>
                <a:srgbClr val="0070C0"/>
              </a:solidFill>
            </a:ln>
          </c:spPr>
          <c:marker>
            <c:symbol val="diamond"/>
            <c:size val="9"/>
            <c:spPr>
              <a:solidFill>
                <a:srgbClr val="0070C0"/>
              </a:solidFill>
              <a:ln>
                <a:solidFill>
                  <a:srgbClr val="0070C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Scenarios!$E$83:$Y$83</c:f>
              <c:numCache>
                <c:formatCode>_(* #,##0_);_(* \(#,##0\);_(* "-"??_);_(@_)</c:formatCode>
                <c:ptCount val="21"/>
                <c:pt idx="0">
                  <c:v>65627.483848994176</c:v>
                </c:pt>
                <c:pt idx="1">
                  <c:v>66869.868691835771</c:v>
                </c:pt>
                <c:pt idx="2">
                  <c:v>68211.522643179502</c:v>
                </c:pt>
                <c:pt idx="3">
                  <c:v>68490.757150675548</c:v>
                </c:pt>
                <c:pt idx="4">
                  <c:v>63223.695152783141</c:v>
                </c:pt>
                <c:pt idx="5">
                  <c:v>65733.896187561593</c:v>
                </c:pt>
                <c:pt idx="6">
                  <c:v>66269.868436667457</c:v>
                </c:pt>
                <c:pt idx="7">
                  <c:v>60540.800687403666</c:v>
                </c:pt>
                <c:pt idx="8">
                  <c:v>60682.376794996308</c:v>
                </c:pt>
                <c:pt idx="9">
                  <c:v>60850.444520677833</c:v>
                </c:pt>
                <c:pt idx="10">
                  <c:v>60906.137020677837</c:v>
                </c:pt>
                <c:pt idx="11">
                  <c:v>60626.169890512618</c:v>
                </c:pt>
                <c:pt idx="12">
                  <c:v>60529.162760347404</c:v>
                </c:pt>
                <c:pt idx="13">
                  <c:v>59864.635630182165</c:v>
                </c:pt>
                <c:pt idx="14">
                  <c:v>59816.118500016935</c:v>
                </c:pt>
                <c:pt idx="15">
                  <c:v>59176.861369851707</c:v>
                </c:pt>
                <c:pt idx="16">
                  <c:v>58773.83423968649</c:v>
                </c:pt>
                <c:pt idx="17">
                  <c:v>58611.937109521255</c:v>
                </c:pt>
                <c:pt idx="18">
                  <c:v>58669.619979356037</c:v>
                </c:pt>
                <c:pt idx="19">
                  <c:v>58727.65284919081</c:v>
                </c:pt>
                <c:pt idx="20">
                  <c:v>58745.345719025572</c:v>
                </c:pt>
              </c:numCache>
            </c:numRef>
          </c:yVal>
          <c:smooth val="0"/>
        </c:ser>
        <c:ser>
          <c:idx val="2"/>
          <c:order val="3"/>
          <c:tx>
            <c:v>Supply: currently selected assumptions</c:v>
          </c:tx>
          <c:spPr>
            <a:ln w="28575">
              <a:solidFill>
                <a:srgbClr val="FF6600"/>
              </a:solidFill>
            </a:ln>
          </c:spPr>
          <c:marker>
            <c:symbol val="triangle"/>
            <c:size val="9"/>
            <c:spPr>
              <a:noFill/>
              <a:ln>
                <a:solidFill>
                  <a:srgbClr val="FF66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Scenarios!$E$31:$Y$31</c:f>
              <c:numCache>
                <c:formatCode>#,##0_);[Red]\(#,##0\)</c:formatCode>
                <c:ptCount val="21"/>
                <c:pt idx="0">
                  <c:v>65627.483848994176</c:v>
                </c:pt>
                <c:pt idx="1">
                  <c:v>66869.868691835771</c:v>
                </c:pt>
                <c:pt idx="2">
                  <c:v>68211.522643179502</c:v>
                </c:pt>
                <c:pt idx="3">
                  <c:v>68490.757150675548</c:v>
                </c:pt>
                <c:pt idx="4">
                  <c:v>63223.695152783141</c:v>
                </c:pt>
                <c:pt idx="5">
                  <c:v>65733.896187561593</c:v>
                </c:pt>
                <c:pt idx="6">
                  <c:v>66269.868436667457</c:v>
                </c:pt>
                <c:pt idx="7">
                  <c:v>60540.800687403666</c:v>
                </c:pt>
                <c:pt idx="8">
                  <c:v>60682.376794996308</c:v>
                </c:pt>
                <c:pt idx="9">
                  <c:v>60850.444520677833</c:v>
                </c:pt>
                <c:pt idx="10">
                  <c:v>60906.137020677837</c:v>
                </c:pt>
                <c:pt idx="11">
                  <c:v>60626.169890512618</c:v>
                </c:pt>
                <c:pt idx="12">
                  <c:v>60529.162760347404</c:v>
                </c:pt>
                <c:pt idx="13">
                  <c:v>59864.635630182165</c:v>
                </c:pt>
                <c:pt idx="14">
                  <c:v>59816.118500016935</c:v>
                </c:pt>
                <c:pt idx="15">
                  <c:v>59176.861369851707</c:v>
                </c:pt>
                <c:pt idx="16">
                  <c:v>58773.83423968649</c:v>
                </c:pt>
                <c:pt idx="17">
                  <c:v>58611.937109521255</c:v>
                </c:pt>
                <c:pt idx="18">
                  <c:v>58669.619979356037</c:v>
                </c:pt>
                <c:pt idx="19">
                  <c:v>58727.65284919081</c:v>
                </c:pt>
                <c:pt idx="20">
                  <c:v>58745.345719025572</c:v>
                </c:pt>
              </c:numCache>
            </c:numRef>
          </c:yVal>
          <c:smooth val="0"/>
        </c:ser>
        <c:dLbls>
          <c:showLegendKey val="0"/>
          <c:showVal val="0"/>
          <c:showCatName val="0"/>
          <c:showSerName val="0"/>
          <c:showPercent val="0"/>
          <c:showBubbleSize val="0"/>
        </c:dLbls>
        <c:axId val="150337024"/>
        <c:axId val="150338944"/>
      </c:scatterChart>
      <c:valAx>
        <c:axId val="150337024"/>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50338944"/>
        <c:crosses val="autoZero"/>
        <c:crossBetween val="midCat"/>
        <c:majorUnit val="2"/>
        <c:minorUnit val="0.2"/>
      </c:valAx>
      <c:valAx>
        <c:axId val="150338944"/>
        <c:scaling>
          <c:orientation val="minMax"/>
          <c:max val="75000"/>
          <c:min val="45000"/>
        </c:scaling>
        <c:delete val="0"/>
        <c:axPos val="l"/>
        <c:majorGridlines/>
        <c:title>
          <c:tx>
            <c:rich>
              <a:bodyPr rot="-5400000" vert="horz"/>
              <a:lstStyle/>
              <a:p>
                <a:pPr>
                  <a:defRPr/>
                </a:pPr>
                <a:r>
                  <a:rPr lang="en-US"/>
                  <a:t>MW</a:t>
                </a:r>
              </a:p>
            </c:rich>
          </c:tx>
          <c:overlay val="0"/>
        </c:title>
        <c:numFmt formatCode="_(* #,##0_);_(* \(#,##0\);_(* &quot;-&quot;??_);_(@_)" sourceLinked="1"/>
        <c:majorTickMark val="out"/>
        <c:minorTickMark val="none"/>
        <c:tickLblPos val="nextTo"/>
        <c:crossAx val="150337024"/>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Managed Energy</a:t>
            </a:r>
          </a:p>
        </c:rich>
      </c:tx>
      <c:overlay val="0"/>
    </c:title>
    <c:autoTitleDeleted val="0"/>
    <c:plotArea>
      <c:layout/>
      <c:scatterChart>
        <c:scatterStyle val="lineMarker"/>
        <c:varyColors val="0"/>
        <c:ser>
          <c:idx val="0"/>
          <c:order val="0"/>
          <c:tx>
            <c:strRef>
              <c:f>Scenarios!$D$84</c:f>
              <c:strCache>
                <c:ptCount val="1"/>
                <c:pt idx="0">
                  <c:v>Energy: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Scenarios!$E$84:$Y$84</c:f>
              <c:numCache>
                <c:formatCode>_(* #,##0_);_(* \(#,##0\);_(* "-"??_);_(@_)</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ser>
          <c:idx val="1"/>
          <c:order val="1"/>
          <c:tx>
            <c:v>Energy: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Scenarios!$E$38:$Y$38</c:f>
              <c:numCache>
                <c:formatCode>#,##0_);[Red]\(#,##0\)</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dLbls>
          <c:showLegendKey val="0"/>
          <c:showVal val="0"/>
          <c:showCatName val="0"/>
          <c:showSerName val="0"/>
          <c:showPercent val="0"/>
          <c:showBubbleSize val="0"/>
        </c:dLbls>
        <c:axId val="150358656"/>
        <c:axId val="150377216"/>
      </c:scatterChart>
      <c:valAx>
        <c:axId val="150358656"/>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50377216"/>
        <c:crosses val="autoZero"/>
        <c:crossBetween val="midCat"/>
        <c:majorUnit val="2"/>
        <c:minorUnit val="0.2"/>
      </c:valAx>
      <c:valAx>
        <c:axId val="150377216"/>
        <c:scaling>
          <c:orientation val="minMax"/>
          <c:max val="300000"/>
          <c:min val="220000"/>
        </c:scaling>
        <c:delete val="0"/>
        <c:axPos val="l"/>
        <c:majorGridlines/>
        <c:title>
          <c:tx>
            <c:rich>
              <a:bodyPr rot="-5400000" vert="horz"/>
              <a:lstStyle/>
              <a:p>
                <a:pPr>
                  <a:defRPr/>
                </a:pPr>
                <a:r>
                  <a:rPr lang="en-US"/>
                  <a:t>GWh</a:t>
                </a:r>
              </a:p>
            </c:rich>
          </c:tx>
          <c:overlay val="0"/>
        </c:title>
        <c:numFmt formatCode="_(* #,##0_);_(* \(#,##0\);_(* &quot;-&quot;??_);_(@_)" sourceLinked="1"/>
        <c:majorTickMark val="out"/>
        <c:minorTickMark val="none"/>
        <c:tickLblPos val="nextTo"/>
        <c:crossAx val="150358656"/>
        <c:crosses val="autoZero"/>
        <c:crossBetween val="midCat"/>
        <c:minorUnit val="400"/>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Net System</a:t>
            </a:r>
            <a:r>
              <a:rPr lang="en-US" baseline="0"/>
              <a:t> Balance</a:t>
            </a:r>
            <a:endParaRPr lang="en-US"/>
          </a:p>
        </c:rich>
      </c:tx>
      <c:overlay val="0"/>
    </c:title>
    <c:autoTitleDeleted val="0"/>
    <c:plotArea>
      <c:layout/>
      <c:scatterChart>
        <c:scatterStyle val="lineMarker"/>
        <c:varyColors val="0"/>
        <c:ser>
          <c:idx val="0"/>
          <c:order val="0"/>
          <c:tx>
            <c:strRef>
              <c:f>Scenarios!$D$85</c:f>
              <c:strCache>
                <c:ptCount val="1"/>
                <c:pt idx="0">
                  <c:v>System Balance: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Scenarios!$E$85:$Y$85</c:f>
              <c:numCache>
                <c:formatCode>0%</c:formatCode>
                <c:ptCount val="21"/>
                <c:pt idx="0">
                  <c:v>1.329583374495052</c:v>
                </c:pt>
                <c:pt idx="1">
                  <c:v>1.3414456656522207</c:v>
                </c:pt>
                <c:pt idx="2">
                  <c:v>1.3666010665724717</c:v>
                </c:pt>
                <c:pt idx="3">
                  <c:v>1.3686765532702152</c:v>
                </c:pt>
                <c:pt idx="4">
                  <c:v>1.2584698734863551</c:v>
                </c:pt>
                <c:pt idx="5">
                  <c:v>1.3022423069169138</c:v>
                </c:pt>
                <c:pt idx="6">
                  <c:v>1.3059474714326729</c:v>
                </c:pt>
                <c:pt idx="7">
                  <c:v>1.1888415384503412</c:v>
                </c:pt>
                <c:pt idx="8">
                  <c:v>1.1887051226758136</c:v>
                </c:pt>
                <c:pt idx="9">
                  <c:v>1.1918768825271229</c:v>
                </c:pt>
                <c:pt idx="10">
                  <c:v>1.1941760305844422</c:v>
                </c:pt>
                <c:pt idx="11">
                  <c:v>1.184800350630961</c:v>
                </c:pt>
                <c:pt idx="12">
                  <c:v>1.1790370590596146</c:v>
                </c:pt>
                <c:pt idx="13">
                  <c:v>1.1622803080779922</c:v>
                </c:pt>
                <c:pt idx="14">
                  <c:v>1.1575413437425917</c:v>
                </c:pt>
                <c:pt idx="15">
                  <c:v>1.1414265182728747</c:v>
                </c:pt>
                <c:pt idx="16">
                  <c:v>1.1299462934386444</c:v>
                </c:pt>
                <c:pt idx="17">
                  <c:v>1.1231495831791185</c:v>
                </c:pt>
                <c:pt idx="18">
                  <c:v>1.1205791763671435</c:v>
                </c:pt>
                <c:pt idx="19">
                  <c:v>1.1180202344688246</c:v>
                </c:pt>
                <c:pt idx="20">
                  <c:v>1.1147005901544937</c:v>
                </c:pt>
              </c:numCache>
            </c:numRef>
          </c:yVal>
          <c:smooth val="0"/>
        </c:ser>
        <c:dLbls>
          <c:showLegendKey val="0"/>
          <c:showVal val="0"/>
          <c:showCatName val="0"/>
          <c:showSerName val="0"/>
          <c:showPercent val="0"/>
          <c:showBubbleSize val="0"/>
        </c:dLbls>
        <c:axId val="152971904"/>
        <c:axId val="152974080"/>
      </c:scatterChart>
      <c:scatterChart>
        <c:scatterStyle val="lineMarker"/>
        <c:varyColors val="0"/>
        <c:ser>
          <c:idx val="1"/>
          <c:order val="1"/>
          <c:tx>
            <c:v>System balance: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Scenarios!$E$51:$Y$51</c:f>
              <c:numCache>
                <c:formatCode>0%</c:formatCode>
                <c:ptCount val="21"/>
                <c:pt idx="0">
                  <c:v>1.329583374495052</c:v>
                </c:pt>
                <c:pt idx="1">
                  <c:v>1.3414456656522207</c:v>
                </c:pt>
                <c:pt idx="2">
                  <c:v>1.3666010665724717</c:v>
                </c:pt>
                <c:pt idx="3">
                  <c:v>1.3686765532702152</c:v>
                </c:pt>
                <c:pt idx="4">
                  <c:v>1.2584698734863551</c:v>
                </c:pt>
                <c:pt idx="5">
                  <c:v>1.3022423069169138</c:v>
                </c:pt>
                <c:pt idx="6">
                  <c:v>1.3059474714326729</c:v>
                </c:pt>
                <c:pt idx="7">
                  <c:v>1.1888415384503412</c:v>
                </c:pt>
                <c:pt idx="8">
                  <c:v>1.1887051226758136</c:v>
                </c:pt>
                <c:pt idx="9">
                  <c:v>1.1918768825271229</c:v>
                </c:pt>
                <c:pt idx="10">
                  <c:v>1.1941760305844422</c:v>
                </c:pt>
                <c:pt idx="11">
                  <c:v>1.184800350630961</c:v>
                </c:pt>
                <c:pt idx="12">
                  <c:v>1.1790370590596146</c:v>
                </c:pt>
                <c:pt idx="13">
                  <c:v>1.1622803080779922</c:v>
                </c:pt>
                <c:pt idx="14">
                  <c:v>1.1575413437425917</c:v>
                </c:pt>
                <c:pt idx="15">
                  <c:v>1.1414265182728747</c:v>
                </c:pt>
                <c:pt idx="16">
                  <c:v>1.1299462934386444</c:v>
                </c:pt>
                <c:pt idx="17">
                  <c:v>1.1231495831791185</c:v>
                </c:pt>
                <c:pt idx="18">
                  <c:v>1.1205791763671435</c:v>
                </c:pt>
                <c:pt idx="19">
                  <c:v>1.1180202344688246</c:v>
                </c:pt>
                <c:pt idx="20">
                  <c:v>1.1147005901544937</c:v>
                </c:pt>
              </c:numCache>
            </c:numRef>
          </c:yVal>
          <c:smooth val="0"/>
        </c:ser>
        <c:dLbls>
          <c:showLegendKey val="0"/>
          <c:showVal val="0"/>
          <c:showCatName val="0"/>
          <c:showSerName val="0"/>
          <c:showPercent val="0"/>
          <c:showBubbleSize val="0"/>
        </c:dLbls>
        <c:axId val="152977408"/>
        <c:axId val="152975616"/>
      </c:scatterChart>
      <c:valAx>
        <c:axId val="152971904"/>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52974080"/>
        <c:crosses val="autoZero"/>
        <c:crossBetween val="midCat"/>
        <c:majorUnit val="2"/>
        <c:minorUnit val="0.2"/>
      </c:valAx>
      <c:valAx>
        <c:axId val="152974080"/>
        <c:scaling>
          <c:orientation val="minMax"/>
          <c:max val="1.55"/>
          <c:min val="0.85"/>
        </c:scaling>
        <c:delete val="0"/>
        <c:axPos val="l"/>
        <c:majorGridlines/>
        <c:numFmt formatCode="0%" sourceLinked="1"/>
        <c:majorTickMark val="out"/>
        <c:minorTickMark val="none"/>
        <c:tickLblPos val="nextTo"/>
        <c:crossAx val="152971904"/>
        <c:crosses val="autoZero"/>
        <c:crossBetween val="midCat"/>
      </c:valAx>
      <c:valAx>
        <c:axId val="152975616"/>
        <c:scaling>
          <c:orientation val="minMax"/>
          <c:max val="1.55"/>
          <c:min val="0.85"/>
        </c:scaling>
        <c:delete val="0"/>
        <c:axPos val="r"/>
        <c:numFmt formatCode="0%" sourceLinked="1"/>
        <c:majorTickMark val="out"/>
        <c:minorTickMark val="none"/>
        <c:tickLblPos val="nextTo"/>
        <c:crossAx val="152977408"/>
        <c:crosses val="max"/>
        <c:crossBetween val="midCat"/>
      </c:valAx>
      <c:valAx>
        <c:axId val="152977408"/>
        <c:scaling>
          <c:orientation val="minMax"/>
          <c:max val="2034"/>
          <c:min val="2014"/>
        </c:scaling>
        <c:delete val="1"/>
        <c:axPos val="b"/>
        <c:numFmt formatCode="General" sourceLinked="1"/>
        <c:majorTickMark val="out"/>
        <c:minorTickMark val="none"/>
        <c:tickLblPos val="nextTo"/>
        <c:crossAx val="152975616"/>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'IncSmallPV Extrapolate'!$A$4</c:f>
              <c:strCache>
                <c:ptCount val="1"/>
                <c:pt idx="0">
                  <c:v>IEPR low load/high PV</c:v>
                </c:pt>
              </c:strCache>
            </c:strRef>
          </c:tx>
          <c:spPr>
            <a:ln w="28575">
              <a:noFill/>
            </a:ln>
          </c:spPr>
          <c:marker>
            <c:symbol val="square"/>
            <c:size val="7"/>
            <c:spPr>
              <a:noFill/>
              <a:ln>
                <a:solidFill>
                  <a:srgbClr val="00B0F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Extrapolate'!$C$4:$W$4</c:f>
              <c:numCache>
                <c:formatCode>_(* #,##0_);_(* \(#,##0\);_(* "-"??_);_(@_)</c:formatCode>
                <c:ptCount val="21"/>
                <c:pt idx="0">
                  <c:v>240.77212213857013</c:v>
                </c:pt>
                <c:pt idx="1">
                  <c:v>277.45760495358206</c:v>
                </c:pt>
                <c:pt idx="2">
                  <c:v>324.16562457460873</c:v>
                </c:pt>
                <c:pt idx="3">
                  <c:v>334.98944369929512</c:v>
                </c:pt>
                <c:pt idx="4">
                  <c:v>347.12655776038548</c:v>
                </c:pt>
                <c:pt idx="5">
                  <c:v>360.46888734635104</c:v>
                </c:pt>
                <c:pt idx="6">
                  <c:v>396.87489068423872</c:v>
                </c:pt>
                <c:pt idx="7">
                  <c:v>440.96277009790026</c:v>
                </c:pt>
                <c:pt idx="8">
                  <c:v>490.16097165929921</c:v>
                </c:pt>
                <c:pt idx="9">
                  <c:v>542.77238443011925</c:v>
                </c:pt>
                <c:pt idx="10">
                  <c:v>598.18948313246676</c:v>
                </c:pt>
              </c:numCache>
            </c:numRef>
          </c:yVal>
          <c:smooth val="0"/>
        </c:ser>
        <c:ser>
          <c:idx val="1"/>
          <c:order val="1"/>
          <c:tx>
            <c:strRef>
              <c:f>'IncSmallPV Extrapolate'!$A$6</c:f>
              <c:strCache>
                <c:ptCount val="1"/>
                <c:pt idx="0">
                  <c:v>E3 NEM Cost-Eff Eval</c:v>
                </c:pt>
              </c:strCache>
            </c:strRef>
          </c:tx>
          <c:spPr>
            <a:ln w="28575">
              <a:noFill/>
            </a:ln>
          </c:spPr>
          <c:marker>
            <c:spPr>
              <a:noFill/>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Extrapolate'!$C$6:$W$6</c:f>
              <c:numCache>
                <c:formatCode>_(* #,##0_);_(* \(#,##0\);_(* "-"??_);_(@_)</c:formatCode>
                <c:ptCount val="21"/>
                <c:pt idx="0">
                  <c:v>255.17460913628341</c:v>
                </c:pt>
                <c:pt idx="1">
                  <c:v>312.80110160518439</c:v>
                </c:pt>
                <c:pt idx="2">
                  <c:v>375.3559259622171</c:v>
                </c:pt>
                <c:pt idx="3">
                  <c:v>442.34299034848806</c:v>
                </c:pt>
                <c:pt idx="4">
                  <c:v>513.26620292566713</c:v>
                </c:pt>
                <c:pt idx="5">
                  <c:v>587.62947183851145</c:v>
                </c:pt>
                <c:pt idx="6">
                  <c:v>657.07408707208413</c:v>
                </c:pt>
                <c:pt idx="7">
                  <c:v>719.56700000000012</c:v>
                </c:pt>
                <c:pt idx="8">
                  <c:v>787.18400000000008</c:v>
                </c:pt>
                <c:pt idx="9">
                  <c:v>854.80100000000004</c:v>
                </c:pt>
                <c:pt idx="10">
                  <c:v>922.41800000000001</c:v>
                </c:pt>
              </c:numCache>
            </c:numRef>
          </c:yVal>
          <c:smooth val="0"/>
        </c:ser>
        <c:ser>
          <c:idx val="4"/>
          <c:order val="2"/>
          <c:tx>
            <c:strRef>
              <c:f>'IncSmallPV Extrapolate'!$A$8</c:f>
              <c:strCache>
                <c:ptCount val="1"/>
                <c:pt idx="0">
                  <c:v>IEPR mid load/mid PV</c:v>
                </c:pt>
              </c:strCache>
            </c:strRef>
          </c:tx>
          <c:spPr>
            <a:ln w="28575">
              <a:noFill/>
            </a:ln>
          </c:spPr>
          <c:marker>
            <c:symbol val="square"/>
            <c:size val="7"/>
            <c:spPr>
              <a:noFill/>
              <a:ln>
                <a:solidFill>
                  <a:srgbClr val="FF000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Extrapolate'!$C$8:$W$8</c:f>
              <c:numCache>
                <c:formatCode>_(* #,##0_);_(* \(#,##0\);_(* "-"??_);_(@_)</c:formatCode>
                <c:ptCount val="21"/>
                <c:pt idx="0">
                  <c:v>225.04725646891512</c:v>
                </c:pt>
                <c:pt idx="1">
                  <c:v>252.81008470150408</c:v>
                </c:pt>
                <c:pt idx="2">
                  <c:v>290.4623418671847</c:v>
                </c:pt>
                <c:pt idx="3">
                  <c:v>300.31769099053008</c:v>
                </c:pt>
                <c:pt idx="4">
                  <c:v>311.56616233650345</c:v>
                </c:pt>
                <c:pt idx="5">
                  <c:v>323.96801596704307</c:v>
                </c:pt>
                <c:pt idx="6">
                  <c:v>351.65659025973571</c:v>
                </c:pt>
                <c:pt idx="7">
                  <c:v>389.06828592015523</c:v>
                </c:pt>
                <c:pt idx="8">
                  <c:v>432.87212766361716</c:v>
                </c:pt>
                <c:pt idx="9">
                  <c:v>481.52160458883816</c:v>
                </c:pt>
                <c:pt idx="10">
                  <c:v>534.13296452847976</c:v>
                </c:pt>
              </c:numCache>
            </c:numRef>
          </c:yVal>
          <c:smooth val="0"/>
        </c:ser>
        <c:ser>
          <c:idx val="2"/>
          <c:order val="3"/>
          <c:tx>
            <c:v>IEPR high trend</c:v>
          </c:tx>
          <c:spPr>
            <a:ln w="28575">
              <a:noFill/>
            </a:ln>
          </c:spPr>
          <c:trendline>
            <c:spPr>
              <a:ln>
                <a:solidFill>
                  <a:srgbClr val="00B0F0"/>
                </a:solidFill>
              </a:ln>
            </c:spPr>
            <c:trendlineType val="linear"/>
            <c:dispRSqr val="0"/>
            <c:dispEq val="0"/>
          </c:trendline>
          <c:trendline>
            <c:trendlineType val="log"/>
            <c:dispRSqr val="0"/>
            <c:dispEq val="1"/>
            <c:trendlineLbl>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Extrapolate'!$I$4:$W$4</c:f>
              <c:numCache>
                <c:formatCode>_(* #,##0_);_(* \(#,##0\);_(* "-"??_);_(@_)</c:formatCode>
                <c:ptCount val="15"/>
                <c:pt idx="0">
                  <c:v>396.87489068423872</c:v>
                </c:pt>
                <c:pt idx="1">
                  <c:v>440.96277009790026</c:v>
                </c:pt>
                <c:pt idx="2">
                  <c:v>490.16097165929921</c:v>
                </c:pt>
                <c:pt idx="3">
                  <c:v>542.77238443011925</c:v>
                </c:pt>
                <c:pt idx="4">
                  <c:v>598.18948313246676</c:v>
                </c:pt>
              </c:numCache>
            </c:numRef>
          </c:yVal>
          <c:smooth val="0"/>
        </c:ser>
        <c:ser>
          <c:idx val="3"/>
          <c:order val="4"/>
          <c:tx>
            <c:v>E3 NEM trend</c:v>
          </c:tx>
          <c:spPr>
            <a:ln w="28575">
              <a:noFill/>
            </a:ln>
          </c:spPr>
          <c:marker>
            <c:symbol val="triangle"/>
            <c:size val="7"/>
            <c:spPr>
              <a:solidFill>
                <a:srgbClr val="FFC000"/>
              </a:solidFill>
              <a:ln>
                <a:solidFill>
                  <a:srgbClr val="FFC000"/>
                </a:solidFill>
              </a:ln>
            </c:spPr>
          </c:marker>
          <c:trendline>
            <c:spPr>
              <a:ln>
                <a:solidFill>
                  <a:srgbClr val="C00000"/>
                </a:solidFill>
              </a:ln>
            </c:spPr>
            <c:trendlineType val="linear"/>
            <c:dispRSqr val="0"/>
            <c:dispEq val="0"/>
          </c:trendline>
          <c:trendline>
            <c:trendlineType val="log"/>
            <c:dispRSqr val="0"/>
            <c:dispEq val="1"/>
            <c:trendlineLbl>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Extrapolate'!$I$6:$W$6</c:f>
              <c:numCache>
                <c:formatCode>_(* #,##0_);_(* \(#,##0\);_(* "-"??_);_(@_)</c:formatCode>
                <c:ptCount val="15"/>
                <c:pt idx="0">
                  <c:v>657.07408707208413</c:v>
                </c:pt>
                <c:pt idx="1">
                  <c:v>719.56700000000012</c:v>
                </c:pt>
                <c:pt idx="2">
                  <c:v>787.18400000000008</c:v>
                </c:pt>
                <c:pt idx="3">
                  <c:v>854.80100000000004</c:v>
                </c:pt>
                <c:pt idx="4">
                  <c:v>922.41800000000001</c:v>
                </c:pt>
              </c:numCache>
            </c:numRef>
          </c:yVal>
          <c:smooth val="0"/>
        </c:ser>
        <c:ser>
          <c:idx val="5"/>
          <c:order val="5"/>
          <c:tx>
            <c:v>IEPR mid trend</c:v>
          </c:tx>
          <c:spPr>
            <a:ln w="28575">
              <a:noFill/>
            </a:ln>
          </c:spPr>
          <c:marker>
            <c:symbol val="triangle"/>
            <c:size val="7"/>
            <c:spPr>
              <a:solidFill>
                <a:schemeClr val="accent2">
                  <a:lumMod val="40000"/>
                  <a:lumOff val="60000"/>
                </a:schemeClr>
              </a:solidFill>
              <a:ln>
                <a:solidFill>
                  <a:schemeClr val="accent2">
                    <a:lumMod val="40000"/>
                    <a:lumOff val="60000"/>
                  </a:schemeClr>
                </a:solidFill>
              </a:ln>
            </c:spPr>
          </c:marker>
          <c:trendline>
            <c:spPr>
              <a:ln>
                <a:solidFill>
                  <a:srgbClr val="FF0000"/>
                </a:solidFill>
              </a:ln>
            </c:spPr>
            <c:trendlineType val="linear"/>
            <c:dispRSqr val="0"/>
            <c:dispEq val="0"/>
          </c:trendline>
          <c:trendline>
            <c:trendlineType val="log"/>
            <c:dispRSqr val="0"/>
            <c:dispEq val="1"/>
            <c:trendlineLbl>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Extrapolate'!$I$8:$W$8</c:f>
              <c:numCache>
                <c:formatCode>_(* #,##0_);_(* \(#,##0\);_(* "-"??_);_(@_)</c:formatCode>
                <c:ptCount val="15"/>
                <c:pt idx="0">
                  <c:v>351.65659025973571</c:v>
                </c:pt>
                <c:pt idx="1">
                  <c:v>389.06828592015523</c:v>
                </c:pt>
                <c:pt idx="2">
                  <c:v>432.87212766361716</c:v>
                </c:pt>
                <c:pt idx="3">
                  <c:v>481.52160458883816</c:v>
                </c:pt>
                <c:pt idx="4">
                  <c:v>534.13296452847976</c:v>
                </c:pt>
              </c:numCache>
            </c:numRef>
          </c:yVal>
          <c:smooth val="0"/>
        </c:ser>
        <c:dLbls>
          <c:showLegendKey val="0"/>
          <c:showVal val="0"/>
          <c:showCatName val="0"/>
          <c:showSerName val="0"/>
          <c:showPercent val="0"/>
          <c:showBubbleSize val="0"/>
        </c:dLbls>
        <c:axId val="155782528"/>
        <c:axId val="155792512"/>
      </c:scatterChart>
      <c:valAx>
        <c:axId val="155782528"/>
        <c:scaling>
          <c:orientation val="minMax"/>
          <c:max val="34"/>
          <c:min val="14"/>
        </c:scaling>
        <c:delete val="0"/>
        <c:axPos val="b"/>
        <c:numFmt formatCode="General" sourceLinked="1"/>
        <c:majorTickMark val="out"/>
        <c:minorTickMark val="none"/>
        <c:tickLblPos val="nextTo"/>
        <c:crossAx val="155792512"/>
        <c:crosses val="autoZero"/>
        <c:crossBetween val="midCat"/>
      </c:valAx>
      <c:valAx>
        <c:axId val="155792512"/>
        <c:scaling>
          <c:orientation val="minMax"/>
        </c:scaling>
        <c:delete val="0"/>
        <c:axPos val="l"/>
        <c:majorGridlines/>
        <c:numFmt formatCode="_(* #,##0_);_(* \(#,##0\);_(* &quot;-&quot;??_);_(@_)" sourceLinked="1"/>
        <c:majorTickMark val="out"/>
        <c:minorTickMark val="none"/>
        <c:tickLblPos val="nextTo"/>
        <c:crossAx val="155782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98426</xdr:colOff>
      <xdr:row>52</xdr:row>
      <xdr:rowOff>195263</xdr:rowOff>
    </xdr:from>
    <xdr:to>
      <xdr:col>11</xdr:col>
      <xdr:colOff>392904</xdr:colOff>
      <xdr:row>72</xdr:row>
      <xdr:rowOff>11907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477310</xdr:colOff>
      <xdr:row>53</xdr:row>
      <xdr:rowOff>2906</xdr:rowOff>
    </xdr:from>
    <xdr:to>
      <xdr:col>19</xdr:col>
      <xdr:colOff>95250</xdr:colOff>
      <xdr:row>72</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202409</xdr:colOff>
      <xdr:row>53</xdr:row>
      <xdr:rowOff>11907</xdr:rowOff>
    </xdr:from>
    <xdr:to>
      <xdr:col>25</xdr:col>
      <xdr:colOff>1166814</xdr:colOff>
      <xdr:row>71</xdr:row>
      <xdr:rowOff>23814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180974</xdr:colOff>
      <xdr:row>10</xdr:row>
      <xdr:rowOff>76200</xdr:rowOff>
    </xdr:from>
    <xdr:to>
      <xdr:col>13</xdr:col>
      <xdr:colOff>190499</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dge.com/regulatory-filing/742/rulemaking-regarding-policies-and-protocols-demand-response-load-impact" TargetMode="External"/><Relationship Id="rId2" Type="http://schemas.openxmlformats.org/officeDocument/2006/relationships/hyperlink" Target="http://www3.sce.com/sscc/law/dis/dbattach5e.nsf/0/62A8F5E44C447F0688257B410052EC7B/$FILE/R.07-01-041_DR+OIR-SCE+DR+Portfolio+Summary+2012+-+Final.pdf" TargetMode="External"/><Relationship Id="rId1" Type="http://schemas.openxmlformats.org/officeDocument/2006/relationships/hyperlink" Target="https://www.pge.com/regulation/DemandResponseOIR/Other-Docs/PGE/2013/DemandResponseOIR_Other-Doc_PGE_20130402_269621.pdf" TargetMode="External"/><Relationship Id="rId6" Type="http://schemas.openxmlformats.org/officeDocument/2006/relationships/printerSettings" Target="../printerSettings/printerSettings1.bin"/><Relationship Id="rId5" Type="http://schemas.openxmlformats.org/officeDocument/2006/relationships/hyperlink" Target="https://www.pge.com/regulation/DemandResponseOIR-2013/Other-Docs/SCE/2014/DemandResponseOIR-2013_Other-Doc_SCE_20140401_300601.zip" TargetMode="External"/><Relationship Id="rId4" Type="http://schemas.openxmlformats.org/officeDocument/2006/relationships/hyperlink" Target="http://www.cpuc.ca.gov/PUC/energy/Procurement/LTPP/ltpp_history.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http://www.cpuc.ca.gov/PUC/energy/Solar/nem_cost_effectiveness_evaluation.htm" TargetMode="External"/><Relationship Id="rId2" Type="http://schemas.openxmlformats.org/officeDocument/2006/relationships/hyperlink" Target="http://www.cpuc.ca.gov/NR/rdonlyres/AD52FE7A-E283-4AB8-BCB2-87DF56D7443B/0/E3NEMSummaryTool.xlsm" TargetMode="External"/><Relationship Id="rId1" Type="http://schemas.openxmlformats.org/officeDocument/2006/relationships/hyperlink" Target="http://www.energy.ca.gov/2011publications/CEC-200-2011-011/CEC-200-2011-011-SD.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1:R55"/>
  <sheetViews>
    <sheetView topLeftCell="A40" workbookViewId="0">
      <selection activeCell="C50" sqref="C50"/>
    </sheetView>
  </sheetViews>
  <sheetFormatPr defaultColWidth="8.85546875" defaultRowHeight="15"/>
  <cols>
    <col min="1" max="1" width="4.28515625" style="19" customWidth="1"/>
    <col min="2" max="2" width="13.7109375" style="19" customWidth="1"/>
    <col min="3" max="3" width="84.140625" style="19" customWidth="1"/>
    <col min="4" max="4" width="12.42578125" style="19" customWidth="1"/>
    <col min="5" max="5" width="21.42578125" style="19" customWidth="1"/>
    <col min="6" max="16384" width="8.85546875" style="19"/>
  </cols>
  <sheetData>
    <row r="1" spans="2:5" ht="15.75" thickBot="1"/>
    <row r="2" spans="2:5">
      <c r="B2" s="146"/>
      <c r="C2" s="147" t="s">
        <v>5361</v>
      </c>
      <c r="D2" s="105"/>
    </row>
    <row r="3" spans="2:5">
      <c r="B3" s="148"/>
      <c r="C3" s="149" t="s">
        <v>5526</v>
      </c>
      <c r="D3" s="109"/>
    </row>
    <row r="4" spans="2:5" ht="219.75" customHeight="1">
      <c r="B4" s="148"/>
      <c r="C4" s="689" t="s">
        <v>5527</v>
      </c>
      <c r="D4" s="109"/>
    </row>
    <row r="5" spans="2:5" ht="39.75" customHeight="1">
      <c r="B5" s="148"/>
      <c r="C5" s="689" t="s">
        <v>5271</v>
      </c>
      <c r="D5" s="109"/>
    </row>
    <row r="6" spans="2:5" ht="72" customHeight="1">
      <c r="B6" s="148"/>
      <c r="C6" s="689" t="s">
        <v>5383</v>
      </c>
      <c r="D6" s="109"/>
    </row>
    <row r="7" spans="2:5" ht="23.25" customHeight="1" thickBot="1">
      <c r="B7" s="148"/>
      <c r="C7" s="689" t="s">
        <v>5270</v>
      </c>
      <c r="D7" s="109"/>
    </row>
    <row r="8" spans="2:5" ht="129.75" customHeight="1" thickBot="1">
      <c r="B8" s="148"/>
      <c r="C8" s="838" t="s">
        <v>5384</v>
      </c>
      <c r="D8" s="109"/>
    </row>
    <row r="9" spans="2:5" ht="57" customHeight="1" thickBot="1">
      <c r="B9" s="148"/>
      <c r="C9" s="689" t="s">
        <v>5272</v>
      </c>
      <c r="D9" s="109"/>
    </row>
    <row r="10" spans="2:5" ht="41.25" customHeight="1" thickBot="1">
      <c r="B10" s="148"/>
      <c r="C10" s="690" t="s">
        <v>4301</v>
      </c>
      <c r="D10" s="109"/>
    </row>
    <row r="11" spans="2:5" ht="35.25" customHeight="1">
      <c r="B11" s="148"/>
      <c r="C11" s="689" t="s">
        <v>4286</v>
      </c>
      <c r="D11" s="109"/>
    </row>
    <row r="12" spans="2:5" ht="15.75" thickBot="1">
      <c r="B12" s="150"/>
      <c r="C12" s="691"/>
      <c r="D12" s="151"/>
    </row>
    <row r="13" spans="2:5" ht="15.75" thickBot="1"/>
    <row r="14" spans="2:5">
      <c r="B14" s="152"/>
      <c r="C14" s="153" t="s">
        <v>5362</v>
      </c>
      <c r="D14" s="154"/>
      <c r="E14" s="154"/>
    </row>
    <row r="15" spans="2:5">
      <c r="B15" s="155" t="s">
        <v>4287</v>
      </c>
      <c r="C15" s="138" t="s">
        <v>4288</v>
      </c>
      <c r="D15" s="154"/>
      <c r="E15" s="154"/>
    </row>
    <row r="16" spans="2:5">
      <c r="B16" s="155"/>
      <c r="C16" s="138" t="s">
        <v>5264</v>
      </c>
      <c r="D16" s="154"/>
      <c r="E16" s="154"/>
    </row>
    <row r="17" spans="2:18">
      <c r="B17" s="155"/>
      <c r="C17" s="138" t="s">
        <v>4289</v>
      </c>
      <c r="D17" s="154"/>
      <c r="E17" s="154"/>
    </row>
    <row r="18" spans="2:18" ht="30">
      <c r="B18" s="156" t="s">
        <v>4290</v>
      </c>
      <c r="C18" s="138" t="s">
        <v>4291</v>
      </c>
      <c r="D18" s="154"/>
      <c r="E18" s="154"/>
    </row>
    <row r="19" spans="2:18">
      <c r="B19" s="136"/>
      <c r="C19" s="157" t="s">
        <v>4292</v>
      </c>
      <c r="D19" s="154"/>
      <c r="E19" s="154"/>
    </row>
    <row r="20" spans="2:18">
      <c r="B20" s="136"/>
      <c r="C20" s="157" t="s">
        <v>4289</v>
      </c>
      <c r="D20" s="154"/>
      <c r="E20" s="154"/>
    </row>
    <row r="21" spans="2:18">
      <c r="B21" s="136"/>
      <c r="C21" s="157"/>
      <c r="D21" s="154"/>
      <c r="E21" s="154"/>
    </row>
    <row r="22" spans="2:18" ht="30">
      <c r="B22" s="156" t="s">
        <v>4293</v>
      </c>
      <c r="C22" s="157" t="s">
        <v>5261</v>
      </c>
      <c r="D22" s="154"/>
      <c r="E22" s="154"/>
    </row>
    <row r="23" spans="2:18">
      <c r="B23" s="156"/>
      <c r="C23" s="157" t="s">
        <v>5262</v>
      </c>
      <c r="D23" s="154"/>
      <c r="E23" s="154"/>
    </row>
    <row r="24" spans="2:18" ht="15.75" thickBot="1">
      <c r="B24" s="158"/>
      <c r="C24" s="158" t="s">
        <v>5263</v>
      </c>
    </row>
    <row r="25" spans="2:18" ht="15.75" thickBot="1">
      <c r="O25" s="51"/>
      <c r="P25" s="13"/>
      <c r="Q25" s="13"/>
      <c r="R25" s="13"/>
    </row>
    <row r="26" spans="2:18" ht="15.75" thickBot="1">
      <c r="B26" s="140" t="s">
        <v>4282</v>
      </c>
      <c r="C26" s="141" t="s">
        <v>4284</v>
      </c>
      <c r="D26" s="141" t="s">
        <v>4285</v>
      </c>
      <c r="E26" s="141" t="s">
        <v>4283</v>
      </c>
    </row>
    <row r="27" spans="2:18">
      <c r="B27" s="840" t="s">
        <v>5265</v>
      </c>
      <c r="C27" s="841" t="s">
        <v>5266</v>
      </c>
      <c r="D27" s="842">
        <v>41632</v>
      </c>
      <c r="E27" s="840" t="s">
        <v>4288</v>
      </c>
    </row>
    <row r="28" spans="2:18" ht="30">
      <c r="B28" s="843" t="s">
        <v>5284</v>
      </c>
      <c r="C28" s="844" t="s">
        <v>5285</v>
      </c>
      <c r="D28" s="845">
        <v>41639</v>
      </c>
      <c r="E28" s="843" t="s">
        <v>4288</v>
      </c>
    </row>
    <row r="29" spans="2:18" ht="135">
      <c r="B29" s="840" t="s">
        <v>5286</v>
      </c>
      <c r="C29" s="841" t="s">
        <v>5411</v>
      </c>
      <c r="D29" s="842">
        <v>41681</v>
      </c>
      <c r="E29" s="840" t="s">
        <v>4288</v>
      </c>
    </row>
    <row r="30" spans="2:18" ht="105">
      <c r="B30" s="840"/>
      <c r="C30" s="841" t="s">
        <v>5412</v>
      </c>
      <c r="D30" s="842"/>
      <c r="E30" s="840"/>
    </row>
    <row r="31" spans="2:18" ht="105">
      <c r="B31" s="840"/>
      <c r="C31" s="841" t="s">
        <v>5443</v>
      </c>
      <c r="D31" s="842"/>
      <c r="E31" s="840"/>
    </row>
    <row r="32" spans="2:18" ht="60">
      <c r="B32" s="840"/>
      <c r="C32" s="841" t="s">
        <v>5413</v>
      </c>
      <c r="D32" s="842"/>
      <c r="E32" s="840"/>
    </row>
    <row r="33" spans="2:5" ht="90">
      <c r="B33" s="843" t="s">
        <v>5363</v>
      </c>
      <c r="C33" s="844" t="s">
        <v>5414</v>
      </c>
      <c r="D33" s="846">
        <v>41698</v>
      </c>
      <c r="E33" s="843" t="s">
        <v>4288</v>
      </c>
    </row>
    <row r="34" spans="2:5" ht="30">
      <c r="B34" s="840" t="s">
        <v>5442</v>
      </c>
      <c r="C34" s="841" t="s">
        <v>5504</v>
      </c>
      <c r="D34" s="842">
        <v>41757</v>
      </c>
      <c r="E34" s="840" t="s">
        <v>4288</v>
      </c>
    </row>
    <row r="35" spans="2:5">
      <c r="B35" s="840"/>
      <c r="C35" s="841" t="s">
        <v>5444</v>
      </c>
      <c r="D35" s="842"/>
      <c r="E35" s="840"/>
    </row>
    <row r="36" spans="2:5" ht="60">
      <c r="B36" s="840"/>
      <c r="C36" s="841" t="s">
        <v>5505</v>
      </c>
      <c r="D36" s="842"/>
      <c r="E36" s="840"/>
    </row>
    <row r="37" spans="2:5" ht="45">
      <c r="B37" s="840"/>
      <c r="C37" s="841" t="s">
        <v>5506</v>
      </c>
      <c r="D37" s="842"/>
      <c r="E37" s="840"/>
    </row>
    <row r="38" spans="2:5" ht="75">
      <c r="B38" s="840"/>
      <c r="C38" s="841" t="s">
        <v>5507</v>
      </c>
      <c r="D38" s="842"/>
      <c r="E38" s="840"/>
    </row>
    <row r="39" spans="2:5" ht="60">
      <c r="B39" s="840"/>
      <c r="C39" s="841" t="s">
        <v>5508</v>
      </c>
      <c r="D39" s="842"/>
      <c r="E39" s="840"/>
    </row>
    <row r="40" spans="2:5" ht="30">
      <c r="B40" s="840"/>
      <c r="C40" s="841" t="s">
        <v>5509</v>
      </c>
      <c r="D40" s="842"/>
      <c r="E40" s="840"/>
    </row>
    <row r="41" spans="2:5" ht="30">
      <c r="B41" s="840"/>
      <c r="C41" s="841" t="s">
        <v>5503</v>
      </c>
      <c r="D41" s="842"/>
      <c r="E41" s="840"/>
    </row>
    <row r="42" spans="2:5" ht="30">
      <c r="B42" s="840"/>
      <c r="C42" s="841" t="s">
        <v>5510</v>
      </c>
      <c r="D42" s="842"/>
      <c r="E42" s="840"/>
    </row>
    <row r="43" spans="2:5">
      <c r="B43" s="840"/>
      <c r="C43" s="841"/>
      <c r="D43" s="842"/>
      <c r="E43" s="840"/>
    </row>
    <row r="44" spans="2:5">
      <c r="B44" s="840"/>
      <c r="C44" s="841"/>
      <c r="D44" s="842"/>
      <c r="E44" s="840"/>
    </row>
    <row r="45" spans="2:5" ht="90">
      <c r="B45" s="843" t="s">
        <v>5520</v>
      </c>
      <c r="C45" s="844" t="s">
        <v>5524</v>
      </c>
      <c r="D45" s="882">
        <v>41897</v>
      </c>
      <c r="E45" s="843" t="s">
        <v>4288</v>
      </c>
    </row>
    <row r="46" spans="2:5" ht="30">
      <c r="B46" s="843"/>
      <c r="C46" s="844" t="s">
        <v>5525</v>
      </c>
      <c r="D46" s="882">
        <v>41947</v>
      </c>
      <c r="E46" s="843" t="s">
        <v>4288</v>
      </c>
    </row>
    <row r="47" spans="2:5" ht="30">
      <c r="B47" s="883"/>
      <c r="C47" s="884" t="s">
        <v>5529</v>
      </c>
      <c r="D47" s="845">
        <v>41996</v>
      </c>
      <c r="E47" s="843" t="s">
        <v>4288</v>
      </c>
    </row>
    <row r="48" spans="2:5">
      <c r="B48" s="136"/>
      <c r="C48" s="142"/>
      <c r="D48" s="144"/>
      <c r="E48" s="138"/>
    </row>
    <row r="49" spans="2:5">
      <c r="B49" s="136"/>
      <c r="C49" s="142"/>
      <c r="D49" s="144"/>
      <c r="E49" s="138"/>
    </row>
    <row r="50" spans="2:5">
      <c r="B50" s="136"/>
      <c r="C50" s="142"/>
      <c r="D50" s="144"/>
      <c r="E50" s="138"/>
    </row>
    <row r="51" spans="2:5">
      <c r="B51" s="136"/>
      <c r="C51" s="142"/>
      <c r="D51" s="144"/>
      <c r="E51" s="138"/>
    </row>
    <row r="52" spans="2:5">
      <c r="B52" s="136"/>
      <c r="C52" s="142"/>
      <c r="D52" s="144"/>
      <c r="E52" s="138"/>
    </row>
    <row r="53" spans="2:5">
      <c r="B53" s="136"/>
      <c r="C53" s="142"/>
      <c r="D53" s="144"/>
      <c r="E53" s="138"/>
    </row>
    <row r="54" spans="2:5">
      <c r="B54" s="136"/>
      <c r="C54" s="142"/>
      <c r="D54" s="144"/>
      <c r="E54" s="138"/>
    </row>
    <row r="55" spans="2:5" ht="15.75" thickBot="1">
      <c r="B55" s="137"/>
      <c r="C55" s="143"/>
      <c r="D55" s="145"/>
      <c r="E55" s="139"/>
    </row>
  </sheetData>
  <pageMargins left="0.25" right="0.25" top="0.75" bottom="0.75" header="0.3" footer="0.3"/>
  <pageSetup scale="77" fitToHeight="0"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AI753"/>
  <sheetViews>
    <sheetView zoomScale="75" zoomScaleNormal="75" zoomScalePageLayoutView="75" workbookViewId="0">
      <selection activeCell="A2" sqref="A2"/>
    </sheetView>
  </sheetViews>
  <sheetFormatPr defaultColWidth="8.85546875" defaultRowHeight="15"/>
  <cols>
    <col min="1" max="1" width="21.28515625" style="19" bestFit="1" customWidth="1"/>
    <col min="2" max="2" width="29.140625" style="19" customWidth="1"/>
    <col min="3" max="3" width="48" style="19" customWidth="1"/>
    <col min="4" max="4" width="8.140625" style="173" customWidth="1"/>
    <col min="5" max="5" width="9.42578125" style="173" customWidth="1"/>
    <col min="6" max="15" width="8.140625" style="173" customWidth="1"/>
    <col min="16" max="16" width="9.42578125" style="19" customWidth="1"/>
    <col min="17" max="17" width="16.42578125" style="19" customWidth="1"/>
    <col min="18" max="18" width="20.7109375" style="19" customWidth="1"/>
    <col min="19" max="21" width="14.85546875" style="271" customWidth="1"/>
    <col min="22" max="22" width="22.7109375" style="271" customWidth="1"/>
    <col min="23" max="23" width="17.28515625" style="271" customWidth="1"/>
    <col min="24" max="24" width="8.85546875" style="271"/>
    <col min="25" max="25" width="14.85546875" style="271" customWidth="1"/>
    <col min="26" max="26" width="23" style="271" customWidth="1"/>
    <col min="27" max="16384" width="8.85546875" style="19"/>
  </cols>
  <sheetData>
    <row r="1" spans="1:26" s="275" customFormat="1" ht="45.95" customHeight="1">
      <c r="A1" s="273" t="s">
        <v>4544</v>
      </c>
      <c r="B1" s="273" t="s">
        <v>4545</v>
      </c>
      <c r="C1" s="273" t="s">
        <v>4546</v>
      </c>
      <c r="D1" s="274" t="s">
        <v>4547</v>
      </c>
      <c r="E1" s="274" t="s">
        <v>4548</v>
      </c>
      <c r="F1" s="274" t="s">
        <v>4549</v>
      </c>
      <c r="G1" s="274" t="s">
        <v>4550</v>
      </c>
      <c r="H1" s="274" t="s">
        <v>4551</v>
      </c>
      <c r="I1" s="274" t="s">
        <v>4552</v>
      </c>
      <c r="J1" s="274" t="s">
        <v>4553</v>
      </c>
      <c r="K1" s="274" t="s">
        <v>4554</v>
      </c>
      <c r="L1" s="274" t="s">
        <v>4555</v>
      </c>
      <c r="M1" s="274" t="s">
        <v>4556</v>
      </c>
      <c r="N1" s="274" t="s">
        <v>4557</v>
      </c>
      <c r="O1" s="274" t="s">
        <v>4558</v>
      </c>
      <c r="P1" s="273" t="s">
        <v>3343</v>
      </c>
      <c r="Q1" s="273" t="s">
        <v>4559</v>
      </c>
      <c r="R1" s="273" t="s">
        <v>4560</v>
      </c>
      <c r="S1" s="276" t="s">
        <v>4688</v>
      </c>
      <c r="T1" s="277" t="s">
        <v>4797</v>
      </c>
      <c r="U1" s="276" t="s">
        <v>4796</v>
      </c>
      <c r="V1" s="276" t="s">
        <v>3108</v>
      </c>
      <c r="W1" s="277" t="s">
        <v>4540</v>
      </c>
      <c r="X1" s="277" t="s">
        <v>12</v>
      </c>
      <c r="Y1" s="277" t="s">
        <v>4799</v>
      </c>
      <c r="Z1" s="277" t="s">
        <v>5522</v>
      </c>
    </row>
    <row r="2" spans="1:26">
      <c r="A2" s="241" t="s">
        <v>3219</v>
      </c>
      <c r="B2" s="241" t="s">
        <v>3346</v>
      </c>
      <c r="C2" s="241" t="s">
        <v>3344</v>
      </c>
      <c r="D2" s="242">
        <v>16</v>
      </c>
      <c r="E2" s="242">
        <v>16</v>
      </c>
      <c r="F2" s="242">
        <v>16</v>
      </c>
      <c r="G2" s="242">
        <v>16</v>
      </c>
      <c r="H2" s="242">
        <v>16</v>
      </c>
      <c r="I2" s="242">
        <v>16</v>
      </c>
      <c r="J2" s="242">
        <v>16</v>
      </c>
      <c r="K2" s="242">
        <v>16</v>
      </c>
      <c r="L2" s="242">
        <v>16</v>
      </c>
      <c r="M2" s="242">
        <v>16</v>
      </c>
      <c r="N2" s="242">
        <v>16</v>
      </c>
      <c r="O2" s="242">
        <v>16</v>
      </c>
      <c r="P2" s="241" t="s">
        <v>3345</v>
      </c>
      <c r="Q2" s="241" t="s">
        <v>3347</v>
      </c>
      <c r="R2" s="243" t="s">
        <v>4561</v>
      </c>
      <c r="S2" s="270">
        <f t="shared" ref="S2:S31" si="0">U2</f>
        <v>32656</v>
      </c>
      <c r="T2" s="270"/>
      <c r="U2" s="270">
        <f>IFERROR(VLOOKUP($A2,GeneratingCapabilityList!$E$7:$O$1673,11,FALSE),"ID Not Found")</f>
        <v>32656</v>
      </c>
      <c r="V2" s="271" t="str">
        <f>IFERROR(VLOOKUP($A2,GeneratingCapabilityList!$E$7:$O$1673,6,FALSE),"UNKNOWN")</f>
        <v>GEOTHERMAL</v>
      </c>
      <c r="W2" s="271">
        <f>IFERROR(VLOOKUP($A2,GeneratingCapabilityList!$E$7:$O$1673,3,FALSE),"ID Not Found")</f>
        <v>22</v>
      </c>
      <c r="Y2" s="270"/>
    </row>
    <row r="3" spans="1:26">
      <c r="A3" s="241" t="s">
        <v>2827</v>
      </c>
      <c r="B3" s="241" t="s">
        <v>3349</v>
      </c>
      <c r="C3" s="241" t="s">
        <v>3348</v>
      </c>
      <c r="D3" s="242">
        <v>20</v>
      </c>
      <c r="E3" s="242">
        <v>20</v>
      </c>
      <c r="F3" s="242">
        <v>20</v>
      </c>
      <c r="G3" s="242">
        <v>20</v>
      </c>
      <c r="H3" s="242">
        <v>20</v>
      </c>
      <c r="I3" s="242">
        <v>20</v>
      </c>
      <c r="J3" s="242">
        <v>20</v>
      </c>
      <c r="K3" s="242">
        <v>20</v>
      </c>
      <c r="L3" s="242">
        <v>20</v>
      </c>
      <c r="M3" s="242">
        <v>20</v>
      </c>
      <c r="N3" s="242">
        <v>20</v>
      </c>
      <c r="O3" s="242">
        <v>20</v>
      </c>
      <c r="P3" s="241" t="s">
        <v>3345</v>
      </c>
      <c r="Q3" s="241" t="s">
        <v>3347</v>
      </c>
      <c r="R3" s="243" t="s">
        <v>4561</v>
      </c>
      <c r="S3" s="270">
        <f t="shared" si="0"/>
        <v>38959</v>
      </c>
      <c r="T3" s="270"/>
      <c r="U3" s="270">
        <f>IFERROR(VLOOKUP($A3,GeneratingCapabilityList!$E$7:$O$1673,11,FALSE),"ID Not Found")</f>
        <v>38959</v>
      </c>
      <c r="V3" s="271" t="str">
        <f>IFERROR(VLOOKUP($A3,GeneratingCapabilityList!$E$7:$O$1673,6,FALSE),"UNKNOWN")</f>
        <v>PEAKER</v>
      </c>
      <c r="W3" s="271">
        <f>IFERROR(VLOOKUP($A3,GeneratingCapabilityList!$E$7:$O$1673,3,FALSE),"ID Not Found")</f>
        <v>22.69</v>
      </c>
      <c r="Y3" s="270"/>
    </row>
    <row r="4" spans="1:26">
      <c r="A4" s="241" t="s">
        <v>2292</v>
      </c>
      <c r="B4" s="241" t="s">
        <v>3349</v>
      </c>
      <c r="C4" s="241" t="s">
        <v>3350</v>
      </c>
      <c r="D4" s="242">
        <v>50.5</v>
      </c>
      <c r="E4" s="242">
        <v>50.5</v>
      </c>
      <c r="F4" s="242">
        <v>50.5</v>
      </c>
      <c r="G4" s="242">
        <v>50.5</v>
      </c>
      <c r="H4" s="242">
        <v>50.5</v>
      </c>
      <c r="I4" s="242">
        <v>50.5</v>
      </c>
      <c r="J4" s="242">
        <v>50.5</v>
      </c>
      <c r="K4" s="242">
        <v>50.5</v>
      </c>
      <c r="L4" s="242">
        <v>50.5</v>
      </c>
      <c r="M4" s="242">
        <v>50.5</v>
      </c>
      <c r="N4" s="242">
        <v>50.5</v>
      </c>
      <c r="O4" s="242">
        <v>50.5</v>
      </c>
      <c r="P4" s="241" t="s">
        <v>3345</v>
      </c>
      <c r="Q4" s="241" t="s">
        <v>3347</v>
      </c>
      <c r="R4" s="243" t="s">
        <v>4562</v>
      </c>
      <c r="S4" s="270">
        <f t="shared" si="0"/>
        <v>36892</v>
      </c>
      <c r="T4" s="270"/>
      <c r="U4" s="270">
        <f>IFERROR(VLOOKUP($A4,GeneratingCapabilityList!$E$7:$O$1673,11,FALSE),"ID Not Found")</f>
        <v>36892</v>
      </c>
      <c r="V4" s="271" t="str">
        <f>IFERROR(VLOOKUP($A4,GeneratingCapabilityList!$E$7:$O$1673,6,FALSE),"UNKNOWN")</f>
        <v>THERMAL</v>
      </c>
      <c r="W4" s="271">
        <f>IFERROR(VLOOKUP($A4,GeneratingCapabilityList!$E$7:$O$1673,3,FALSE),"ID Not Found")</f>
        <v>50.6</v>
      </c>
      <c r="Y4" s="270"/>
    </row>
    <row r="5" spans="1:26">
      <c r="A5" s="241" t="s">
        <v>379</v>
      </c>
      <c r="B5" s="241" t="s">
        <v>3327</v>
      </c>
      <c r="C5" s="241" t="s">
        <v>3351</v>
      </c>
      <c r="D5" s="242">
        <v>174.56</v>
      </c>
      <c r="E5" s="242">
        <v>174.56</v>
      </c>
      <c r="F5" s="242">
        <v>174.56</v>
      </c>
      <c r="G5" s="242">
        <v>174.56</v>
      </c>
      <c r="H5" s="242">
        <v>174.56</v>
      </c>
      <c r="I5" s="242">
        <v>174.56</v>
      </c>
      <c r="J5" s="242">
        <v>174.56</v>
      </c>
      <c r="K5" s="242">
        <v>174.56</v>
      </c>
      <c r="L5" s="242">
        <v>174.56</v>
      </c>
      <c r="M5" s="242">
        <v>174.56</v>
      </c>
      <c r="N5" s="242">
        <v>174.56</v>
      </c>
      <c r="O5" s="242">
        <v>174.56</v>
      </c>
      <c r="P5" s="241" t="s">
        <v>3352</v>
      </c>
      <c r="Q5" s="241" t="s">
        <v>3347</v>
      </c>
      <c r="R5" s="243" t="s">
        <v>4561</v>
      </c>
      <c r="S5" s="270">
        <f t="shared" si="0"/>
        <v>20455</v>
      </c>
      <c r="T5" s="270"/>
      <c r="U5" s="270">
        <f>IFERROR(VLOOKUP($A5,GeneratingCapabilityList!$E$7:$O$1673,11,FALSE),"ID Not Found")</f>
        <v>20455</v>
      </c>
      <c r="V5" s="271" t="str">
        <f>IFERROR(VLOOKUP($A5,GeneratingCapabilityList!$E$7:$O$1673,6,FALSE),"UNKNOWN")</f>
        <v>THERMAL</v>
      </c>
      <c r="W5" s="271">
        <f>IFERROR(VLOOKUP($A5,GeneratingCapabilityList!$E$7:$O$1673,3,FALSE),"ID Not Found")</f>
        <v>174.56</v>
      </c>
      <c r="X5" s="271" t="s">
        <v>12</v>
      </c>
      <c r="Y5" s="270">
        <v>44196</v>
      </c>
    </row>
    <row r="6" spans="1:26">
      <c r="A6" s="241" t="s">
        <v>385</v>
      </c>
      <c r="B6" s="241" t="s">
        <v>3327</v>
      </c>
      <c r="C6" s="241" t="s">
        <v>3353</v>
      </c>
      <c r="D6" s="242">
        <v>175</v>
      </c>
      <c r="E6" s="242">
        <v>175</v>
      </c>
      <c r="F6" s="242">
        <v>175</v>
      </c>
      <c r="G6" s="242">
        <v>175</v>
      </c>
      <c r="H6" s="242">
        <v>175</v>
      </c>
      <c r="I6" s="242">
        <v>175</v>
      </c>
      <c r="J6" s="242">
        <v>175</v>
      </c>
      <c r="K6" s="242">
        <v>175</v>
      </c>
      <c r="L6" s="242">
        <v>175</v>
      </c>
      <c r="M6" s="242">
        <v>175</v>
      </c>
      <c r="N6" s="242">
        <v>175</v>
      </c>
      <c r="O6" s="242">
        <v>175</v>
      </c>
      <c r="P6" s="241" t="s">
        <v>3352</v>
      </c>
      <c r="Q6" s="241" t="s">
        <v>3347</v>
      </c>
      <c r="R6" s="243" t="s">
        <v>4561</v>
      </c>
      <c r="S6" s="270">
        <f t="shared" si="0"/>
        <v>20821</v>
      </c>
      <c r="T6" s="270"/>
      <c r="U6" s="270">
        <f>IFERROR(VLOOKUP($A6,GeneratingCapabilityList!$E$7:$O$1673,11,FALSE),"ID Not Found")</f>
        <v>20821</v>
      </c>
      <c r="V6" s="271" t="str">
        <f>IFERROR(VLOOKUP($A6,GeneratingCapabilityList!$E$7:$O$1673,6,FALSE),"UNKNOWN")</f>
        <v>THERMAL</v>
      </c>
      <c r="W6" s="271">
        <f>IFERROR(VLOOKUP($A6,GeneratingCapabilityList!$E$7:$O$1673,3,FALSE),"ID Not Found")</f>
        <v>175</v>
      </c>
      <c r="X6" s="271" t="s">
        <v>12</v>
      </c>
      <c r="Y6" s="270">
        <v>44196</v>
      </c>
    </row>
    <row r="7" spans="1:26">
      <c r="A7" s="241" t="s">
        <v>441</v>
      </c>
      <c r="B7" s="241" t="s">
        <v>3327</v>
      </c>
      <c r="C7" s="241" t="s">
        <v>3354</v>
      </c>
      <c r="D7" s="242">
        <v>332.18</v>
      </c>
      <c r="E7" s="242">
        <v>332.18</v>
      </c>
      <c r="F7" s="242">
        <v>332.18</v>
      </c>
      <c r="G7" s="242">
        <v>332.18</v>
      </c>
      <c r="H7" s="242">
        <v>332.18</v>
      </c>
      <c r="I7" s="242">
        <v>332.18</v>
      </c>
      <c r="J7" s="242">
        <v>332.18</v>
      </c>
      <c r="K7" s="242">
        <v>332.18</v>
      </c>
      <c r="L7" s="242">
        <v>332.18</v>
      </c>
      <c r="M7" s="242">
        <v>332.18</v>
      </c>
      <c r="N7" s="242">
        <v>332.18</v>
      </c>
      <c r="O7" s="242">
        <v>332.18</v>
      </c>
      <c r="P7" s="241" t="s">
        <v>3352</v>
      </c>
      <c r="Q7" s="241" t="s">
        <v>3347</v>
      </c>
      <c r="R7" s="243" t="s">
        <v>4561</v>
      </c>
      <c r="S7" s="270">
        <f t="shared" si="0"/>
        <v>22282</v>
      </c>
      <c r="T7" s="270"/>
      <c r="U7" s="270">
        <f>IFERROR(VLOOKUP($A7,GeneratingCapabilityList!$E$7:$O$1673,11,FALSE),"ID Not Found")</f>
        <v>22282</v>
      </c>
      <c r="V7" s="271" t="str">
        <f>IFERROR(VLOOKUP($A7,GeneratingCapabilityList!$E$7:$O$1673,6,FALSE),"UNKNOWN")</f>
        <v>THERMAL</v>
      </c>
      <c r="W7" s="271">
        <f>IFERROR(VLOOKUP($A7,GeneratingCapabilityList!$E$7:$O$1673,3,FALSE),"ID Not Found")</f>
        <v>332.18</v>
      </c>
      <c r="X7" s="271" t="s">
        <v>12</v>
      </c>
      <c r="Y7" s="270">
        <v>44196</v>
      </c>
    </row>
    <row r="8" spans="1:26">
      <c r="A8" s="241" t="s">
        <v>448</v>
      </c>
      <c r="B8" s="241" t="s">
        <v>3327</v>
      </c>
      <c r="C8" s="241" t="s">
        <v>3355</v>
      </c>
      <c r="D8" s="242">
        <v>335.67</v>
      </c>
      <c r="E8" s="242">
        <v>335.67</v>
      </c>
      <c r="F8" s="242">
        <v>335.67</v>
      </c>
      <c r="G8" s="242">
        <v>335.67</v>
      </c>
      <c r="H8" s="242">
        <v>335.67</v>
      </c>
      <c r="I8" s="242">
        <v>335.67</v>
      </c>
      <c r="J8" s="242">
        <v>335.67</v>
      </c>
      <c r="K8" s="242">
        <v>335.67</v>
      </c>
      <c r="L8" s="242">
        <v>335.67</v>
      </c>
      <c r="M8" s="242">
        <v>335.67</v>
      </c>
      <c r="N8" s="242">
        <v>335.67</v>
      </c>
      <c r="O8" s="242">
        <v>335.67</v>
      </c>
      <c r="P8" s="241" t="s">
        <v>3352</v>
      </c>
      <c r="Q8" s="241" t="s">
        <v>3347</v>
      </c>
      <c r="R8" s="243" t="s">
        <v>4561</v>
      </c>
      <c r="S8" s="270">
        <f t="shared" si="0"/>
        <v>22647</v>
      </c>
      <c r="T8" s="270"/>
      <c r="U8" s="270">
        <f>IFERROR(VLOOKUP($A8,GeneratingCapabilityList!$E$7:$O$1673,11,FALSE),"ID Not Found")</f>
        <v>22647</v>
      </c>
      <c r="V8" s="271" t="str">
        <f>IFERROR(VLOOKUP($A8,GeneratingCapabilityList!$E$7:$O$1673,6,FALSE),"UNKNOWN")</f>
        <v>THERMAL</v>
      </c>
      <c r="W8" s="271">
        <f>IFERROR(VLOOKUP($A8,GeneratingCapabilityList!$E$7:$O$1673,3,FALSE),"ID Not Found")</f>
        <v>335.67</v>
      </c>
      <c r="X8" s="271" t="s">
        <v>12</v>
      </c>
      <c r="Y8" s="270">
        <v>44196</v>
      </c>
    </row>
    <row r="9" spans="1:26">
      <c r="A9" s="241" t="s">
        <v>2239</v>
      </c>
      <c r="B9" s="241" t="s">
        <v>3327</v>
      </c>
      <c r="C9" s="241" t="s">
        <v>3356</v>
      </c>
      <c r="D9" s="242">
        <v>497.97</v>
      </c>
      <c r="E9" s="242">
        <v>497.97</v>
      </c>
      <c r="F9" s="242">
        <v>497.97</v>
      </c>
      <c r="G9" s="242">
        <v>497.97</v>
      </c>
      <c r="H9" s="242">
        <v>497.97</v>
      </c>
      <c r="I9" s="242">
        <v>497.97</v>
      </c>
      <c r="J9" s="242">
        <v>497.97</v>
      </c>
      <c r="K9" s="242">
        <v>497.97</v>
      </c>
      <c r="L9" s="242">
        <v>497.97</v>
      </c>
      <c r="M9" s="242">
        <v>497.97</v>
      </c>
      <c r="N9" s="242">
        <v>497.97</v>
      </c>
      <c r="O9" s="242">
        <v>497.97</v>
      </c>
      <c r="P9" s="241" t="s">
        <v>3352</v>
      </c>
      <c r="Q9" s="241" t="s">
        <v>3347</v>
      </c>
      <c r="R9" s="243" t="s">
        <v>4561</v>
      </c>
      <c r="S9" s="270">
        <f t="shared" si="0"/>
        <v>36161</v>
      </c>
      <c r="T9" s="270"/>
      <c r="U9" s="270">
        <f>IFERROR(VLOOKUP($A9,GeneratingCapabilityList!$E$7:$O$1673,11,FALSE),"ID Not Found")</f>
        <v>36161</v>
      </c>
      <c r="V9" s="271" t="str">
        <f>IFERROR(VLOOKUP($A9,GeneratingCapabilityList!$E$7:$O$1673,6,FALSE),"UNKNOWN")</f>
        <v>THERMAL</v>
      </c>
      <c r="W9" s="271">
        <f>IFERROR(VLOOKUP($A9,GeneratingCapabilityList!$E$7:$O$1673,3,FALSE),"ID Not Found")</f>
        <v>497.97</v>
      </c>
      <c r="X9" s="271" t="s">
        <v>12</v>
      </c>
      <c r="Y9" s="270">
        <v>44196</v>
      </c>
    </row>
    <row r="10" spans="1:26">
      <c r="A10" s="241" t="s">
        <v>508</v>
      </c>
      <c r="B10" s="241" t="s">
        <v>3327</v>
      </c>
      <c r="C10" s="241" t="s">
        <v>3357</v>
      </c>
      <c r="D10" s="242">
        <v>495</v>
      </c>
      <c r="E10" s="242">
        <v>495</v>
      </c>
      <c r="F10" s="242">
        <v>495</v>
      </c>
      <c r="G10" s="242">
        <v>495</v>
      </c>
      <c r="H10" s="242">
        <v>495</v>
      </c>
      <c r="I10" s="242">
        <v>495</v>
      </c>
      <c r="J10" s="242">
        <v>495</v>
      </c>
      <c r="K10" s="242">
        <v>495</v>
      </c>
      <c r="L10" s="242">
        <v>495</v>
      </c>
      <c r="M10" s="242">
        <v>495</v>
      </c>
      <c r="N10" s="242">
        <v>495</v>
      </c>
      <c r="O10" s="242">
        <v>495</v>
      </c>
      <c r="P10" s="241" t="s">
        <v>3352</v>
      </c>
      <c r="Q10" s="241" t="s">
        <v>3347</v>
      </c>
      <c r="R10" s="243" t="s">
        <v>4561</v>
      </c>
      <c r="S10" s="270">
        <f t="shared" si="0"/>
        <v>24108</v>
      </c>
      <c r="T10" s="270"/>
      <c r="U10" s="270">
        <f>IFERROR(VLOOKUP($A10,GeneratingCapabilityList!$E$7:$O$1673,11,FALSE),"ID Not Found")</f>
        <v>24108</v>
      </c>
      <c r="V10" s="271" t="str">
        <f>IFERROR(VLOOKUP($A10,GeneratingCapabilityList!$E$7:$O$1673,6,FALSE),"UNKNOWN")</f>
        <v>THERMAL</v>
      </c>
      <c r="W10" s="271">
        <f>IFERROR(VLOOKUP($A10,GeneratingCapabilityList!$E$7:$O$1673,3,FALSE),"ID Not Found")</f>
        <v>495</v>
      </c>
      <c r="X10" s="271" t="s">
        <v>12</v>
      </c>
      <c r="Y10" s="270">
        <v>44196</v>
      </c>
    </row>
    <row r="11" spans="1:26">
      <c r="A11" s="244" t="s">
        <v>1269</v>
      </c>
      <c r="B11" s="245" t="s">
        <v>3328</v>
      </c>
      <c r="C11" s="245" t="s">
        <v>3358</v>
      </c>
      <c r="D11" s="281">
        <v>3.6832379354838705</v>
      </c>
      <c r="E11" s="281">
        <v>2.4956541428571435</v>
      </c>
      <c r="F11" s="281">
        <v>8.3619973333333331</v>
      </c>
      <c r="G11" s="281">
        <v>10.624044866666663</v>
      </c>
      <c r="H11" s="281">
        <v>10.724097075268816</v>
      </c>
      <c r="I11" s="281">
        <v>9.1091062111111096</v>
      </c>
      <c r="J11" s="281">
        <v>12.933090774193545</v>
      </c>
      <c r="K11" s="281">
        <v>12.335133064516121</v>
      </c>
      <c r="L11" s="281">
        <v>11.289009399999999</v>
      </c>
      <c r="M11" s="281">
        <v>10.646870806451608</v>
      </c>
      <c r="N11" s="281">
        <v>10.927896118195379</v>
      </c>
      <c r="O11" s="281">
        <v>9.2718451075268788</v>
      </c>
      <c r="P11" s="245" t="s">
        <v>3352</v>
      </c>
      <c r="Q11" s="245" t="s">
        <v>3347</v>
      </c>
      <c r="R11" s="246" t="s">
        <v>4561</v>
      </c>
      <c r="S11" s="270">
        <f t="shared" si="0"/>
        <v>31413</v>
      </c>
      <c r="T11" s="270"/>
      <c r="U11" s="270">
        <f>IFERROR(VLOOKUP($A11,GeneratingCapabilityList!$E$7:$O$1673,11,FALSE),"ID Not Found")</f>
        <v>31413</v>
      </c>
      <c r="V11" s="271" t="str">
        <f>IFERROR(VLOOKUP($A11,GeneratingCapabilityList!$E$7:$O$1673,6,FALSE),"UNKNOWN")</f>
        <v>HYDRO</v>
      </c>
      <c r="W11" s="271">
        <f>IFERROR(VLOOKUP($A11,GeneratingCapabilityList!$E$7:$O$1673,3,FALSE),"ID Not Found")</f>
        <v>16</v>
      </c>
      <c r="Y11" s="270"/>
    </row>
    <row r="12" spans="1:26">
      <c r="A12" s="241" t="s">
        <v>1265</v>
      </c>
      <c r="B12" s="241" t="s">
        <v>3324</v>
      </c>
      <c r="C12" s="241" t="s">
        <v>3359</v>
      </c>
      <c r="D12" s="242">
        <v>23.8</v>
      </c>
      <c r="E12" s="242">
        <v>23.8</v>
      </c>
      <c r="F12" s="242">
        <v>23.8</v>
      </c>
      <c r="G12" s="242">
        <v>23.8</v>
      </c>
      <c r="H12" s="242">
        <v>23.8</v>
      </c>
      <c r="I12" s="242">
        <v>23.8</v>
      </c>
      <c r="J12" s="242">
        <v>23.8</v>
      </c>
      <c r="K12" s="242">
        <v>23.8</v>
      </c>
      <c r="L12" s="242">
        <v>23.8</v>
      </c>
      <c r="M12" s="242">
        <v>23.8</v>
      </c>
      <c r="N12" s="242">
        <v>23.8</v>
      </c>
      <c r="O12" s="242">
        <v>23.8</v>
      </c>
      <c r="P12" s="241" t="s">
        <v>3345</v>
      </c>
      <c r="Q12" s="241" t="s">
        <v>3347</v>
      </c>
      <c r="R12" s="243" t="s">
        <v>4561</v>
      </c>
      <c r="S12" s="270">
        <f t="shared" si="0"/>
        <v>31413</v>
      </c>
      <c r="T12" s="270"/>
      <c r="U12" s="270">
        <f>IFERROR(VLOOKUP($A12,GeneratingCapabilityList!$E$7:$O$1673,11,FALSE),"ID Not Found")</f>
        <v>31413</v>
      </c>
      <c r="V12" s="271" t="str">
        <f>IFERROR(VLOOKUP($A12,GeneratingCapabilityList!$E$7:$O$1673,6,FALSE),"UNKNOWN")</f>
        <v>PEAKER</v>
      </c>
      <c r="W12" s="271">
        <f>IFERROR(VLOOKUP($A12,GeneratingCapabilityList!$E$7:$O$1673,3,FALSE),"ID Not Found")</f>
        <v>23.8</v>
      </c>
      <c r="Y12" s="270"/>
    </row>
    <row r="13" spans="1:26">
      <c r="A13" s="241" t="s">
        <v>1267</v>
      </c>
      <c r="B13" s="241" t="s">
        <v>3324</v>
      </c>
      <c r="C13" s="241" t="s">
        <v>3360</v>
      </c>
      <c r="D13" s="242">
        <v>24.4</v>
      </c>
      <c r="E13" s="242">
        <v>24.4</v>
      </c>
      <c r="F13" s="242">
        <v>24.4</v>
      </c>
      <c r="G13" s="242">
        <v>24.4</v>
      </c>
      <c r="H13" s="242">
        <v>24.4</v>
      </c>
      <c r="I13" s="242">
        <v>24.4</v>
      </c>
      <c r="J13" s="242">
        <v>24.4</v>
      </c>
      <c r="K13" s="242">
        <v>24.4</v>
      </c>
      <c r="L13" s="242">
        <v>24.4</v>
      </c>
      <c r="M13" s="242">
        <v>24.4</v>
      </c>
      <c r="N13" s="242">
        <v>24.4</v>
      </c>
      <c r="O13" s="242">
        <v>24.4</v>
      </c>
      <c r="P13" s="241" t="s">
        <v>3345</v>
      </c>
      <c r="Q13" s="241" t="s">
        <v>3347</v>
      </c>
      <c r="R13" s="243" t="s">
        <v>4561</v>
      </c>
      <c r="S13" s="270">
        <f t="shared" si="0"/>
        <v>31413</v>
      </c>
      <c r="T13" s="270"/>
      <c r="U13" s="270">
        <f>IFERROR(VLOOKUP($A13,GeneratingCapabilityList!$E$7:$O$1673,11,FALSE),"ID Not Found")</f>
        <v>31413</v>
      </c>
      <c r="V13" s="271" t="str">
        <f>IFERROR(VLOOKUP($A13,GeneratingCapabilityList!$E$7:$O$1673,6,FALSE),"UNKNOWN")</f>
        <v>PEAKER</v>
      </c>
      <c r="W13" s="271">
        <f>IFERROR(VLOOKUP($A13,GeneratingCapabilityList!$E$7:$O$1673,3,FALSE),"ID Not Found")</f>
        <v>25.4</v>
      </c>
      <c r="Y13" s="270"/>
    </row>
    <row r="14" spans="1:26">
      <c r="A14" s="241" t="s">
        <v>4402</v>
      </c>
      <c r="B14" s="241" t="s">
        <v>3370</v>
      </c>
      <c r="C14" s="241" t="s">
        <v>4403</v>
      </c>
      <c r="D14" s="242">
        <v>0.16</v>
      </c>
      <c r="E14" s="242">
        <v>1.59</v>
      </c>
      <c r="F14" s="242">
        <v>3.72</v>
      </c>
      <c r="G14" s="242">
        <v>12.03</v>
      </c>
      <c r="H14" s="242">
        <v>14.68</v>
      </c>
      <c r="I14" s="242">
        <v>17.34</v>
      </c>
      <c r="J14" s="242">
        <v>16.96</v>
      </c>
      <c r="K14" s="242">
        <v>16.28</v>
      </c>
      <c r="L14" s="242">
        <v>14.82</v>
      </c>
      <c r="M14" s="242">
        <v>9.36</v>
      </c>
      <c r="N14" s="242">
        <v>1.29</v>
      </c>
      <c r="O14" s="242">
        <v>0.54</v>
      </c>
      <c r="P14" s="241" t="s">
        <v>3345</v>
      </c>
      <c r="Q14" s="241" t="s">
        <v>4563</v>
      </c>
      <c r="R14" s="243" t="s">
        <v>4562</v>
      </c>
      <c r="S14" s="270">
        <f t="shared" si="0"/>
        <v>41341</v>
      </c>
      <c r="T14" s="270"/>
      <c r="U14" s="270">
        <f>IFERROR(VLOOKUP($A14,GeneratingCapabilityList!$E$7:$O$1673,11,FALSE),"ID Not Found")</f>
        <v>41341</v>
      </c>
      <c r="V14" s="271" t="str">
        <f>IFERROR(VLOOKUP($A14,GeneratingCapabilityList!$E$7:$O$1673,6,FALSE),"UNKNOWN")</f>
        <v>SOLAR</v>
      </c>
      <c r="W14" s="271">
        <f>IFERROR(VLOOKUP($A14,GeneratingCapabilityList!$E$7:$O$1673,3,FALSE),"ID Not Found")</f>
        <v>20</v>
      </c>
      <c r="Y14" s="270"/>
      <c r="Z14" s="881"/>
    </row>
    <row r="15" spans="1:26">
      <c r="A15" s="241" t="s">
        <v>4399</v>
      </c>
      <c r="B15" s="241" t="s">
        <v>3370</v>
      </c>
      <c r="C15" s="241" t="s">
        <v>4400</v>
      </c>
      <c r="D15" s="242">
        <v>0.42</v>
      </c>
      <c r="E15" s="242">
        <v>3.99</v>
      </c>
      <c r="F15" s="242">
        <v>9.3000000000000007</v>
      </c>
      <c r="G15" s="242">
        <v>30.09</v>
      </c>
      <c r="H15" s="242">
        <v>36.72</v>
      </c>
      <c r="I15" s="242">
        <v>43.36</v>
      </c>
      <c r="J15" s="242">
        <v>42.4</v>
      </c>
      <c r="K15" s="242">
        <v>40.72</v>
      </c>
      <c r="L15" s="242">
        <v>37.049999999999997</v>
      </c>
      <c r="M15" s="242">
        <v>23.41</v>
      </c>
      <c r="N15" s="242">
        <v>3.23</v>
      </c>
      <c r="O15" s="242">
        <v>1.35</v>
      </c>
      <c r="P15" s="241" t="s">
        <v>3345</v>
      </c>
      <c r="Q15" s="241" t="s">
        <v>3347</v>
      </c>
      <c r="R15" s="243" t="s">
        <v>4562</v>
      </c>
      <c r="S15" s="270">
        <f t="shared" si="0"/>
        <v>41341</v>
      </c>
      <c r="T15" s="270"/>
      <c r="U15" s="270">
        <f>IFERROR(VLOOKUP($A15,GeneratingCapabilityList!$E$7:$O$1673,11,FALSE),"ID Not Found")</f>
        <v>41341</v>
      </c>
      <c r="V15" s="271" t="str">
        <f>IFERROR(VLOOKUP($A15,GeneratingCapabilityList!$E$7:$O$1673,6,FALSE),"UNKNOWN")</f>
        <v>SOLAR</v>
      </c>
      <c r="W15" s="271">
        <f>IFERROR(VLOOKUP($A15,GeneratingCapabilityList!$E$7:$O$1673,3,FALSE),"ID Not Found")</f>
        <v>50</v>
      </c>
      <c r="Y15" s="270"/>
    </row>
    <row r="16" spans="1:26">
      <c r="A16" s="241" t="s">
        <v>4407</v>
      </c>
      <c r="B16" s="241" t="s">
        <v>3361</v>
      </c>
      <c r="C16" s="241" t="s">
        <v>4408</v>
      </c>
      <c r="D16" s="242">
        <v>6.59</v>
      </c>
      <c r="E16" s="242">
        <v>15.21</v>
      </c>
      <c r="F16" s="242">
        <v>32.36</v>
      </c>
      <c r="G16" s="242">
        <v>36.4</v>
      </c>
      <c r="H16" s="242">
        <v>52.01</v>
      </c>
      <c r="I16" s="242">
        <v>54.33</v>
      </c>
      <c r="J16" s="242">
        <v>35.04</v>
      </c>
      <c r="K16" s="242">
        <v>29.33</v>
      </c>
      <c r="L16" s="242">
        <v>10.67</v>
      </c>
      <c r="M16" s="242">
        <v>13.01</v>
      </c>
      <c r="N16" s="242">
        <v>12</v>
      </c>
      <c r="O16" s="242">
        <v>9.4600000000000009</v>
      </c>
      <c r="P16" s="241" t="s">
        <v>3352</v>
      </c>
      <c r="Q16" s="245" t="s">
        <v>3347</v>
      </c>
      <c r="R16" s="243" t="s">
        <v>4562</v>
      </c>
      <c r="S16" s="270">
        <f t="shared" si="0"/>
        <v>41275</v>
      </c>
      <c r="T16" s="270"/>
      <c r="U16" s="270">
        <f>IFERROR(VLOOKUP($A16,GeneratingCapabilityList!$E$7:$O$1673,11,FALSE),"ID Not Found")</f>
        <v>41275</v>
      </c>
      <c r="V16" s="271" t="str">
        <f>IFERROR(VLOOKUP($A16,GeneratingCapabilityList!$E$7:$O$1673,6,FALSE),"UNKNOWN")</f>
        <v>WIND</v>
      </c>
      <c r="W16" s="271">
        <f>IFERROR(VLOOKUP($A16,GeneratingCapabilityList!$E$7:$O$1673,3,FALSE),"ID Not Found")</f>
        <v>168</v>
      </c>
      <c r="Y16" s="270"/>
    </row>
    <row r="17" spans="1:25">
      <c r="A17" s="241" t="s">
        <v>4419</v>
      </c>
      <c r="B17" s="241" t="s">
        <v>3361</v>
      </c>
      <c r="C17" s="241" t="s">
        <v>4420</v>
      </c>
      <c r="D17" s="242">
        <v>5.18</v>
      </c>
      <c r="E17" s="242">
        <v>11.95</v>
      </c>
      <c r="F17" s="242">
        <v>25.43</v>
      </c>
      <c r="G17" s="242">
        <v>28.6</v>
      </c>
      <c r="H17" s="242">
        <v>40.869999999999997</v>
      </c>
      <c r="I17" s="242">
        <v>42.69</v>
      </c>
      <c r="J17" s="242">
        <v>27.53</v>
      </c>
      <c r="K17" s="242">
        <v>23.04</v>
      </c>
      <c r="L17" s="242">
        <v>8.3800000000000008</v>
      </c>
      <c r="M17" s="242">
        <v>10.220000000000001</v>
      </c>
      <c r="N17" s="242">
        <v>9.43</v>
      </c>
      <c r="O17" s="242">
        <v>7.44</v>
      </c>
      <c r="P17" s="241" t="s">
        <v>3352</v>
      </c>
      <c r="Q17" s="245" t="s">
        <v>3347</v>
      </c>
      <c r="R17" s="243" t="s">
        <v>4562</v>
      </c>
      <c r="S17" s="270">
        <f t="shared" si="0"/>
        <v>41275</v>
      </c>
      <c r="T17" s="270"/>
      <c r="U17" s="270">
        <f>IFERROR(VLOOKUP($A17,GeneratingCapabilityList!$E$7:$O$1673,11,FALSE),"ID Not Found")</f>
        <v>41275</v>
      </c>
      <c r="V17" s="271" t="str">
        <f>IFERROR(VLOOKUP($A17,GeneratingCapabilityList!$E$7:$O$1673,6,FALSE),"UNKNOWN")</f>
        <v>WIND</v>
      </c>
      <c r="W17" s="271">
        <f>IFERROR(VLOOKUP($A17,GeneratingCapabilityList!$E$7:$O$1673,3,FALSE),"ID Not Found")</f>
        <v>132</v>
      </c>
      <c r="Y17" s="270"/>
    </row>
    <row r="18" spans="1:25">
      <c r="A18" s="241" t="s">
        <v>2986</v>
      </c>
      <c r="B18" s="241" t="s">
        <v>3361</v>
      </c>
      <c r="C18" s="241" t="s">
        <v>4564</v>
      </c>
      <c r="D18" s="242">
        <v>3.49</v>
      </c>
      <c r="E18" s="242">
        <v>8.9</v>
      </c>
      <c r="F18" s="242">
        <v>12.43</v>
      </c>
      <c r="G18" s="242">
        <v>18.14</v>
      </c>
      <c r="H18" s="242">
        <v>21.09</v>
      </c>
      <c r="I18" s="242">
        <v>26.94</v>
      </c>
      <c r="J18" s="242">
        <v>15.6</v>
      </c>
      <c r="K18" s="242">
        <v>13.03</v>
      </c>
      <c r="L18" s="242">
        <v>3.68</v>
      </c>
      <c r="M18" s="242">
        <v>5.59</v>
      </c>
      <c r="N18" s="242">
        <v>5.88</v>
      </c>
      <c r="O18" s="242">
        <v>4.41</v>
      </c>
      <c r="P18" s="241" t="s">
        <v>3352</v>
      </c>
      <c r="Q18" s="245" t="s">
        <v>3347</v>
      </c>
      <c r="R18" s="243" t="s">
        <v>4562</v>
      </c>
      <c r="S18" s="270">
        <f t="shared" si="0"/>
        <v>40614</v>
      </c>
      <c r="T18" s="270"/>
      <c r="U18" s="270">
        <f>IFERROR(VLOOKUP($A18,GeneratingCapabilityList!$E$7:$O$1673,11,FALSE),"ID Not Found")</f>
        <v>40614</v>
      </c>
      <c r="V18" s="271" t="str">
        <f>IFERROR(VLOOKUP($A18,GeneratingCapabilityList!$E$7:$O$1673,6,FALSE),"UNKNOWN")</f>
        <v>WIND</v>
      </c>
      <c r="W18" s="271">
        <f>IFERROR(VLOOKUP($A18,GeneratingCapabilityList!$E$7:$O$1673,3,FALSE),"ID Not Found")</f>
        <v>102</v>
      </c>
      <c r="Y18" s="270"/>
    </row>
    <row r="19" spans="1:25">
      <c r="A19" s="241" t="s">
        <v>2997</v>
      </c>
      <c r="B19" s="241" t="s">
        <v>3361</v>
      </c>
      <c r="C19" s="241" t="s">
        <v>4565</v>
      </c>
      <c r="D19" s="242">
        <v>4.54</v>
      </c>
      <c r="E19" s="242">
        <v>6.62</v>
      </c>
      <c r="F19" s="242">
        <v>12.66</v>
      </c>
      <c r="G19" s="242">
        <v>17.87</v>
      </c>
      <c r="H19" s="242">
        <v>30.73</v>
      </c>
      <c r="I19" s="242">
        <v>36.44</v>
      </c>
      <c r="J19" s="242">
        <v>19.52</v>
      </c>
      <c r="K19" s="242">
        <v>15.63</v>
      </c>
      <c r="L19" s="242">
        <v>4.3600000000000003</v>
      </c>
      <c r="M19" s="242">
        <v>7.16</v>
      </c>
      <c r="N19" s="242">
        <v>7.57</v>
      </c>
      <c r="O19" s="242">
        <v>6.04</v>
      </c>
      <c r="P19" s="241" t="s">
        <v>3352</v>
      </c>
      <c r="Q19" s="245" t="s">
        <v>3347</v>
      </c>
      <c r="R19" s="243" t="s">
        <v>4562</v>
      </c>
      <c r="S19" s="270">
        <f t="shared" si="0"/>
        <v>40654</v>
      </c>
      <c r="T19" s="270"/>
      <c r="U19" s="270">
        <f>IFERROR(VLOOKUP($A19,GeneratingCapabilityList!$E$7:$O$1673,11,FALSE),"ID Not Found")</f>
        <v>40654</v>
      </c>
      <c r="V19" s="271" t="str">
        <f>IFERROR(VLOOKUP($A19,GeneratingCapabilityList!$E$7:$O$1673,6,FALSE),"UNKNOWN")</f>
        <v>WIND</v>
      </c>
      <c r="W19" s="271">
        <f>IFERROR(VLOOKUP($A19,GeneratingCapabilityList!$E$7:$O$1673,3,FALSE),"ID Not Found")</f>
        <v>168</v>
      </c>
      <c r="Y19" s="270"/>
    </row>
    <row r="20" spans="1:25">
      <c r="A20" s="241" t="s">
        <v>3071</v>
      </c>
      <c r="B20" s="241" t="s">
        <v>3361</v>
      </c>
      <c r="C20" s="241" t="s">
        <v>4566</v>
      </c>
      <c r="D20" s="242">
        <v>7.98</v>
      </c>
      <c r="E20" s="242">
        <v>12.93</v>
      </c>
      <c r="F20" s="242">
        <v>31.82</v>
      </c>
      <c r="G20" s="242">
        <v>36.880000000000003</v>
      </c>
      <c r="H20" s="242">
        <v>46.71</v>
      </c>
      <c r="I20" s="242">
        <v>52.72</v>
      </c>
      <c r="J20" s="242">
        <v>41</v>
      </c>
      <c r="K20" s="242">
        <v>24.98</v>
      </c>
      <c r="L20" s="242">
        <v>7.74</v>
      </c>
      <c r="M20" s="242">
        <v>9.8699999999999992</v>
      </c>
      <c r="N20" s="242">
        <v>11.63</v>
      </c>
      <c r="O20" s="242">
        <v>7.11</v>
      </c>
      <c r="P20" s="241" t="s">
        <v>3352</v>
      </c>
      <c r="Q20" s="245" t="s">
        <v>3347</v>
      </c>
      <c r="R20" s="243" t="s">
        <v>4562</v>
      </c>
      <c r="S20" s="270">
        <f t="shared" si="0"/>
        <v>40940</v>
      </c>
      <c r="T20" s="270"/>
      <c r="U20" s="270">
        <f>IFERROR(VLOOKUP($A20,GeneratingCapabilityList!$E$7:$O$1673,11,FALSE),"ID Not Found")</f>
        <v>40940</v>
      </c>
      <c r="V20" s="271" t="str">
        <f>IFERROR(VLOOKUP($A20,GeneratingCapabilityList!$E$7:$O$1673,6,FALSE),"UNKNOWN")</f>
        <v>WIND</v>
      </c>
      <c r="W20" s="271">
        <f>IFERROR(VLOOKUP($A20,GeneratingCapabilityList!$E$7:$O$1673,3,FALSE),"ID Not Found")</f>
        <v>150</v>
      </c>
      <c r="Y20" s="270"/>
    </row>
    <row r="21" spans="1:25">
      <c r="A21" s="241" t="s">
        <v>2972</v>
      </c>
      <c r="B21" s="241" t="s">
        <v>3361</v>
      </c>
      <c r="C21" s="241" t="s">
        <v>4567</v>
      </c>
      <c r="D21" s="242">
        <v>6.83</v>
      </c>
      <c r="E21" s="242">
        <v>10.87</v>
      </c>
      <c r="F21" s="242">
        <v>27.63</v>
      </c>
      <c r="G21" s="242">
        <v>44.52</v>
      </c>
      <c r="H21" s="242">
        <v>49.2</v>
      </c>
      <c r="I21" s="242">
        <v>41.89</v>
      </c>
      <c r="J21" s="242">
        <v>26.27</v>
      </c>
      <c r="K21" s="242">
        <v>25.15</v>
      </c>
      <c r="L21" s="242">
        <v>8.57</v>
      </c>
      <c r="M21" s="242">
        <v>9.5</v>
      </c>
      <c r="N21" s="242">
        <v>8.07</v>
      </c>
      <c r="O21" s="242">
        <v>11.28</v>
      </c>
      <c r="P21" s="241" t="s">
        <v>3352</v>
      </c>
      <c r="Q21" s="245" t="s">
        <v>3347</v>
      </c>
      <c r="R21" s="243" t="s">
        <v>4562</v>
      </c>
      <c r="S21" s="270">
        <f t="shared" si="0"/>
        <v>40541</v>
      </c>
      <c r="T21" s="270"/>
      <c r="U21" s="270">
        <f>IFERROR(VLOOKUP($A21,GeneratingCapabilityList!$E$7:$O$1673,11,FALSE),"ID Not Found")</f>
        <v>40541</v>
      </c>
      <c r="V21" s="271" t="str">
        <f>IFERROR(VLOOKUP($A21,GeneratingCapabilityList!$E$7:$O$1673,6,FALSE),"UNKNOWN")</f>
        <v>WIND</v>
      </c>
      <c r="W21" s="271">
        <f>IFERROR(VLOOKUP($A21,GeneratingCapabilityList!$E$7:$O$1673,3,FALSE),"ID Not Found")</f>
        <v>150</v>
      </c>
      <c r="Y21" s="270"/>
    </row>
    <row r="22" spans="1:25">
      <c r="A22" s="241" t="s">
        <v>2975</v>
      </c>
      <c r="B22" s="241" t="s">
        <v>3361</v>
      </c>
      <c r="C22" s="241" t="s">
        <v>2976</v>
      </c>
      <c r="D22" s="242">
        <v>5.24</v>
      </c>
      <c r="E22" s="242">
        <v>5.55</v>
      </c>
      <c r="F22" s="242">
        <v>22.11</v>
      </c>
      <c r="G22" s="242">
        <v>25.05</v>
      </c>
      <c r="H22" s="242">
        <v>35.520000000000003</v>
      </c>
      <c r="I22" s="242">
        <v>36.22</v>
      </c>
      <c r="J22" s="242">
        <v>20.46</v>
      </c>
      <c r="K22" s="242">
        <v>19.27</v>
      </c>
      <c r="L22" s="242">
        <v>5.63</v>
      </c>
      <c r="M22" s="242">
        <v>7.59</v>
      </c>
      <c r="N22" s="242">
        <v>5.0599999999999996</v>
      </c>
      <c r="O22" s="242">
        <v>6.46</v>
      </c>
      <c r="P22" s="241" t="s">
        <v>3352</v>
      </c>
      <c r="Q22" s="245" t="s">
        <v>3347</v>
      </c>
      <c r="R22" s="243" t="s">
        <v>4562</v>
      </c>
      <c r="S22" s="270">
        <f t="shared" si="0"/>
        <v>40541</v>
      </c>
      <c r="T22" s="270"/>
      <c r="U22" s="270">
        <f>IFERROR(VLOOKUP($A22,GeneratingCapabilityList!$E$7:$O$1673,11,FALSE),"ID Not Found")</f>
        <v>40541</v>
      </c>
      <c r="V22" s="271" t="str">
        <f>IFERROR(VLOOKUP($A22,GeneratingCapabilityList!$E$7:$O$1673,6,FALSE),"UNKNOWN")</f>
        <v>WIND</v>
      </c>
      <c r="W22" s="271">
        <f>IFERROR(VLOOKUP($A22,GeneratingCapabilityList!$E$7:$O$1673,3,FALSE),"ID Not Found")</f>
        <v>150</v>
      </c>
      <c r="Y22" s="270"/>
    </row>
    <row r="23" spans="1:25">
      <c r="A23" s="241" t="s">
        <v>2981</v>
      </c>
      <c r="B23" s="241" t="s">
        <v>3361</v>
      </c>
      <c r="C23" s="241" t="s">
        <v>4568</v>
      </c>
      <c r="D23" s="242">
        <v>2.62</v>
      </c>
      <c r="E23" s="242">
        <v>8.73</v>
      </c>
      <c r="F23" s="242">
        <v>27.42</v>
      </c>
      <c r="G23" s="242">
        <v>29.44</v>
      </c>
      <c r="H23" s="242">
        <v>37.619999999999997</v>
      </c>
      <c r="I23" s="242">
        <v>36.56</v>
      </c>
      <c r="J23" s="242">
        <v>20.92</v>
      </c>
      <c r="K23" s="242">
        <v>18.739999999999998</v>
      </c>
      <c r="L23" s="242">
        <v>5.2</v>
      </c>
      <c r="M23" s="242">
        <v>7.93</v>
      </c>
      <c r="N23" s="242">
        <v>9.2200000000000006</v>
      </c>
      <c r="O23" s="242">
        <v>5.53</v>
      </c>
      <c r="P23" s="241" t="s">
        <v>3352</v>
      </c>
      <c r="Q23" s="245" t="s">
        <v>3347</v>
      </c>
      <c r="R23" s="243" t="s">
        <v>4562</v>
      </c>
      <c r="S23" s="270">
        <f t="shared" si="0"/>
        <v>40586</v>
      </c>
      <c r="T23" s="270"/>
      <c r="U23" s="270">
        <f>IFERROR(VLOOKUP($A23,GeneratingCapabilityList!$E$7:$O$1673,11,FALSE),"ID Not Found")</f>
        <v>40586</v>
      </c>
      <c r="V23" s="271" t="str">
        <f>IFERROR(VLOOKUP($A23,GeneratingCapabilityList!$E$7:$O$1673,6,FALSE),"UNKNOWN")</f>
        <v>WIND</v>
      </c>
      <c r="W23" s="271">
        <f>IFERROR(VLOOKUP($A23,GeneratingCapabilityList!$E$7:$O$1673,3,FALSE),"ID Not Found")</f>
        <v>150</v>
      </c>
      <c r="Y23" s="270"/>
    </row>
    <row r="24" spans="1:25">
      <c r="A24" s="241" t="s">
        <v>3819</v>
      </c>
      <c r="B24" s="241" t="s">
        <v>3361</v>
      </c>
      <c r="C24" s="241" t="s">
        <v>3820</v>
      </c>
      <c r="D24" s="242">
        <v>4.62</v>
      </c>
      <c r="E24" s="242">
        <v>11.86</v>
      </c>
      <c r="F24" s="242">
        <v>21.75</v>
      </c>
      <c r="G24" s="242">
        <v>27.9</v>
      </c>
      <c r="H24" s="242">
        <v>40.08</v>
      </c>
      <c r="I24" s="242">
        <v>44.88</v>
      </c>
      <c r="J24" s="242">
        <v>28.56</v>
      </c>
      <c r="K24" s="242">
        <v>23.9</v>
      </c>
      <c r="L24" s="242">
        <v>7.34</v>
      </c>
      <c r="M24" s="242">
        <v>9.2899999999999991</v>
      </c>
      <c r="N24" s="242">
        <v>9.9600000000000009</v>
      </c>
      <c r="O24" s="242">
        <v>8.0399999999999991</v>
      </c>
      <c r="P24" s="241" t="s">
        <v>3352</v>
      </c>
      <c r="Q24" s="245" t="s">
        <v>3347</v>
      </c>
      <c r="R24" s="243" t="s">
        <v>4562</v>
      </c>
      <c r="S24" s="270">
        <f t="shared" si="0"/>
        <v>41038</v>
      </c>
      <c r="T24" s="270"/>
      <c r="U24" s="270">
        <f>IFERROR(VLOOKUP($A24,GeneratingCapabilityList!$E$7:$O$1673,11,FALSE),"ID Not Found")</f>
        <v>41038</v>
      </c>
      <c r="V24" s="271" t="str">
        <f>IFERROR(VLOOKUP($A24,GeneratingCapabilityList!$E$7:$O$1673,6,FALSE),"UNKNOWN")</f>
        <v>WIND</v>
      </c>
      <c r="W24" s="271">
        <f>IFERROR(VLOOKUP($A24,GeneratingCapabilityList!$E$7:$O$1673,3,FALSE),"ID Not Found")</f>
        <v>150</v>
      </c>
      <c r="Y24" s="270"/>
    </row>
    <row r="25" spans="1:25">
      <c r="A25" s="241" t="s">
        <v>1194</v>
      </c>
      <c r="B25" s="241" t="s">
        <v>3361</v>
      </c>
      <c r="C25" s="241" t="s">
        <v>1195</v>
      </c>
      <c r="D25" s="242">
        <v>0</v>
      </c>
      <c r="E25" s="242">
        <v>0.06</v>
      </c>
      <c r="F25" s="242">
        <v>0.21</v>
      </c>
      <c r="G25" s="242">
        <v>0.24</v>
      </c>
      <c r="H25" s="242">
        <v>0.46</v>
      </c>
      <c r="I25" s="242">
        <v>0.31</v>
      </c>
      <c r="J25" s="242">
        <v>0.59</v>
      </c>
      <c r="K25" s="242">
        <v>0.34</v>
      </c>
      <c r="L25" s="242">
        <v>0.14000000000000001</v>
      </c>
      <c r="M25" s="242">
        <v>0.1</v>
      </c>
      <c r="N25" s="242">
        <v>0</v>
      </c>
      <c r="O25" s="242">
        <v>0</v>
      </c>
      <c r="P25" s="241" t="s">
        <v>3345</v>
      </c>
      <c r="Q25" s="241" t="s">
        <v>3347</v>
      </c>
      <c r="R25" s="243" t="s">
        <v>4562</v>
      </c>
      <c r="S25" s="270">
        <f t="shared" si="0"/>
        <v>31153</v>
      </c>
      <c r="T25" s="270"/>
      <c r="U25" s="270">
        <f>IFERROR(VLOOKUP($A25,GeneratingCapabilityList!$E$7:$O$1673,11,FALSE),"ID Not Found")</f>
        <v>31153</v>
      </c>
      <c r="V25" s="271" t="str">
        <f>IFERROR(VLOOKUP($A25,GeneratingCapabilityList!$E$7:$O$1673,6,FALSE),"UNKNOWN")</f>
        <v>WIND</v>
      </c>
      <c r="W25" s="271">
        <f>IFERROR(VLOOKUP($A25,GeneratingCapabilityList!$E$7:$O$1673,3,FALSE),"ID Not Found")</f>
        <v>12.5</v>
      </c>
      <c r="Y25" s="270"/>
    </row>
    <row r="26" spans="1:25">
      <c r="A26" s="241" t="s">
        <v>3030</v>
      </c>
      <c r="B26" s="241" t="s">
        <v>3327</v>
      </c>
      <c r="C26" s="241" t="s">
        <v>4569</v>
      </c>
      <c r="D26" s="242">
        <v>49.4</v>
      </c>
      <c r="E26" s="242">
        <v>49.4</v>
      </c>
      <c r="F26" s="242">
        <v>49.4</v>
      </c>
      <c r="G26" s="242">
        <v>49.4</v>
      </c>
      <c r="H26" s="242">
        <v>49.4</v>
      </c>
      <c r="I26" s="242">
        <v>49.4</v>
      </c>
      <c r="J26" s="242">
        <v>49.4</v>
      </c>
      <c r="K26" s="242">
        <v>49.4</v>
      </c>
      <c r="L26" s="242">
        <v>49.4</v>
      </c>
      <c r="M26" s="242">
        <v>49.4</v>
      </c>
      <c r="N26" s="242">
        <v>49.4</v>
      </c>
      <c r="O26" s="242">
        <v>49.4</v>
      </c>
      <c r="P26" s="241" t="s">
        <v>3352</v>
      </c>
      <c r="Q26" s="241" t="s">
        <v>3347</v>
      </c>
      <c r="R26" s="243" t="s">
        <v>4561</v>
      </c>
      <c r="S26" s="270">
        <f t="shared" si="0"/>
        <v>40802</v>
      </c>
      <c r="T26" s="270"/>
      <c r="U26" s="270">
        <f>IFERROR(VLOOKUP($A26,GeneratingCapabilityList!$E$7:$O$1673,11,FALSE),"ID Not Found")</f>
        <v>40802</v>
      </c>
      <c r="V26" s="271" t="str">
        <f>IFERROR(VLOOKUP($A26,GeneratingCapabilityList!$E$7:$O$1673,6,FALSE),"UNKNOWN")</f>
        <v>PEAKER</v>
      </c>
      <c r="W26" s="271">
        <f>IFERROR(VLOOKUP($A26,GeneratingCapabilityList!$E$7:$O$1673,3,FALSE),"ID Not Found")</f>
        <v>49.4</v>
      </c>
      <c r="Y26" s="270"/>
    </row>
    <row r="27" spans="1:25">
      <c r="A27" s="241" t="s">
        <v>3033</v>
      </c>
      <c r="B27" s="241" t="s">
        <v>3327</v>
      </c>
      <c r="C27" s="241" t="s">
        <v>4570</v>
      </c>
      <c r="D27" s="242">
        <v>48</v>
      </c>
      <c r="E27" s="242">
        <v>48</v>
      </c>
      <c r="F27" s="242">
        <v>48</v>
      </c>
      <c r="G27" s="242">
        <v>48</v>
      </c>
      <c r="H27" s="242">
        <v>48</v>
      </c>
      <c r="I27" s="242">
        <v>48</v>
      </c>
      <c r="J27" s="242">
        <v>48</v>
      </c>
      <c r="K27" s="242">
        <v>48</v>
      </c>
      <c r="L27" s="242">
        <v>48</v>
      </c>
      <c r="M27" s="242">
        <v>48</v>
      </c>
      <c r="N27" s="242">
        <v>48</v>
      </c>
      <c r="O27" s="242">
        <v>48</v>
      </c>
      <c r="P27" s="241" t="s">
        <v>3352</v>
      </c>
      <c r="Q27" s="241" t="s">
        <v>3347</v>
      </c>
      <c r="R27" s="243" t="s">
        <v>4561</v>
      </c>
      <c r="S27" s="270">
        <f t="shared" si="0"/>
        <v>40802</v>
      </c>
      <c r="T27" s="270"/>
      <c r="U27" s="270">
        <f>IFERROR(VLOOKUP($A27,GeneratingCapabilityList!$E$7:$O$1673,11,FALSE),"ID Not Found")</f>
        <v>40802</v>
      </c>
      <c r="V27" s="271" t="str">
        <f>IFERROR(VLOOKUP($A27,GeneratingCapabilityList!$E$7:$O$1673,6,FALSE),"UNKNOWN")</f>
        <v>PEAKER</v>
      </c>
      <c r="W27" s="271">
        <f>IFERROR(VLOOKUP($A27,GeneratingCapabilityList!$E$7:$O$1673,3,FALSE),"ID Not Found")</f>
        <v>49.4</v>
      </c>
      <c r="Y27" s="270"/>
    </row>
    <row r="28" spans="1:25">
      <c r="A28" s="241" t="s">
        <v>3006</v>
      </c>
      <c r="B28" s="241" t="s">
        <v>3327</v>
      </c>
      <c r="C28" s="241" t="s">
        <v>4571</v>
      </c>
      <c r="D28" s="242">
        <v>48</v>
      </c>
      <c r="E28" s="242">
        <v>48</v>
      </c>
      <c r="F28" s="242">
        <v>48</v>
      </c>
      <c r="G28" s="242">
        <v>48</v>
      </c>
      <c r="H28" s="242">
        <v>48</v>
      </c>
      <c r="I28" s="242">
        <v>48</v>
      </c>
      <c r="J28" s="242">
        <v>48</v>
      </c>
      <c r="K28" s="242">
        <v>48</v>
      </c>
      <c r="L28" s="242">
        <v>48</v>
      </c>
      <c r="M28" s="242">
        <v>48</v>
      </c>
      <c r="N28" s="242">
        <v>48</v>
      </c>
      <c r="O28" s="242">
        <v>48</v>
      </c>
      <c r="P28" s="241" t="s">
        <v>3352</v>
      </c>
      <c r="Q28" s="241" t="s">
        <v>3347</v>
      </c>
      <c r="R28" s="243" t="s">
        <v>4561</v>
      </c>
      <c r="S28" s="270">
        <f t="shared" si="0"/>
        <v>40754</v>
      </c>
      <c r="T28" s="270"/>
      <c r="U28" s="270">
        <f>IFERROR(VLOOKUP($A28,GeneratingCapabilityList!$E$7:$O$1673,11,FALSE),"ID Not Found")</f>
        <v>40754</v>
      </c>
      <c r="V28" s="271" t="str">
        <f>IFERROR(VLOOKUP($A28,GeneratingCapabilityList!$E$7:$O$1673,6,FALSE),"UNKNOWN")</f>
        <v>PEAKER</v>
      </c>
      <c r="W28" s="271">
        <f>IFERROR(VLOOKUP($A28,GeneratingCapabilityList!$E$7:$O$1673,3,FALSE),"ID Not Found")</f>
        <v>49.4</v>
      </c>
      <c r="Y28" s="270"/>
    </row>
    <row r="29" spans="1:25">
      <c r="A29" s="241" t="s">
        <v>3009</v>
      </c>
      <c r="B29" s="241" t="s">
        <v>3327</v>
      </c>
      <c r="C29" s="241" t="s">
        <v>4572</v>
      </c>
      <c r="D29" s="242">
        <v>49.4</v>
      </c>
      <c r="E29" s="242">
        <v>49.4</v>
      </c>
      <c r="F29" s="242">
        <v>49.4</v>
      </c>
      <c r="G29" s="242">
        <v>49.4</v>
      </c>
      <c r="H29" s="242">
        <v>49.4</v>
      </c>
      <c r="I29" s="242">
        <v>49.4</v>
      </c>
      <c r="J29" s="242">
        <v>49.4</v>
      </c>
      <c r="K29" s="242">
        <v>49.4</v>
      </c>
      <c r="L29" s="242">
        <v>49.4</v>
      </c>
      <c r="M29" s="242">
        <v>49.4</v>
      </c>
      <c r="N29" s="242">
        <v>49.4</v>
      </c>
      <c r="O29" s="242">
        <v>49.4</v>
      </c>
      <c r="P29" s="241" t="s">
        <v>3352</v>
      </c>
      <c r="Q29" s="241" t="s">
        <v>3347</v>
      </c>
      <c r="R29" s="243" t="s">
        <v>4561</v>
      </c>
      <c r="S29" s="270">
        <f t="shared" si="0"/>
        <v>40754</v>
      </c>
      <c r="T29" s="270"/>
      <c r="U29" s="270">
        <f>IFERROR(VLOOKUP($A29,GeneratingCapabilityList!$E$7:$O$1673,11,FALSE),"ID Not Found")</f>
        <v>40754</v>
      </c>
      <c r="V29" s="271" t="str">
        <f>IFERROR(VLOOKUP($A29,GeneratingCapabilityList!$E$7:$O$1673,6,FALSE),"UNKNOWN")</f>
        <v>PEAKER</v>
      </c>
      <c r="W29" s="271">
        <f>IFERROR(VLOOKUP($A29,GeneratingCapabilityList!$E$7:$O$1673,3,FALSE),"ID Not Found")</f>
        <v>49.4</v>
      </c>
      <c r="Y29" s="270"/>
    </row>
    <row r="30" spans="1:25">
      <c r="A30" s="241" t="s">
        <v>1922</v>
      </c>
      <c r="B30" s="241" t="s">
        <v>3327</v>
      </c>
      <c r="C30" s="241" t="s">
        <v>3362</v>
      </c>
      <c r="D30" s="242">
        <v>42.81</v>
      </c>
      <c r="E30" s="242">
        <v>42.81</v>
      </c>
      <c r="F30" s="242">
        <v>42.81</v>
      </c>
      <c r="G30" s="242">
        <v>42.81</v>
      </c>
      <c r="H30" s="242">
        <v>42.81</v>
      </c>
      <c r="I30" s="242">
        <v>40.64</v>
      </c>
      <c r="J30" s="242">
        <v>40.64</v>
      </c>
      <c r="K30" s="242">
        <v>40.64</v>
      </c>
      <c r="L30" s="242">
        <v>40.64</v>
      </c>
      <c r="M30" s="242">
        <v>40.64</v>
      </c>
      <c r="N30" s="242">
        <v>42.81</v>
      </c>
      <c r="O30" s="242">
        <v>42.81</v>
      </c>
      <c r="P30" s="241" t="s">
        <v>3352</v>
      </c>
      <c r="Q30" s="241" t="s">
        <v>3347</v>
      </c>
      <c r="R30" s="243" t="s">
        <v>4561</v>
      </c>
      <c r="S30" s="270">
        <f t="shared" si="0"/>
        <v>32874</v>
      </c>
      <c r="T30" s="270"/>
      <c r="U30" s="270">
        <f>IFERROR(VLOOKUP($A30,GeneratingCapabilityList!$E$7:$O$1673,11,FALSE),"ID Not Found")</f>
        <v>32874</v>
      </c>
      <c r="V30" s="271" t="str">
        <f>IFERROR(VLOOKUP($A30,GeneratingCapabilityList!$E$7:$O$1673,6,FALSE),"UNKNOWN")</f>
        <v>PEAKER</v>
      </c>
      <c r="W30" s="271">
        <f>IFERROR(VLOOKUP($A30,GeneratingCapabilityList!$E$7:$O$1673,3,FALSE),"ID Not Found")</f>
        <v>42.81</v>
      </c>
      <c r="Y30" s="270"/>
    </row>
    <row r="31" spans="1:25">
      <c r="A31" s="244" t="s">
        <v>804</v>
      </c>
      <c r="B31" s="241" t="s">
        <v>3328</v>
      </c>
      <c r="C31" s="241" t="s">
        <v>3363</v>
      </c>
      <c r="D31" s="281">
        <v>21.44</v>
      </c>
      <c r="E31" s="281">
        <v>39.299999999999997</v>
      </c>
      <c r="F31" s="281">
        <v>67.23</v>
      </c>
      <c r="G31" s="281">
        <v>94.32</v>
      </c>
      <c r="H31" s="281">
        <v>105.84</v>
      </c>
      <c r="I31" s="281">
        <v>92.84</v>
      </c>
      <c r="J31" s="281">
        <v>36.94</v>
      </c>
      <c r="K31" s="281">
        <v>42.04</v>
      </c>
      <c r="L31" s="281">
        <v>14.29</v>
      </c>
      <c r="M31" s="281">
        <v>24.2</v>
      </c>
      <c r="N31" s="281">
        <v>28.7</v>
      </c>
      <c r="O31" s="281">
        <v>27.72</v>
      </c>
      <c r="P31" s="241" t="s">
        <v>3352</v>
      </c>
      <c r="Q31" s="241" t="s">
        <v>3347</v>
      </c>
      <c r="R31" s="243" t="s">
        <v>4562</v>
      </c>
      <c r="S31" s="270">
        <f t="shared" si="0"/>
        <v>29952</v>
      </c>
      <c r="T31" s="270"/>
      <c r="U31" s="270">
        <f>IFERROR(VLOOKUP($A31,GeneratingCapabilityList!$E$7:$O$1673,11,FALSE),"ID Not Found")</f>
        <v>29952</v>
      </c>
      <c r="V31" s="271" t="str">
        <f>IFERROR(VLOOKUP($A31,GeneratingCapabilityList!$E$7:$O$1673,6,FALSE),"UNKNOWN")</f>
        <v>WIND</v>
      </c>
      <c r="W31" s="271">
        <f>IFERROR(VLOOKUP($A31,GeneratingCapabilityList!$E$7:$O$1673,3,FALSE),"ID Not Found")</f>
        <v>346.03</v>
      </c>
      <c r="Y31" s="270"/>
    </row>
    <row r="32" spans="1:25">
      <c r="A32" s="241" t="s">
        <v>3321</v>
      </c>
      <c r="B32" s="241" t="s">
        <v>3375</v>
      </c>
      <c r="C32" s="241" t="s">
        <v>3322</v>
      </c>
      <c r="D32" s="249" t="s">
        <v>4573</v>
      </c>
      <c r="E32" s="249" t="s">
        <v>4573</v>
      </c>
      <c r="F32" s="249" t="s">
        <v>4573</v>
      </c>
      <c r="G32" s="249" t="s">
        <v>4573</v>
      </c>
      <c r="H32" s="249" t="s">
        <v>4573</v>
      </c>
      <c r="I32" s="249" t="s">
        <v>4573</v>
      </c>
      <c r="J32" s="249" t="s">
        <v>4573</v>
      </c>
      <c r="K32" s="249" t="s">
        <v>4573</v>
      </c>
      <c r="L32" s="249" t="s">
        <v>4573</v>
      </c>
      <c r="M32" s="249" t="s">
        <v>4573</v>
      </c>
      <c r="N32" s="249" t="s">
        <v>4573</v>
      </c>
      <c r="O32" s="249" t="s">
        <v>4573</v>
      </c>
      <c r="P32" s="241" t="s">
        <v>3345</v>
      </c>
      <c r="Q32" s="241" t="s">
        <v>3385</v>
      </c>
      <c r="R32" s="246" t="s">
        <v>4561</v>
      </c>
      <c r="S32" s="270">
        <f>Scenarios!$B$55</f>
        <v>36526</v>
      </c>
      <c r="T32" s="270" t="s">
        <v>4798</v>
      </c>
      <c r="U32" s="270" t="str">
        <f>IFERROR(VLOOKUP($A32,GeneratingCapabilityList!$E$7:$O$1673,11,FALSE),"ID Not Found")</f>
        <v>UNK</v>
      </c>
      <c r="V32" s="271" t="str">
        <f>IFERROR(VLOOKUP($A32,GeneratingCapabilityList!$E$7:$O$1673,6,FALSE),"UNKNOWN")</f>
        <v>HYDRO</v>
      </c>
      <c r="W32" s="271">
        <f>IFERROR(VLOOKUP($A32,GeneratingCapabilityList!$E$7:$O$1673,3,FALSE),"ID Not Found")</f>
        <v>1</v>
      </c>
      <c r="Y32" s="270"/>
    </row>
    <row r="33" spans="1:26">
      <c r="A33" s="250" t="s">
        <v>4574</v>
      </c>
      <c r="B33" s="250" t="s">
        <v>3328</v>
      </c>
      <c r="C33" s="251" t="s">
        <v>4575</v>
      </c>
      <c r="D33" s="249">
        <v>0.78</v>
      </c>
      <c r="E33" s="249">
        <v>1.8</v>
      </c>
      <c r="F33" s="249">
        <v>3.84</v>
      </c>
      <c r="G33" s="249">
        <v>4.32</v>
      </c>
      <c r="H33" s="249">
        <v>6.18</v>
      </c>
      <c r="I33" s="249">
        <v>6.45</v>
      </c>
      <c r="J33" s="249">
        <v>4.16</v>
      </c>
      <c r="K33" s="249">
        <v>3.48</v>
      </c>
      <c r="L33" s="249">
        <v>1.26</v>
      </c>
      <c r="M33" s="249">
        <v>1.54</v>
      </c>
      <c r="N33" s="249">
        <v>1.42</v>
      </c>
      <c r="O33" s="249">
        <v>1.1200000000000001</v>
      </c>
      <c r="P33" s="252" t="s">
        <v>3352</v>
      </c>
      <c r="Q33" s="252" t="s">
        <v>3347</v>
      </c>
      <c r="R33" s="253" t="s">
        <v>4562</v>
      </c>
      <c r="S33" s="270">
        <f t="shared" ref="S33:S43" si="1">U33</f>
        <v>41414</v>
      </c>
      <c r="T33" s="270"/>
      <c r="U33" s="270">
        <f>IFERROR(VLOOKUP($A33,GeneratingCapabilityList!$E$7:$O$1673,11,FALSE),"ID Not Found")</f>
        <v>41414</v>
      </c>
      <c r="V33" s="271" t="str">
        <f>IFERROR(VLOOKUP($A33,GeneratingCapabilityList!$E$7:$O$1673,6,FALSE),"UNKNOWN")</f>
        <v>WIND</v>
      </c>
      <c r="W33" s="271">
        <f>IFERROR(VLOOKUP($A33,GeneratingCapabilityList!$E$7:$O$1673,3,FALSE),"ID Not Found")</f>
        <v>19.95</v>
      </c>
      <c r="Y33" s="270"/>
    </row>
    <row r="34" spans="1:26">
      <c r="A34" s="241" t="s">
        <v>1600</v>
      </c>
      <c r="B34" s="241" t="s">
        <v>3327</v>
      </c>
      <c r="C34" s="241" t="s">
        <v>1601</v>
      </c>
      <c r="D34" s="242">
        <v>280.16000000000003</v>
      </c>
      <c r="E34" s="242">
        <v>280.16000000000003</v>
      </c>
      <c r="F34" s="242">
        <v>279.16000000000003</v>
      </c>
      <c r="G34" s="242">
        <v>263.5</v>
      </c>
      <c r="H34" s="242">
        <v>279.13</v>
      </c>
      <c r="I34" s="242">
        <v>287.04000000000002</v>
      </c>
      <c r="J34" s="242">
        <v>275.85000000000002</v>
      </c>
      <c r="K34" s="242">
        <v>274.89</v>
      </c>
      <c r="L34" s="242">
        <v>272.35000000000002</v>
      </c>
      <c r="M34" s="242">
        <v>236.36</v>
      </c>
      <c r="N34" s="242">
        <v>258.95999999999998</v>
      </c>
      <c r="O34" s="242">
        <v>282.06</v>
      </c>
      <c r="P34" s="241" t="s">
        <v>3352</v>
      </c>
      <c r="Q34" s="241" t="s">
        <v>3347</v>
      </c>
      <c r="R34" s="243" t="s">
        <v>4562</v>
      </c>
      <c r="S34" s="270">
        <f t="shared" si="1"/>
        <v>32115</v>
      </c>
      <c r="T34" s="270"/>
      <c r="U34" s="270">
        <f>IFERROR(VLOOKUP($A34,GeneratingCapabilityList!$E$7:$O$1673,11,FALSE),"ID Not Found")</f>
        <v>32115</v>
      </c>
      <c r="V34" s="271" t="str">
        <f>IFERROR(VLOOKUP($A34,GeneratingCapabilityList!$E$7:$O$1673,6,FALSE),"UNKNOWN")</f>
        <v>COGENERATION</v>
      </c>
      <c r="W34" s="271">
        <f>IFERROR(VLOOKUP($A34,GeneratingCapabilityList!$E$7:$O$1673,3,FALSE),"ID Not Found")</f>
        <v>416.6</v>
      </c>
      <c r="Y34" s="270"/>
    </row>
    <row r="35" spans="1:26">
      <c r="A35" s="259" t="s">
        <v>4707</v>
      </c>
      <c r="B35" s="255" t="s">
        <v>3437</v>
      </c>
      <c r="C35" s="874" t="s">
        <v>4708</v>
      </c>
      <c r="D35" s="242">
        <v>1.07</v>
      </c>
      <c r="E35" s="242">
        <v>10.14</v>
      </c>
      <c r="F35" s="242">
        <v>23.64</v>
      </c>
      <c r="G35" s="242">
        <v>76.44</v>
      </c>
      <c r="H35" s="242">
        <v>93.28</v>
      </c>
      <c r="I35" s="242">
        <v>110.15</v>
      </c>
      <c r="J35" s="242">
        <v>107.71</v>
      </c>
      <c r="K35" s="242">
        <v>103.44</v>
      </c>
      <c r="L35" s="242">
        <v>94.13</v>
      </c>
      <c r="M35" s="242">
        <v>59.48</v>
      </c>
      <c r="N35" s="242">
        <v>8.23</v>
      </c>
      <c r="O35" s="242">
        <v>3.45</v>
      </c>
      <c r="P35" s="821" t="s">
        <v>3352</v>
      </c>
      <c r="Q35" s="245" t="s">
        <v>3347</v>
      </c>
      <c r="R35" s="241" t="s">
        <v>4562</v>
      </c>
      <c r="S35" s="270">
        <f t="shared" si="1"/>
        <v>41583</v>
      </c>
      <c r="T35" s="270"/>
      <c r="U35" s="270">
        <f>IFERROR(VLOOKUP($A35,GeneratingCapabilityList!$E$7:$O$1673,11,FALSE),"ID Not Found")</f>
        <v>41583</v>
      </c>
      <c r="V35" s="271" t="str">
        <f>IFERROR(VLOOKUP($A35,GeneratingCapabilityList!$E$7:$O$1673,6,FALSE),"UNKNOWN")</f>
        <v>SOLAR</v>
      </c>
      <c r="W35" s="271">
        <f>IFERROR(VLOOKUP($A35,GeneratingCapabilityList!$E$7:$O$1673,3,FALSE),"ID Not Found")</f>
        <v>127</v>
      </c>
      <c r="X35" s="272"/>
      <c r="Y35" s="270"/>
      <c r="Z35" s="271" t="b">
        <f>TRUE</f>
        <v>1</v>
      </c>
    </row>
    <row r="36" spans="1:26">
      <c r="A36" s="241" t="s">
        <v>4413</v>
      </c>
      <c r="B36" s="245" t="s">
        <v>3370</v>
      </c>
      <c r="C36" s="241" t="s">
        <v>4414</v>
      </c>
      <c r="D36" s="242">
        <v>0.16</v>
      </c>
      <c r="E36" s="242">
        <v>1.59</v>
      </c>
      <c r="F36" s="242">
        <v>3.72</v>
      </c>
      <c r="G36" s="242">
        <v>12.03</v>
      </c>
      <c r="H36" s="242">
        <v>14.68</v>
      </c>
      <c r="I36" s="242">
        <v>17.34</v>
      </c>
      <c r="J36" s="242">
        <v>16.96</v>
      </c>
      <c r="K36" s="242">
        <v>16.28</v>
      </c>
      <c r="L36" s="242">
        <v>14.82</v>
      </c>
      <c r="M36" s="242">
        <v>9.36</v>
      </c>
      <c r="N36" s="242">
        <v>1.29</v>
      </c>
      <c r="O36" s="242">
        <v>0.54</v>
      </c>
      <c r="P36" s="245" t="s">
        <v>3345</v>
      </c>
      <c r="Q36" s="245" t="s">
        <v>4563</v>
      </c>
      <c r="R36" s="243" t="s">
        <v>4562</v>
      </c>
      <c r="S36" s="270">
        <f t="shared" si="1"/>
        <v>41341</v>
      </c>
      <c r="T36" s="270"/>
      <c r="U36" s="270">
        <f>IFERROR(VLOOKUP($A36,GeneratingCapabilityList!$E$7:$O$1673,11,FALSE),"ID Not Found")</f>
        <v>41341</v>
      </c>
      <c r="V36" s="271" t="str">
        <f>IFERROR(VLOOKUP($A36,GeneratingCapabilityList!$E$7:$O$1673,6,FALSE),"UNKNOWN")</f>
        <v>SOLAR</v>
      </c>
      <c r="W36" s="271">
        <f>IFERROR(VLOOKUP($A36,GeneratingCapabilityList!$E$7:$O$1673,3,FALSE),"ID Not Found")</f>
        <v>20</v>
      </c>
      <c r="Y36" s="270"/>
    </row>
    <row r="37" spans="1:26">
      <c r="A37" s="241" t="s">
        <v>3011</v>
      </c>
      <c r="B37" s="241" t="s">
        <v>3349</v>
      </c>
      <c r="C37" s="241" t="s">
        <v>3012</v>
      </c>
      <c r="D37" s="249" t="s">
        <v>4573</v>
      </c>
      <c r="E37" s="249" t="s">
        <v>4573</v>
      </c>
      <c r="F37" s="249" t="s">
        <v>4573</v>
      </c>
      <c r="G37" s="249" t="s">
        <v>4573</v>
      </c>
      <c r="H37" s="249" t="s">
        <v>4573</v>
      </c>
      <c r="I37" s="249" t="s">
        <v>4573</v>
      </c>
      <c r="J37" s="249" t="s">
        <v>4573</v>
      </c>
      <c r="K37" s="249" t="s">
        <v>4573</v>
      </c>
      <c r="L37" s="249" t="s">
        <v>4573</v>
      </c>
      <c r="M37" s="249" t="s">
        <v>4573</v>
      </c>
      <c r="N37" s="249" t="s">
        <v>4573</v>
      </c>
      <c r="O37" s="249" t="s">
        <v>4573</v>
      </c>
      <c r="P37" s="241" t="s">
        <v>3345</v>
      </c>
      <c r="Q37" s="241" t="s">
        <v>3385</v>
      </c>
      <c r="R37" s="246" t="s">
        <v>4562</v>
      </c>
      <c r="S37" s="270">
        <f t="shared" si="1"/>
        <v>40760</v>
      </c>
      <c r="T37" s="270"/>
      <c r="U37" s="270">
        <f>IFERROR(VLOOKUP($A37,GeneratingCapabilityList!$E$7:$O$1673,11,FALSE),"ID Not Found")</f>
        <v>40760</v>
      </c>
      <c r="V37" s="271" t="str">
        <f>IFERROR(VLOOKUP($A37,GeneratingCapabilityList!$E$7:$O$1673,6,FALSE),"UNKNOWN")</f>
        <v>SOLAR</v>
      </c>
      <c r="W37" s="271">
        <f>IFERROR(VLOOKUP($A37,GeneratingCapabilityList!$E$7:$O$1673,3,FALSE),"ID Not Found")</f>
        <v>6</v>
      </c>
      <c r="Y37" s="270"/>
    </row>
    <row r="38" spans="1:26">
      <c r="A38" s="241" t="s">
        <v>3014</v>
      </c>
      <c r="B38" s="241" t="s">
        <v>3349</v>
      </c>
      <c r="C38" s="241" t="s">
        <v>3015</v>
      </c>
      <c r="D38" s="249" t="s">
        <v>4573</v>
      </c>
      <c r="E38" s="249" t="s">
        <v>4573</v>
      </c>
      <c r="F38" s="249" t="s">
        <v>4573</v>
      </c>
      <c r="G38" s="249" t="s">
        <v>4573</v>
      </c>
      <c r="H38" s="249" t="s">
        <v>4573</v>
      </c>
      <c r="I38" s="249" t="s">
        <v>4573</v>
      </c>
      <c r="J38" s="249" t="s">
        <v>4573</v>
      </c>
      <c r="K38" s="249" t="s">
        <v>4573</v>
      </c>
      <c r="L38" s="249" t="s">
        <v>4573</v>
      </c>
      <c r="M38" s="249" t="s">
        <v>4573</v>
      </c>
      <c r="N38" s="249" t="s">
        <v>4573</v>
      </c>
      <c r="O38" s="249" t="s">
        <v>4573</v>
      </c>
      <c r="P38" s="241" t="s">
        <v>3345</v>
      </c>
      <c r="Q38" s="241" t="s">
        <v>3385</v>
      </c>
      <c r="R38" s="246" t="s">
        <v>4562</v>
      </c>
      <c r="S38" s="270">
        <f t="shared" si="1"/>
        <v>40760</v>
      </c>
      <c r="T38" s="270"/>
      <c r="U38" s="270">
        <f>IFERROR(VLOOKUP($A38,GeneratingCapabilityList!$E$7:$O$1673,11,FALSE),"ID Not Found")</f>
        <v>40760</v>
      </c>
      <c r="V38" s="271" t="str">
        <f>IFERROR(VLOOKUP($A38,GeneratingCapabilityList!$E$7:$O$1673,6,FALSE),"UNKNOWN")</f>
        <v>SOLAR</v>
      </c>
      <c r="W38" s="271">
        <f>IFERROR(VLOOKUP($A38,GeneratingCapabilityList!$E$7:$O$1673,3,FALSE),"ID Not Found")</f>
        <v>19</v>
      </c>
      <c r="Y38" s="270"/>
    </row>
    <row r="39" spans="1:26">
      <c r="A39" s="241" t="s">
        <v>3016</v>
      </c>
      <c r="B39" s="241" t="s">
        <v>3349</v>
      </c>
      <c r="C39" s="241" t="s">
        <v>3017</v>
      </c>
      <c r="D39" s="249" t="s">
        <v>4573</v>
      </c>
      <c r="E39" s="249" t="s">
        <v>4573</v>
      </c>
      <c r="F39" s="249" t="s">
        <v>4573</v>
      </c>
      <c r="G39" s="249" t="s">
        <v>4573</v>
      </c>
      <c r="H39" s="249" t="s">
        <v>4573</v>
      </c>
      <c r="I39" s="249" t="s">
        <v>4573</v>
      </c>
      <c r="J39" s="249" t="s">
        <v>4573</v>
      </c>
      <c r="K39" s="249" t="s">
        <v>4573</v>
      </c>
      <c r="L39" s="249" t="s">
        <v>4573</v>
      </c>
      <c r="M39" s="249" t="s">
        <v>4573</v>
      </c>
      <c r="N39" s="249" t="s">
        <v>4573</v>
      </c>
      <c r="O39" s="249" t="s">
        <v>4573</v>
      </c>
      <c r="P39" s="241" t="s">
        <v>3345</v>
      </c>
      <c r="Q39" s="241" t="s">
        <v>3385</v>
      </c>
      <c r="R39" s="246" t="s">
        <v>4562</v>
      </c>
      <c r="S39" s="270">
        <f t="shared" si="1"/>
        <v>40760</v>
      </c>
      <c r="T39" s="270"/>
      <c r="U39" s="270">
        <f>IFERROR(VLOOKUP($A39,GeneratingCapabilityList!$E$7:$O$1673,11,FALSE),"ID Not Found")</f>
        <v>40760</v>
      </c>
      <c r="V39" s="271" t="str">
        <f>IFERROR(VLOOKUP($A39,GeneratingCapabilityList!$E$7:$O$1673,6,FALSE),"UNKNOWN")</f>
        <v>SOLAR</v>
      </c>
      <c r="W39" s="271">
        <f>IFERROR(VLOOKUP($A39,GeneratingCapabilityList!$E$7:$O$1673,3,FALSE),"ID Not Found")</f>
        <v>20</v>
      </c>
      <c r="Y39" s="270"/>
    </row>
    <row r="40" spans="1:26">
      <c r="A40" s="254" t="s">
        <v>4395</v>
      </c>
      <c r="B40" s="245" t="s">
        <v>3361</v>
      </c>
      <c r="C40" s="875" t="s">
        <v>4576</v>
      </c>
      <c r="D40" s="281">
        <v>1.1499999999999999</v>
      </c>
      <c r="E40" s="281">
        <v>10.93</v>
      </c>
      <c r="F40" s="281">
        <v>25.5</v>
      </c>
      <c r="G40" s="281">
        <v>82.45</v>
      </c>
      <c r="H40" s="281">
        <v>100.62</v>
      </c>
      <c r="I40" s="281">
        <v>118.82</v>
      </c>
      <c r="J40" s="281">
        <v>116.19</v>
      </c>
      <c r="K40" s="281">
        <v>111.58</v>
      </c>
      <c r="L40" s="281">
        <v>101.54</v>
      </c>
      <c r="M40" s="281">
        <v>64.150000000000006</v>
      </c>
      <c r="N40" s="281">
        <v>8.8699999999999992</v>
      </c>
      <c r="O40" s="281">
        <v>3.71</v>
      </c>
      <c r="P40" s="245" t="s">
        <v>3352</v>
      </c>
      <c r="Q40" s="245" t="s">
        <v>4563</v>
      </c>
      <c r="R40" s="246" t="s">
        <v>4562</v>
      </c>
      <c r="S40" s="270">
        <v>41809</v>
      </c>
      <c r="T40" s="270" t="s">
        <v>5521</v>
      </c>
      <c r="U40" s="270">
        <f>IFERROR(VLOOKUP($A40,GeneratingCapabilityList!$E$7:$O$1673,11,FALSE),"ID Not Found")</f>
        <v>41365</v>
      </c>
      <c r="V40" s="271" t="str">
        <f>IFERROR(VLOOKUP($A40,GeneratingCapabilityList!$E$7:$O$1673,6,FALSE),"UNKNOWN")</f>
        <v>SOLAR</v>
      </c>
      <c r="W40" s="271">
        <f>IFERROR(VLOOKUP($A40,GeneratingCapabilityList!$E$7:$O$1673,3,FALSE),"ID Not Found")</f>
        <v>230</v>
      </c>
      <c r="Y40" s="270"/>
      <c r="Z40" s="271" t="b">
        <f>TRUE</f>
        <v>1</v>
      </c>
    </row>
    <row r="41" spans="1:26">
      <c r="A41" s="241" t="s">
        <v>241</v>
      </c>
      <c r="B41" s="241" t="s">
        <v>3349</v>
      </c>
      <c r="C41" s="241" t="s">
        <v>3364</v>
      </c>
      <c r="D41" s="242">
        <v>33</v>
      </c>
      <c r="E41" s="242">
        <v>33</v>
      </c>
      <c r="F41" s="242">
        <v>33</v>
      </c>
      <c r="G41" s="242">
        <v>33</v>
      </c>
      <c r="H41" s="242">
        <v>33</v>
      </c>
      <c r="I41" s="242">
        <v>33</v>
      </c>
      <c r="J41" s="242">
        <v>33</v>
      </c>
      <c r="K41" s="242">
        <v>33</v>
      </c>
      <c r="L41" s="242">
        <v>33</v>
      </c>
      <c r="M41" s="242">
        <v>33</v>
      </c>
      <c r="N41" s="242">
        <v>33</v>
      </c>
      <c r="O41" s="242">
        <v>33</v>
      </c>
      <c r="P41" s="241" t="s">
        <v>3345</v>
      </c>
      <c r="Q41" s="241" t="s">
        <v>3347</v>
      </c>
      <c r="R41" s="243" t="s">
        <v>4561</v>
      </c>
      <c r="S41" s="270">
        <f t="shared" si="1"/>
        <v>9863</v>
      </c>
      <c r="T41" s="270"/>
      <c r="U41" s="270">
        <f>IFERROR(VLOOKUP($A41,GeneratingCapabilityList!$E$7:$O$1673,11,FALSE),"ID Not Found")</f>
        <v>9863</v>
      </c>
      <c r="V41" s="271" t="str">
        <f>IFERROR(VLOOKUP($A41,GeneratingCapabilityList!$E$7:$O$1673,6,FALSE),"UNKNOWN")</f>
        <v>HYDRO</v>
      </c>
      <c r="W41" s="271">
        <f>IFERROR(VLOOKUP($A41,GeneratingCapabilityList!$E$7:$O$1673,3,FALSE),"ID Not Found")</f>
        <v>33</v>
      </c>
      <c r="Y41" s="270"/>
    </row>
    <row r="42" spans="1:26">
      <c r="A42" s="241" t="s">
        <v>394</v>
      </c>
      <c r="B42" s="241" t="s">
        <v>3349</v>
      </c>
      <c r="C42" s="241" t="s">
        <v>3365</v>
      </c>
      <c r="D42" s="242">
        <v>52.5</v>
      </c>
      <c r="E42" s="242">
        <v>52.5</v>
      </c>
      <c r="F42" s="242">
        <v>52.5</v>
      </c>
      <c r="G42" s="242">
        <v>52.5</v>
      </c>
      <c r="H42" s="242">
        <v>52.5</v>
      </c>
      <c r="I42" s="242">
        <v>52.5</v>
      </c>
      <c r="J42" s="242">
        <v>52.5</v>
      </c>
      <c r="K42" s="242">
        <v>52.5</v>
      </c>
      <c r="L42" s="242">
        <v>52.5</v>
      </c>
      <c r="M42" s="242">
        <v>52.5</v>
      </c>
      <c r="N42" s="242">
        <v>52.5</v>
      </c>
      <c r="O42" s="242">
        <v>52.5</v>
      </c>
      <c r="P42" s="241" t="s">
        <v>3345</v>
      </c>
      <c r="Q42" s="241" t="s">
        <v>3347</v>
      </c>
      <c r="R42" s="243" t="s">
        <v>4561</v>
      </c>
      <c r="S42" s="270">
        <f t="shared" si="1"/>
        <v>21186</v>
      </c>
      <c r="T42" s="270"/>
      <c r="U42" s="270">
        <f>IFERROR(VLOOKUP($A42,GeneratingCapabilityList!$E$7:$O$1673,11,FALSE),"ID Not Found")</f>
        <v>21186</v>
      </c>
      <c r="V42" s="271" t="str">
        <f>IFERROR(VLOOKUP($A42,GeneratingCapabilityList!$E$7:$O$1673,6,FALSE),"UNKNOWN")</f>
        <v>HYDRO</v>
      </c>
      <c r="W42" s="271">
        <f>IFERROR(VLOOKUP($A42,GeneratingCapabilityList!$E$7:$O$1673,3,FALSE),"ID Not Found")</f>
        <v>52.5</v>
      </c>
      <c r="Y42" s="270"/>
    </row>
    <row r="43" spans="1:26">
      <c r="A43" s="241" t="s">
        <v>396</v>
      </c>
      <c r="B43" s="241" t="s">
        <v>3349</v>
      </c>
      <c r="C43" s="241" t="s">
        <v>3366</v>
      </c>
      <c r="D43" s="242">
        <v>52.5</v>
      </c>
      <c r="E43" s="242">
        <v>52.5</v>
      </c>
      <c r="F43" s="242">
        <v>52.5</v>
      </c>
      <c r="G43" s="242">
        <v>52.5</v>
      </c>
      <c r="H43" s="242">
        <v>52.5</v>
      </c>
      <c r="I43" s="242">
        <v>52.5</v>
      </c>
      <c r="J43" s="242">
        <v>52.5</v>
      </c>
      <c r="K43" s="242">
        <v>52.5</v>
      </c>
      <c r="L43" s="242">
        <v>52.5</v>
      </c>
      <c r="M43" s="242">
        <v>52.5</v>
      </c>
      <c r="N43" s="242">
        <v>52.5</v>
      </c>
      <c r="O43" s="242">
        <v>52.5</v>
      </c>
      <c r="P43" s="241" t="s">
        <v>3345</v>
      </c>
      <c r="Q43" s="241" t="s">
        <v>3347</v>
      </c>
      <c r="R43" s="243" t="s">
        <v>4561</v>
      </c>
      <c r="S43" s="270">
        <f t="shared" si="1"/>
        <v>21186</v>
      </c>
      <c r="T43" s="270"/>
      <c r="U43" s="270">
        <f>IFERROR(VLOOKUP($A43,GeneratingCapabilityList!$E$7:$O$1673,11,FALSE),"ID Not Found")</f>
        <v>21186</v>
      </c>
      <c r="V43" s="271" t="str">
        <f>IFERROR(VLOOKUP($A43,GeneratingCapabilityList!$E$7:$O$1673,6,FALSE),"UNKNOWN")</f>
        <v>HYDRO</v>
      </c>
      <c r="W43" s="271">
        <f>IFERROR(VLOOKUP($A43,GeneratingCapabilityList!$E$7:$O$1673,3,FALSE),"ID Not Found")</f>
        <v>54.6</v>
      </c>
      <c r="Y43" s="270"/>
    </row>
    <row r="44" spans="1:26">
      <c r="A44" s="250" t="s">
        <v>4577</v>
      </c>
      <c r="B44" s="250" t="s">
        <v>3375</v>
      </c>
      <c r="C44" s="250" t="s">
        <v>4578</v>
      </c>
      <c r="D44" s="249" t="s">
        <v>4573</v>
      </c>
      <c r="E44" s="249" t="s">
        <v>4573</v>
      </c>
      <c r="F44" s="249" t="s">
        <v>4573</v>
      </c>
      <c r="G44" s="249" t="s">
        <v>4573</v>
      </c>
      <c r="H44" s="249" t="s">
        <v>4573</v>
      </c>
      <c r="I44" s="249" t="s">
        <v>4573</v>
      </c>
      <c r="J44" s="249" t="s">
        <v>4573</v>
      </c>
      <c r="K44" s="249" t="s">
        <v>4573</v>
      </c>
      <c r="L44" s="249" t="s">
        <v>4573</v>
      </c>
      <c r="M44" s="249" t="s">
        <v>4573</v>
      </c>
      <c r="N44" s="249" t="s">
        <v>4573</v>
      </c>
      <c r="O44" s="249" t="s">
        <v>4573</v>
      </c>
      <c r="P44" s="252" t="s">
        <v>3345</v>
      </c>
      <c r="Q44" s="252" t="s">
        <v>3385</v>
      </c>
      <c r="R44" s="253" t="s">
        <v>4561</v>
      </c>
      <c r="S44" s="270">
        <f>Scenarios!$B$55</f>
        <v>36526</v>
      </c>
      <c r="T44" s="270" t="s">
        <v>4798</v>
      </c>
      <c r="U44" s="270" t="str">
        <f>IFERROR(VLOOKUP($A44,GeneratingCapabilityList!$E$7:$O$1673,11,FALSE),"ID Not Found")</f>
        <v>ID Not Found</v>
      </c>
      <c r="V44" s="271" t="str">
        <f>IFERROR(VLOOKUP($A44,GeneratingCapabilityList!$E$7:$O$1673,6,FALSE),"UNKNOWN")</f>
        <v>UNKNOWN</v>
      </c>
      <c r="W44" s="271" t="str">
        <f>IFERROR(VLOOKUP($A44,GeneratingCapabilityList!$E$7:$O$1673,3,FALSE),"ID Not Found")</f>
        <v>ID Not Found</v>
      </c>
      <c r="Y44" s="270"/>
    </row>
    <row r="45" spans="1:26">
      <c r="A45" s="245" t="s">
        <v>3367</v>
      </c>
      <c r="B45" s="245" t="s">
        <v>3324</v>
      </c>
      <c r="C45" s="245" t="s">
        <v>3367</v>
      </c>
      <c r="D45" s="249">
        <v>127</v>
      </c>
      <c r="E45" s="249">
        <v>127</v>
      </c>
      <c r="F45" s="249">
        <v>127</v>
      </c>
      <c r="G45" s="249">
        <v>127</v>
      </c>
      <c r="H45" s="249">
        <v>127</v>
      </c>
      <c r="I45" s="249">
        <v>127</v>
      </c>
      <c r="J45" s="249">
        <v>127</v>
      </c>
      <c r="K45" s="249">
        <v>127</v>
      </c>
      <c r="L45" s="249">
        <v>127</v>
      </c>
      <c r="M45" s="249">
        <v>127</v>
      </c>
      <c r="N45" s="249">
        <v>127</v>
      </c>
      <c r="O45" s="249">
        <v>127</v>
      </c>
      <c r="P45" s="245" t="s">
        <v>3345</v>
      </c>
      <c r="Q45" s="245" t="s">
        <v>3347</v>
      </c>
      <c r="R45" s="246" t="s">
        <v>4562</v>
      </c>
      <c r="S45" s="270">
        <f>Scenarios!$B$55</f>
        <v>36526</v>
      </c>
      <c r="T45" s="270" t="s">
        <v>4798</v>
      </c>
      <c r="U45" s="270" t="str">
        <f>IFERROR(VLOOKUP($A45,GeneratingCapabilityList!$E$7:$O$1673,11,FALSE),"ID Not Found")</f>
        <v>UNK</v>
      </c>
      <c r="V45" s="271" t="str">
        <f>IFERROR(VLOOKUP($A45,GeneratingCapabilityList!$E$7:$O$1673,6,FALSE),"UNKNOWN")</f>
        <v>PUMP</v>
      </c>
      <c r="W45" s="271">
        <f>IFERROR(VLOOKUP($A45,GeneratingCapabilityList!$E$7:$O$1673,3,FALSE),"ID Not Found")</f>
        <v>127</v>
      </c>
      <c r="Y45" s="270"/>
    </row>
    <row r="46" spans="1:26">
      <c r="A46" s="241" t="s">
        <v>2160</v>
      </c>
      <c r="B46" s="241" t="s">
        <v>3327</v>
      </c>
      <c r="C46" s="241" t="s">
        <v>3368</v>
      </c>
      <c r="D46" s="242">
        <v>0</v>
      </c>
      <c r="E46" s="242">
        <v>0</v>
      </c>
      <c r="F46" s="242">
        <v>0</v>
      </c>
      <c r="G46" s="242">
        <v>0</v>
      </c>
      <c r="H46" s="242">
        <v>0</v>
      </c>
      <c r="I46" s="242">
        <v>0</v>
      </c>
      <c r="J46" s="242">
        <v>0</v>
      </c>
      <c r="K46" s="242">
        <v>0</v>
      </c>
      <c r="L46" s="242">
        <v>0</v>
      </c>
      <c r="M46" s="242">
        <v>0</v>
      </c>
      <c r="N46" s="242">
        <v>0</v>
      </c>
      <c r="O46" s="242">
        <v>0</v>
      </c>
      <c r="P46" s="241" t="s">
        <v>3352</v>
      </c>
      <c r="Q46" s="241" t="s">
        <v>3347</v>
      </c>
      <c r="R46" s="243" t="s">
        <v>4562</v>
      </c>
      <c r="S46" s="270">
        <f t="shared" ref="S46:S77" si="2">U46</f>
        <v>34335</v>
      </c>
      <c r="T46" s="270"/>
      <c r="U46" s="270">
        <f>IFERROR(VLOOKUP($A46,GeneratingCapabilityList!$E$7:$O$1673,11,FALSE),"ID Not Found")</f>
        <v>34335</v>
      </c>
      <c r="V46" s="271" t="str">
        <f>IFERROR(VLOOKUP($A46,GeneratingCapabilityList!$E$7:$O$1673,6,FALSE),"UNKNOWN")</f>
        <v>VARIOUS</v>
      </c>
      <c r="W46" s="271">
        <f>IFERROR(VLOOKUP($A46,GeneratingCapabilityList!$E$7:$O$1673,3,FALSE),"ID Not Found")</f>
        <v>0.2</v>
      </c>
      <c r="Y46" s="270"/>
    </row>
    <row r="47" spans="1:26">
      <c r="A47" s="241" t="s">
        <v>2853</v>
      </c>
      <c r="B47" s="241" t="s">
        <v>3327</v>
      </c>
      <c r="C47" s="241" t="s">
        <v>2854</v>
      </c>
      <c r="D47" s="242">
        <v>47</v>
      </c>
      <c r="E47" s="242">
        <v>47</v>
      </c>
      <c r="F47" s="242">
        <v>47</v>
      </c>
      <c r="G47" s="242">
        <v>47</v>
      </c>
      <c r="H47" s="242">
        <v>47</v>
      </c>
      <c r="I47" s="242">
        <v>47</v>
      </c>
      <c r="J47" s="242">
        <v>47</v>
      </c>
      <c r="K47" s="242">
        <v>47</v>
      </c>
      <c r="L47" s="242">
        <v>47</v>
      </c>
      <c r="M47" s="242">
        <v>47</v>
      </c>
      <c r="N47" s="242">
        <v>47</v>
      </c>
      <c r="O47" s="242">
        <v>47</v>
      </c>
      <c r="P47" s="241" t="s">
        <v>3352</v>
      </c>
      <c r="Q47" s="241" t="s">
        <v>3347</v>
      </c>
      <c r="R47" s="243" t="s">
        <v>4562</v>
      </c>
      <c r="S47" s="270">
        <f t="shared" si="2"/>
        <v>39345</v>
      </c>
      <c r="T47" s="270"/>
      <c r="U47" s="270">
        <f>IFERROR(VLOOKUP($A47,GeneratingCapabilityList!$E$7:$O$1673,11,FALSE),"ID Not Found")</f>
        <v>39345</v>
      </c>
      <c r="V47" s="271" t="str">
        <f>IFERROR(VLOOKUP($A47,GeneratingCapabilityList!$E$7:$O$1673,6,FALSE),"UNKNOWN")</f>
        <v>PEAKER</v>
      </c>
      <c r="W47" s="271">
        <f>IFERROR(VLOOKUP($A47,GeneratingCapabilityList!$E$7:$O$1673,3,FALSE),"ID Not Found")</f>
        <v>47</v>
      </c>
      <c r="Y47" s="270"/>
    </row>
    <row r="48" spans="1:26">
      <c r="A48" s="241" t="s">
        <v>1806</v>
      </c>
      <c r="B48" s="241" t="s">
        <v>3361</v>
      </c>
      <c r="C48" s="241" t="s">
        <v>3369</v>
      </c>
      <c r="D48" s="242">
        <v>95.92</v>
      </c>
      <c r="E48" s="242">
        <v>87.18</v>
      </c>
      <c r="F48" s="242">
        <v>66.67</v>
      </c>
      <c r="G48" s="242">
        <v>80.41</v>
      </c>
      <c r="H48" s="242">
        <v>92.58</v>
      </c>
      <c r="I48" s="242">
        <v>94.87</v>
      </c>
      <c r="J48" s="242">
        <v>97.2</v>
      </c>
      <c r="K48" s="242">
        <v>103.12</v>
      </c>
      <c r="L48" s="242">
        <v>80.430000000000007</v>
      </c>
      <c r="M48" s="242">
        <v>104.7</v>
      </c>
      <c r="N48" s="242">
        <v>87.18</v>
      </c>
      <c r="O48" s="242">
        <v>95.72</v>
      </c>
      <c r="P48" s="241" t="s">
        <v>3345</v>
      </c>
      <c r="Q48" s="241" t="s">
        <v>3347</v>
      </c>
      <c r="R48" s="243" t="s">
        <v>4562</v>
      </c>
      <c r="S48" s="270">
        <f t="shared" si="2"/>
        <v>32581</v>
      </c>
      <c r="T48" s="270"/>
      <c r="U48" s="270">
        <f>IFERROR(VLOOKUP($A48,GeneratingCapabilityList!$E$7:$O$1673,11,FALSE),"ID Not Found")</f>
        <v>32581</v>
      </c>
      <c r="V48" s="271" t="str">
        <f>IFERROR(VLOOKUP($A48,GeneratingCapabilityList!$E$7:$O$1673,6,FALSE),"UNKNOWN")</f>
        <v>COGENERATION</v>
      </c>
      <c r="W48" s="271">
        <f>IFERROR(VLOOKUP($A48,GeneratingCapabilityList!$E$7:$O$1673,3,FALSE),"ID Not Found")</f>
        <v>135</v>
      </c>
      <c r="Y48" s="270"/>
    </row>
    <row r="49" spans="1:25">
      <c r="A49" s="241" t="s">
        <v>2074</v>
      </c>
      <c r="B49" s="241" t="s">
        <v>3370</v>
      </c>
      <c r="C49" s="241" t="s">
        <v>2075</v>
      </c>
      <c r="D49" s="242">
        <v>41.84</v>
      </c>
      <c r="E49" s="242">
        <v>41.03</v>
      </c>
      <c r="F49" s="242">
        <v>42.89</v>
      </c>
      <c r="G49" s="242">
        <v>41.9</v>
      </c>
      <c r="H49" s="242">
        <v>32.64</v>
      </c>
      <c r="I49" s="242">
        <v>41</v>
      </c>
      <c r="J49" s="242">
        <v>39.64</v>
      </c>
      <c r="K49" s="242">
        <v>42.27</v>
      </c>
      <c r="L49" s="242">
        <v>44.1</v>
      </c>
      <c r="M49" s="242">
        <v>35.39</v>
      </c>
      <c r="N49" s="242">
        <v>45.07</v>
      </c>
      <c r="O49" s="242">
        <v>45.39</v>
      </c>
      <c r="P49" s="241" t="s">
        <v>3345</v>
      </c>
      <c r="Q49" s="241" t="s">
        <v>3347</v>
      </c>
      <c r="R49" s="243" t="s">
        <v>4562</v>
      </c>
      <c r="S49" s="270">
        <f t="shared" si="2"/>
        <v>33329</v>
      </c>
      <c r="T49" s="270"/>
      <c r="U49" s="270">
        <f>IFERROR(VLOOKUP($A49,GeneratingCapabilityList!$E$7:$O$1673,11,FALSE),"ID Not Found")</f>
        <v>33329</v>
      </c>
      <c r="V49" s="271" t="str">
        <f>IFERROR(VLOOKUP($A49,GeneratingCapabilityList!$E$7:$O$1673,6,FALSE),"UNKNOWN")</f>
        <v>COGENERATION</v>
      </c>
      <c r="W49" s="271">
        <f>IFERROR(VLOOKUP($A49,GeneratingCapabilityList!$E$7:$O$1673,3,FALSE),"ID Not Found")</f>
        <v>55.3</v>
      </c>
      <c r="Y49" s="270"/>
    </row>
    <row r="50" spans="1:25">
      <c r="A50" s="241" t="s">
        <v>3206</v>
      </c>
      <c r="B50" s="241" t="s">
        <v>3346</v>
      </c>
      <c r="C50" s="241" t="s">
        <v>3371</v>
      </c>
      <c r="D50" s="242">
        <v>13</v>
      </c>
      <c r="E50" s="242">
        <v>13</v>
      </c>
      <c r="F50" s="242">
        <v>13</v>
      </c>
      <c r="G50" s="242">
        <v>13</v>
      </c>
      <c r="H50" s="242">
        <v>13</v>
      </c>
      <c r="I50" s="242">
        <v>13</v>
      </c>
      <c r="J50" s="242">
        <v>13</v>
      </c>
      <c r="K50" s="242">
        <v>13</v>
      </c>
      <c r="L50" s="242">
        <v>13</v>
      </c>
      <c r="M50" s="242">
        <v>13</v>
      </c>
      <c r="N50" s="242">
        <v>13</v>
      </c>
      <c r="O50" s="242">
        <v>13</v>
      </c>
      <c r="P50" s="241" t="s">
        <v>3345</v>
      </c>
      <c r="Q50" s="241" t="s">
        <v>3347</v>
      </c>
      <c r="R50" s="243" t="s">
        <v>4561</v>
      </c>
      <c r="S50" s="270">
        <f t="shared" si="2"/>
        <v>32388</v>
      </c>
      <c r="T50" s="270"/>
      <c r="U50" s="270">
        <f>IFERROR(VLOOKUP($A50,GeneratingCapabilityList!$E$7:$O$1673,11,FALSE),"ID Not Found")</f>
        <v>32388</v>
      </c>
      <c r="V50" s="271" t="str">
        <f>IFERROR(VLOOKUP($A50,GeneratingCapabilityList!$E$7:$O$1673,6,FALSE),"UNKNOWN")</f>
        <v>GEOTHERMAL</v>
      </c>
      <c r="W50" s="271">
        <f>IFERROR(VLOOKUP($A50,GeneratingCapabilityList!$E$7:$O$1673,3,FALSE),"ID Not Found")</f>
        <v>22</v>
      </c>
      <c r="Y50" s="270"/>
    </row>
    <row r="51" spans="1:25">
      <c r="A51" s="241" t="s">
        <v>387</v>
      </c>
      <c r="B51" s="241" t="s">
        <v>3373</v>
      </c>
      <c r="C51" s="241" t="s">
        <v>3372</v>
      </c>
      <c r="D51" s="242">
        <v>0.63</v>
      </c>
      <c r="E51" s="242">
        <v>0.42</v>
      </c>
      <c r="F51" s="242">
        <v>0.43</v>
      </c>
      <c r="G51" s="242">
        <v>5.47</v>
      </c>
      <c r="H51" s="242">
        <v>5.93</v>
      </c>
      <c r="I51" s="242">
        <v>7.05</v>
      </c>
      <c r="J51" s="242">
        <v>8.35</v>
      </c>
      <c r="K51" s="242">
        <v>8.36</v>
      </c>
      <c r="L51" s="242">
        <v>6.46</v>
      </c>
      <c r="M51" s="242">
        <v>2.16</v>
      </c>
      <c r="N51" s="242">
        <v>2.04</v>
      </c>
      <c r="O51" s="242">
        <v>3.91</v>
      </c>
      <c r="P51" s="241" t="s">
        <v>3345</v>
      </c>
      <c r="Q51" s="241" t="s">
        <v>3347</v>
      </c>
      <c r="R51" s="243" t="s">
        <v>4561</v>
      </c>
      <c r="S51" s="270">
        <f t="shared" si="2"/>
        <v>20821</v>
      </c>
      <c r="T51" s="270"/>
      <c r="U51" s="270">
        <f>IFERROR(VLOOKUP($A51,GeneratingCapabilityList!$E$7:$O$1673,11,FALSE),"ID Not Found")</f>
        <v>20821</v>
      </c>
      <c r="V51" s="271" t="str">
        <f>IFERROR(VLOOKUP($A51,GeneratingCapabilityList!$E$7:$O$1673,6,FALSE),"UNKNOWN")</f>
        <v>HYDRO</v>
      </c>
      <c r="W51" s="271">
        <f>IFERROR(VLOOKUP($A51,GeneratingCapabilityList!$E$7:$O$1673,3,FALSE),"ID Not Found")</f>
        <v>11.5</v>
      </c>
      <c r="Y51" s="270"/>
    </row>
    <row r="52" spans="1:25">
      <c r="A52" s="241" t="s">
        <v>2189</v>
      </c>
      <c r="B52" s="241" t="s">
        <v>3370</v>
      </c>
      <c r="C52" s="241" t="s">
        <v>2190</v>
      </c>
      <c r="D52" s="242">
        <v>32.369999999999997</v>
      </c>
      <c r="E52" s="242">
        <v>30.93</v>
      </c>
      <c r="F52" s="242">
        <v>43.31</v>
      </c>
      <c r="G52" s="242">
        <v>41.53</v>
      </c>
      <c r="H52" s="242">
        <v>39.92</v>
      </c>
      <c r="I52" s="242">
        <v>45.42</v>
      </c>
      <c r="J52" s="242">
        <v>45.6</v>
      </c>
      <c r="K52" s="242">
        <v>45.24</v>
      </c>
      <c r="L52" s="242">
        <v>45.27</v>
      </c>
      <c r="M52" s="242">
        <v>42.26</v>
      </c>
      <c r="N52" s="242">
        <v>29.99</v>
      </c>
      <c r="O52" s="242">
        <v>19.32</v>
      </c>
      <c r="P52" s="241" t="s">
        <v>3345</v>
      </c>
      <c r="Q52" s="241" t="s">
        <v>3347</v>
      </c>
      <c r="R52" s="243" t="s">
        <v>4562</v>
      </c>
      <c r="S52" s="270">
        <f t="shared" si="2"/>
        <v>34792</v>
      </c>
      <c r="T52" s="270"/>
      <c r="U52" s="270">
        <f>IFERROR(VLOOKUP($A52,GeneratingCapabilityList!$E$7:$O$1673,11,FALSE),"ID Not Found")</f>
        <v>34792</v>
      </c>
      <c r="V52" s="271" t="str">
        <f>IFERROR(VLOOKUP($A52,GeneratingCapabilityList!$E$7:$O$1673,6,FALSE),"UNKNOWN")</f>
        <v>COGENERATION</v>
      </c>
      <c r="W52" s="271">
        <f>IFERROR(VLOOKUP($A52,GeneratingCapabilityList!$E$7:$O$1673,3,FALSE),"ID Not Found")</f>
        <v>55.3</v>
      </c>
      <c r="Y52" s="270"/>
    </row>
    <row r="53" spans="1:25">
      <c r="A53" s="241" t="s">
        <v>607</v>
      </c>
      <c r="B53" s="241" t="s">
        <v>3375</v>
      </c>
      <c r="C53" s="241" t="s">
        <v>3374</v>
      </c>
      <c r="D53" s="242">
        <v>115</v>
      </c>
      <c r="E53" s="242">
        <v>115</v>
      </c>
      <c r="F53" s="242">
        <v>115</v>
      </c>
      <c r="G53" s="242">
        <v>115</v>
      </c>
      <c r="H53" s="242">
        <v>115</v>
      </c>
      <c r="I53" s="242">
        <v>115</v>
      </c>
      <c r="J53" s="242">
        <v>115</v>
      </c>
      <c r="K53" s="242">
        <v>115</v>
      </c>
      <c r="L53" s="242">
        <v>115</v>
      </c>
      <c r="M53" s="242">
        <v>115</v>
      </c>
      <c r="N53" s="242">
        <v>115</v>
      </c>
      <c r="O53" s="242">
        <v>115</v>
      </c>
      <c r="P53" s="241" t="s">
        <v>3345</v>
      </c>
      <c r="Q53" s="241" t="s">
        <v>3347</v>
      </c>
      <c r="R53" s="243" t="s">
        <v>4561</v>
      </c>
      <c r="S53" s="270">
        <f t="shared" si="2"/>
        <v>25204</v>
      </c>
      <c r="T53" s="270"/>
      <c r="U53" s="270">
        <f>IFERROR(VLOOKUP($A53,GeneratingCapabilityList!$E$7:$O$1673,11,FALSE),"ID Not Found")</f>
        <v>25204</v>
      </c>
      <c r="V53" s="271" t="str">
        <f>IFERROR(VLOOKUP($A53,GeneratingCapabilityList!$E$7:$O$1673,6,FALSE),"UNKNOWN")</f>
        <v>HYDRO</v>
      </c>
      <c r="W53" s="271">
        <f>IFERROR(VLOOKUP($A53,GeneratingCapabilityList!$E$7:$O$1673,3,FALSE),"ID Not Found")</f>
        <v>119</v>
      </c>
      <c r="Y53" s="270"/>
    </row>
    <row r="54" spans="1:25">
      <c r="A54" s="241" t="s">
        <v>115</v>
      </c>
      <c r="B54" s="241" t="s">
        <v>3328</v>
      </c>
      <c r="C54" s="241" t="s">
        <v>116</v>
      </c>
      <c r="D54" s="242">
        <v>773.6</v>
      </c>
      <c r="E54" s="242">
        <v>773.6</v>
      </c>
      <c r="F54" s="242">
        <v>773.6</v>
      </c>
      <c r="G54" s="242">
        <v>773.6</v>
      </c>
      <c r="H54" s="242">
        <v>800.6</v>
      </c>
      <c r="I54" s="242">
        <v>800.6</v>
      </c>
      <c r="J54" s="242">
        <v>800.6</v>
      </c>
      <c r="K54" s="242">
        <v>800.6</v>
      </c>
      <c r="L54" s="242">
        <v>773.6</v>
      </c>
      <c r="M54" s="242">
        <v>773.6</v>
      </c>
      <c r="N54" s="242">
        <v>773.6</v>
      </c>
      <c r="O54" s="242">
        <v>773.6</v>
      </c>
      <c r="P54" s="241" t="s">
        <v>3352</v>
      </c>
      <c r="Q54" s="241" t="s">
        <v>3347</v>
      </c>
      <c r="R54" s="243" t="s">
        <v>4561</v>
      </c>
      <c r="S54" s="270">
        <f t="shared" si="2"/>
        <v>4750</v>
      </c>
      <c r="T54" s="270"/>
      <c r="U54" s="270">
        <f>IFERROR(VLOOKUP($A54,GeneratingCapabilityList!$E$7:$O$1673,11,FALSE),"ID Not Found")</f>
        <v>4750</v>
      </c>
      <c r="V54" s="271" t="str">
        <f>IFERROR(VLOOKUP($A54,GeneratingCapabilityList!$E$7:$O$1673,6,FALSE),"UNKNOWN")</f>
        <v>HYDRO</v>
      </c>
      <c r="W54" s="271">
        <f>IFERROR(VLOOKUP($A54,GeneratingCapabilityList!$E$7:$O$1673,3,FALSE),"ID Not Found")</f>
        <v>820</v>
      </c>
      <c r="Y54" s="270"/>
    </row>
    <row r="55" spans="1:25">
      <c r="A55" s="241" t="s">
        <v>1865</v>
      </c>
      <c r="B55" s="241" t="s">
        <v>3375</v>
      </c>
      <c r="C55" s="241" t="s">
        <v>1866</v>
      </c>
      <c r="D55" s="242">
        <v>20.45</v>
      </c>
      <c r="E55" s="242">
        <v>22.88</v>
      </c>
      <c r="F55" s="242">
        <v>19.25</v>
      </c>
      <c r="G55" s="242">
        <v>20.46</v>
      </c>
      <c r="H55" s="242">
        <v>22.77</v>
      </c>
      <c r="I55" s="242">
        <v>23.39</v>
      </c>
      <c r="J55" s="242">
        <v>23.96</v>
      </c>
      <c r="K55" s="242">
        <v>24.7</v>
      </c>
      <c r="L55" s="242">
        <v>24.45</v>
      </c>
      <c r="M55" s="242">
        <v>19.57</v>
      </c>
      <c r="N55" s="242">
        <v>24.11</v>
      </c>
      <c r="O55" s="242">
        <v>23.64</v>
      </c>
      <c r="P55" s="241" t="s">
        <v>3345</v>
      </c>
      <c r="Q55" s="241" t="s">
        <v>3347</v>
      </c>
      <c r="R55" s="243" t="s">
        <v>4562</v>
      </c>
      <c r="S55" s="270">
        <f t="shared" si="2"/>
        <v>32751</v>
      </c>
      <c r="T55" s="270"/>
      <c r="U55" s="270">
        <f>IFERROR(VLOOKUP($A55,GeneratingCapabilityList!$E$7:$O$1673,11,FALSE),"ID Not Found")</f>
        <v>32751</v>
      </c>
      <c r="V55" s="271" t="str">
        <f>IFERROR(VLOOKUP($A55,GeneratingCapabilityList!$E$7:$O$1673,6,FALSE),"UNKNOWN")</f>
        <v>BIOMASS</v>
      </c>
      <c r="W55" s="271">
        <f>IFERROR(VLOOKUP($A55,GeneratingCapabilityList!$E$7:$O$1673,3,FALSE),"ID Not Found")</f>
        <v>28.8</v>
      </c>
      <c r="Y55" s="270"/>
    </row>
    <row r="56" spans="1:25">
      <c r="A56" s="241" t="s">
        <v>78</v>
      </c>
      <c r="B56" s="241" t="s">
        <v>3361</v>
      </c>
      <c r="C56" s="241" t="s">
        <v>3376</v>
      </c>
      <c r="D56" s="242">
        <v>5.23</v>
      </c>
      <c r="E56" s="242">
        <v>4.29</v>
      </c>
      <c r="F56" s="242">
        <v>6.01</v>
      </c>
      <c r="G56" s="242">
        <v>4.67</v>
      </c>
      <c r="H56" s="242">
        <v>6.98</v>
      </c>
      <c r="I56" s="242">
        <v>10.58</v>
      </c>
      <c r="J56" s="242">
        <v>11.73</v>
      </c>
      <c r="K56" s="242">
        <v>11.05</v>
      </c>
      <c r="L56" s="242">
        <v>6.75</v>
      </c>
      <c r="M56" s="242">
        <v>7.1</v>
      </c>
      <c r="N56" s="242">
        <v>5.89</v>
      </c>
      <c r="O56" s="242">
        <v>6.29</v>
      </c>
      <c r="P56" s="241" t="s">
        <v>3352</v>
      </c>
      <c r="Q56" s="241" t="s">
        <v>3347</v>
      </c>
      <c r="R56" s="243" t="s">
        <v>4562</v>
      </c>
      <c r="S56" s="270">
        <f t="shared" si="2"/>
        <v>2923</v>
      </c>
      <c r="T56" s="270"/>
      <c r="U56" s="270">
        <f>IFERROR(VLOOKUP($A56,GeneratingCapabilityList!$E$7:$O$1673,11,FALSE),"ID Not Found")</f>
        <v>2923</v>
      </c>
      <c r="V56" s="271" t="str">
        <f>IFERROR(VLOOKUP($A56,GeneratingCapabilityList!$E$7:$O$1673,6,FALSE),"UNKNOWN")</f>
        <v>HYDRO</v>
      </c>
      <c r="W56" s="271">
        <f>IFERROR(VLOOKUP($A56,GeneratingCapabilityList!$E$7:$O$1673,3,FALSE),"ID Not Found")</f>
        <v>13.4</v>
      </c>
      <c r="Y56" s="270"/>
    </row>
    <row r="57" spans="1:25">
      <c r="A57" s="241" t="s">
        <v>58</v>
      </c>
      <c r="B57" s="241" t="s">
        <v>3361</v>
      </c>
      <c r="C57" s="241" t="s">
        <v>3377</v>
      </c>
      <c r="D57" s="242">
        <v>3.25</v>
      </c>
      <c r="E57" s="242">
        <v>7.4</v>
      </c>
      <c r="F57" s="242">
        <v>9.1999999999999993</v>
      </c>
      <c r="G57" s="242">
        <v>9.5</v>
      </c>
      <c r="H57" s="242">
        <v>12.68</v>
      </c>
      <c r="I57" s="242">
        <v>14.95</v>
      </c>
      <c r="J57" s="242">
        <v>15.12</v>
      </c>
      <c r="K57" s="242">
        <v>13.79</v>
      </c>
      <c r="L57" s="242">
        <v>11.03</v>
      </c>
      <c r="M57" s="242">
        <v>9.73</v>
      </c>
      <c r="N57" s="242">
        <v>9.5299999999999994</v>
      </c>
      <c r="O57" s="242">
        <v>5.5</v>
      </c>
      <c r="P57" s="241" t="s">
        <v>3352</v>
      </c>
      <c r="Q57" s="241" t="s">
        <v>3347</v>
      </c>
      <c r="R57" s="243" t="s">
        <v>4562</v>
      </c>
      <c r="S57" s="270">
        <f t="shared" si="2"/>
        <v>1828</v>
      </c>
      <c r="T57" s="270"/>
      <c r="U57" s="270">
        <f>IFERROR(VLOOKUP($A57,GeneratingCapabilityList!$E$7:$O$1673,11,FALSE),"ID Not Found")</f>
        <v>1828</v>
      </c>
      <c r="V57" s="271" t="str">
        <f>IFERROR(VLOOKUP($A57,GeneratingCapabilityList!$E$7:$O$1673,6,FALSE),"UNKNOWN")</f>
        <v>HYDRO</v>
      </c>
      <c r="W57" s="271">
        <f>IFERROR(VLOOKUP($A57,GeneratingCapabilityList!$E$7:$O$1673,3,FALSE),"ID Not Found")</f>
        <v>15.8</v>
      </c>
      <c r="Y57" s="270"/>
    </row>
    <row r="58" spans="1:25">
      <c r="A58" s="241" t="s">
        <v>514</v>
      </c>
      <c r="B58" s="241" t="s">
        <v>3361</v>
      </c>
      <c r="C58" s="241" t="s">
        <v>3378</v>
      </c>
      <c r="D58" s="242">
        <v>85</v>
      </c>
      <c r="E58" s="242">
        <v>85</v>
      </c>
      <c r="F58" s="242">
        <v>85</v>
      </c>
      <c r="G58" s="242">
        <v>85</v>
      </c>
      <c r="H58" s="242">
        <v>85</v>
      </c>
      <c r="I58" s="242">
        <v>85</v>
      </c>
      <c r="J58" s="242">
        <v>85</v>
      </c>
      <c r="K58" s="242">
        <v>85</v>
      </c>
      <c r="L58" s="242">
        <v>85</v>
      </c>
      <c r="M58" s="242">
        <v>85</v>
      </c>
      <c r="N58" s="242">
        <v>85</v>
      </c>
      <c r="O58" s="242">
        <v>85</v>
      </c>
      <c r="P58" s="241" t="s">
        <v>3345</v>
      </c>
      <c r="Q58" s="241" t="s">
        <v>3347</v>
      </c>
      <c r="R58" s="243" t="s">
        <v>4561</v>
      </c>
      <c r="S58" s="270">
        <f t="shared" si="2"/>
        <v>24108</v>
      </c>
      <c r="T58" s="270"/>
      <c r="U58" s="270">
        <f>IFERROR(VLOOKUP($A58,GeneratingCapabilityList!$E$7:$O$1673,11,FALSE),"ID Not Found")</f>
        <v>24108</v>
      </c>
      <c r="V58" s="271" t="str">
        <f>IFERROR(VLOOKUP($A58,GeneratingCapabilityList!$E$7:$O$1673,6,FALSE),"UNKNOWN")</f>
        <v>HYDRO</v>
      </c>
      <c r="W58" s="271">
        <f>IFERROR(VLOOKUP($A58,GeneratingCapabilityList!$E$7:$O$1673,3,FALSE),"ID Not Found")</f>
        <v>85</v>
      </c>
      <c r="Y58" s="270"/>
    </row>
    <row r="59" spans="1:25">
      <c r="A59" s="241" t="s">
        <v>498</v>
      </c>
      <c r="B59" s="241" t="s">
        <v>3361</v>
      </c>
      <c r="C59" s="241" t="s">
        <v>3379</v>
      </c>
      <c r="D59" s="242">
        <v>84.1</v>
      </c>
      <c r="E59" s="242">
        <v>84.1</v>
      </c>
      <c r="F59" s="242">
        <v>84.1</v>
      </c>
      <c r="G59" s="242">
        <v>84.1</v>
      </c>
      <c r="H59" s="242">
        <v>84.1</v>
      </c>
      <c r="I59" s="242">
        <v>84.1</v>
      </c>
      <c r="J59" s="242">
        <v>84.1</v>
      </c>
      <c r="K59" s="242">
        <v>84.1</v>
      </c>
      <c r="L59" s="242">
        <v>84.1</v>
      </c>
      <c r="M59" s="242">
        <v>84.1</v>
      </c>
      <c r="N59" s="242">
        <v>84.1</v>
      </c>
      <c r="O59" s="242">
        <v>84.1</v>
      </c>
      <c r="P59" s="241" t="s">
        <v>3345</v>
      </c>
      <c r="Q59" s="241" t="s">
        <v>3347</v>
      </c>
      <c r="R59" s="243" t="s">
        <v>4561</v>
      </c>
      <c r="S59" s="270">
        <f t="shared" si="2"/>
        <v>23743</v>
      </c>
      <c r="T59" s="270"/>
      <c r="U59" s="270">
        <f>IFERROR(VLOOKUP($A59,GeneratingCapabilityList!$E$7:$O$1673,11,FALSE),"ID Not Found")</f>
        <v>23743</v>
      </c>
      <c r="V59" s="271" t="str">
        <f>IFERROR(VLOOKUP($A59,GeneratingCapabilityList!$E$7:$O$1673,6,FALSE),"UNKNOWN")</f>
        <v>HYDRO</v>
      </c>
      <c r="W59" s="271">
        <f>IFERROR(VLOOKUP($A59,GeneratingCapabilityList!$E$7:$O$1673,3,FALSE),"ID Not Found")</f>
        <v>84.1</v>
      </c>
      <c r="Y59" s="270"/>
    </row>
    <row r="60" spans="1:25">
      <c r="A60" s="241" t="s">
        <v>3822</v>
      </c>
      <c r="B60" s="241" t="s">
        <v>3327</v>
      </c>
      <c r="C60" s="241" t="s">
        <v>3823</v>
      </c>
      <c r="D60" s="242">
        <v>1.92</v>
      </c>
      <c r="E60" s="242">
        <v>4.43</v>
      </c>
      <c r="F60" s="242">
        <v>9.44</v>
      </c>
      <c r="G60" s="242">
        <v>10.61</v>
      </c>
      <c r="H60" s="242">
        <v>15.17</v>
      </c>
      <c r="I60" s="242">
        <v>15.84</v>
      </c>
      <c r="J60" s="242">
        <v>10.220000000000001</v>
      </c>
      <c r="K60" s="242">
        <v>8.5500000000000007</v>
      </c>
      <c r="L60" s="242">
        <v>3.11</v>
      </c>
      <c r="M60" s="242">
        <v>3.79</v>
      </c>
      <c r="N60" s="242">
        <v>3.5</v>
      </c>
      <c r="O60" s="242">
        <v>2.76</v>
      </c>
      <c r="P60" s="241" t="s">
        <v>3352</v>
      </c>
      <c r="Q60" s="241" t="s">
        <v>3347</v>
      </c>
      <c r="R60" s="243" t="s">
        <v>4562</v>
      </c>
      <c r="S60" s="270">
        <f t="shared" si="2"/>
        <v>40962</v>
      </c>
      <c r="T60" s="270"/>
      <c r="U60" s="270">
        <f>IFERROR(VLOOKUP($A60,GeneratingCapabilityList!$E$7:$O$1673,11,FALSE),"ID Not Found")</f>
        <v>40962</v>
      </c>
      <c r="V60" s="271" t="str">
        <f>IFERROR(VLOOKUP($A60,GeneratingCapabilityList!$E$7:$O$1673,6,FALSE),"UNKNOWN")</f>
        <v>WIND</v>
      </c>
      <c r="W60" s="271">
        <f>IFERROR(VLOOKUP($A60,GeneratingCapabilityList!$E$7:$O$1673,3,FALSE),"ID Not Found")</f>
        <v>49</v>
      </c>
      <c r="Y60" s="270"/>
    </row>
    <row r="61" spans="1:25">
      <c r="A61" s="244" t="s">
        <v>1626</v>
      </c>
      <c r="B61" s="245" t="s">
        <v>3361</v>
      </c>
      <c r="C61" s="245" t="s">
        <v>3380</v>
      </c>
      <c r="D61" s="281">
        <v>2.4709569892473122</v>
      </c>
      <c r="E61" s="281">
        <v>2.506428297362111</v>
      </c>
      <c r="F61" s="281">
        <v>2.2030256410256412</v>
      </c>
      <c r="G61" s="281">
        <v>2.3851782616487451</v>
      </c>
      <c r="H61" s="281">
        <v>2.533972501792114</v>
      </c>
      <c r="I61" s="281">
        <v>3.1129967185185179</v>
      </c>
      <c r="J61" s="281">
        <v>2.3777167741935483</v>
      </c>
      <c r="K61" s="281">
        <v>2.3088019354838716</v>
      </c>
      <c r="L61" s="281">
        <v>1.5845043333333335</v>
      </c>
      <c r="M61" s="281">
        <v>0.63978213221823987</v>
      </c>
      <c r="N61" s="281">
        <v>1.3397542555555548</v>
      </c>
      <c r="O61" s="281">
        <v>2.4383399110122359</v>
      </c>
      <c r="P61" s="245" t="s">
        <v>3345</v>
      </c>
      <c r="Q61" s="245" t="s">
        <v>3347</v>
      </c>
      <c r="R61" s="246" t="s">
        <v>4561</v>
      </c>
      <c r="S61" s="270">
        <f t="shared" si="2"/>
        <v>32143</v>
      </c>
      <c r="T61" s="270"/>
      <c r="U61" s="270">
        <f>IFERROR(VLOOKUP($A61,GeneratingCapabilityList!$E$7:$O$1673,11,FALSE),"ID Not Found")</f>
        <v>32143</v>
      </c>
      <c r="V61" s="271" t="str">
        <f>IFERROR(VLOOKUP($A61,GeneratingCapabilityList!$E$7:$O$1673,6,FALSE),"UNKNOWN")</f>
        <v>HYDRO</v>
      </c>
      <c r="W61" s="271">
        <f>IFERROR(VLOOKUP($A61,GeneratingCapabilityList!$E$7:$O$1673,3,FALSE),"ID Not Found")</f>
        <v>6.2</v>
      </c>
      <c r="Y61" s="270"/>
    </row>
    <row r="62" spans="1:25">
      <c r="A62" s="241" t="s">
        <v>902</v>
      </c>
      <c r="B62" s="241" t="s">
        <v>3324</v>
      </c>
      <c r="C62" s="241" t="s">
        <v>903</v>
      </c>
      <c r="D62" s="242">
        <v>0.79</v>
      </c>
      <c r="E62" s="242">
        <v>0.8</v>
      </c>
      <c r="F62" s="242">
        <v>0.85</v>
      </c>
      <c r="G62" s="242">
        <v>0.86</v>
      </c>
      <c r="H62" s="242">
        <v>0.82</v>
      </c>
      <c r="I62" s="242">
        <v>0.82</v>
      </c>
      <c r="J62" s="242">
        <v>0.85</v>
      </c>
      <c r="K62" s="242">
        <v>0.88</v>
      </c>
      <c r="L62" s="242">
        <v>0.72</v>
      </c>
      <c r="M62" s="242">
        <v>0.66</v>
      </c>
      <c r="N62" s="242">
        <v>0.72</v>
      </c>
      <c r="O62" s="242">
        <v>0.72</v>
      </c>
      <c r="P62" s="241" t="s">
        <v>3345</v>
      </c>
      <c r="Q62" s="241" t="s">
        <v>3347</v>
      </c>
      <c r="R62" s="243" t="s">
        <v>4562</v>
      </c>
      <c r="S62" s="270">
        <f t="shared" si="2"/>
        <v>30327</v>
      </c>
      <c r="T62" s="270"/>
      <c r="U62" s="270">
        <f>IFERROR(VLOOKUP($A62,GeneratingCapabilityList!$E$7:$O$1673,11,FALSE),"ID Not Found")</f>
        <v>30327</v>
      </c>
      <c r="V62" s="271" t="str">
        <f>IFERROR(VLOOKUP($A62,GeneratingCapabilityList!$E$7:$O$1673,6,FALSE),"UNKNOWN")</f>
        <v>BIOMASS</v>
      </c>
      <c r="W62" s="271">
        <f>IFERROR(VLOOKUP($A62,GeneratingCapabilityList!$E$7:$O$1673,3,FALSE),"ID Not Found")</f>
        <v>2.6</v>
      </c>
      <c r="Y62" s="270"/>
    </row>
    <row r="63" spans="1:25">
      <c r="A63" s="241" t="s">
        <v>1741</v>
      </c>
      <c r="B63" s="241" t="s">
        <v>3361</v>
      </c>
      <c r="C63" s="241" t="s">
        <v>3382</v>
      </c>
      <c r="D63" s="242">
        <v>58.97</v>
      </c>
      <c r="E63" s="242">
        <v>57.35</v>
      </c>
      <c r="F63" s="242">
        <v>56.94</v>
      </c>
      <c r="G63" s="242">
        <v>54.64</v>
      </c>
      <c r="H63" s="242">
        <v>57.93</v>
      </c>
      <c r="I63" s="242">
        <v>57.65</v>
      </c>
      <c r="J63" s="242">
        <v>54.8</v>
      </c>
      <c r="K63" s="242">
        <v>53.89</v>
      </c>
      <c r="L63" s="242">
        <v>53.93</v>
      </c>
      <c r="M63" s="242">
        <v>54.42</v>
      </c>
      <c r="N63" s="242">
        <v>54.46</v>
      </c>
      <c r="O63" s="242">
        <v>54.24</v>
      </c>
      <c r="P63" s="241" t="s">
        <v>3352</v>
      </c>
      <c r="Q63" s="241" t="s">
        <v>3347</v>
      </c>
      <c r="R63" s="243" t="s">
        <v>4562</v>
      </c>
      <c r="S63" s="270">
        <f t="shared" si="2"/>
        <v>32482</v>
      </c>
      <c r="T63" s="270"/>
      <c r="U63" s="270">
        <f>IFERROR(VLOOKUP($A63,GeneratingCapabilityList!$E$7:$O$1673,11,FALSE),"ID Not Found")</f>
        <v>32482</v>
      </c>
      <c r="V63" s="271" t="str">
        <f>IFERROR(VLOOKUP($A63,GeneratingCapabilityList!$E$7:$O$1673,6,FALSE),"UNKNOWN")</f>
        <v>GEOTHERMAL</v>
      </c>
      <c r="W63" s="271">
        <f>IFERROR(VLOOKUP($A63,GeneratingCapabilityList!$E$7:$O$1673,3,FALSE),"ID Not Found")</f>
        <v>100.73</v>
      </c>
      <c r="Y63" s="270"/>
    </row>
    <row r="64" spans="1:25">
      <c r="A64" s="241" t="s">
        <v>2946</v>
      </c>
      <c r="B64" s="241" t="s">
        <v>3384</v>
      </c>
      <c r="C64" s="241" t="s">
        <v>3383</v>
      </c>
      <c r="D64" s="242">
        <v>8.42</v>
      </c>
      <c r="E64" s="242">
        <v>0</v>
      </c>
      <c r="F64" s="242">
        <v>0.42</v>
      </c>
      <c r="G64" s="242">
        <v>4.1500000000000004</v>
      </c>
      <c r="H64" s="242">
        <v>6.8</v>
      </c>
      <c r="I64" s="242">
        <v>5.89</v>
      </c>
      <c r="J64" s="242">
        <v>8.2200000000000006</v>
      </c>
      <c r="K64" s="242">
        <v>8.49</v>
      </c>
      <c r="L64" s="242">
        <v>8.7200000000000006</v>
      </c>
      <c r="M64" s="242">
        <v>8.73</v>
      </c>
      <c r="N64" s="242">
        <v>9.09</v>
      </c>
      <c r="O64" s="242">
        <v>8.7200000000000006</v>
      </c>
      <c r="P64" s="241" t="s">
        <v>3345</v>
      </c>
      <c r="Q64" s="241" t="s">
        <v>4563</v>
      </c>
      <c r="R64" s="243" t="s">
        <v>4561</v>
      </c>
      <c r="S64" s="270">
        <f t="shared" si="2"/>
        <v>40430</v>
      </c>
      <c r="T64" s="270"/>
      <c r="U64" s="270">
        <f>IFERROR(VLOOKUP($A64,GeneratingCapabilityList!$E$7:$O$1673,11,FALSE),"ID Not Found")</f>
        <v>40430</v>
      </c>
      <c r="V64" s="271" t="str">
        <f>IFERROR(VLOOKUP($A64,GeneratingCapabilityList!$E$7:$O$1673,6,FALSE),"UNKNOWN")</f>
        <v>BIOMASS</v>
      </c>
      <c r="W64" s="271">
        <f>IFERROR(VLOOKUP($A64,GeneratingCapabilityList!$E$7:$O$1673,3,FALSE),"ID Not Found")</f>
        <v>12</v>
      </c>
      <c r="Y64" s="270"/>
    </row>
    <row r="65" spans="1:25">
      <c r="A65" s="241" t="s">
        <v>2919</v>
      </c>
      <c r="B65" s="241" t="s">
        <v>3361</v>
      </c>
      <c r="C65" s="241" t="s">
        <v>2920</v>
      </c>
      <c r="D65" s="249" t="s">
        <v>4573</v>
      </c>
      <c r="E65" s="249" t="s">
        <v>4573</v>
      </c>
      <c r="F65" s="249" t="s">
        <v>4573</v>
      </c>
      <c r="G65" s="249" t="s">
        <v>4573</v>
      </c>
      <c r="H65" s="249" t="s">
        <v>4573</v>
      </c>
      <c r="I65" s="249" t="s">
        <v>4573</v>
      </c>
      <c r="J65" s="249" t="s">
        <v>4573</v>
      </c>
      <c r="K65" s="249" t="s">
        <v>4573</v>
      </c>
      <c r="L65" s="249" t="s">
        <v>4573</v>
      </c>
      <c r="M65" s="249" t="s">
        <v>4573</v>
      </c>
      <c r="N65" s="249" t="s">
        <v>4573</v>
      </c>
      <c r="O65" s="249" t="s">
        <v>4573</v>
      </c>
      <c r="P65" s="241" t="s">
        <v>3352</v>
      </c>
      <c r="Q65" s="241" t="s">
        <v>3385</v>
      </c>
      <c r="R65" s="246" t="s">
        <v>4562</v>
      </c>
      <c r="S65" s="270">
        <f t="shared" si="2"/>
        <v>40165</v>
      </c>
      <c r="T65" s="270"/>
      <c r="U65" s="270">
        <f>IFERROR(VLOOKUP($A65,GeneratingCapabilityList!$E$7:$O$1673,11,FALSE),"ID Not Found")</f>
        <v>40165</v>
      </c>
      <c r="V65" s="271" t="str">
        <f>IFERROR(VLOOKUP($A65,GeneratingCapabilityList!$E$7:$O$1673,6,FALSE),"UNKNOWN")</f>
        <v>SOLAR</v>
      </c>
      <c r="W65" s="271">
        <f>IFERROR(VLOOKUP($A65,GeneratingCapabilityList!$E$7:$O$1673,3,FALSE),"ID Not Found")</f>
        <v>21</v>
      </c>
      <c r="Y65" s="270"/>
    </row>
    <row r="66" spans="1:25">
      <c r="A66" s="241" t="s">
        <v>31</v>
      </c>
      <c r="B66" s="241" t="s">
        <v>3375</v>
      </c>
      <c r="C66" s="241" t="s">
        <v>3387</v>
      </c>
      <c r="D66" s="242">
        <v>0.28000000000000003</v>
      </c>
      <c r="E66" s="242">
        <v>0.26</v>
      </c>
      <c r="F66" s="242">
        <v>0.22</v>
      </c>
      <c r="G66" s="242">
        <v>0.26</v>
      </c>
      <c r="H66" s="242">
        <v>0.13</v>
      </c>
      <c r="I66" s="242">
        <v>0.28000000000000003</v>
      </c>
      <c r="J66" s="242">
        <v>0.46</v>
      </c>
      <c r="K66" s="242">
        <v>0.46</v>
      </c>
      <c r="L66" s="242">
        <v>0.37</v>
      </c>
      <c r="M66" s="242">
        <v>0.44</v>
      </c>
      <c r="N66" s="242">
        <v>0.36</v>
      </c>
      <c r="O66" s="242">
        <v>0.28000000000000003</v>
      </c>
      <c r="P66" s="241" t="s">
        <v>3345</v>
      </c>
      <c r="Q66" s="241" t="s">
        <v>3347</v>
      </c>
      <c r="R66" s="243" t="s">
        <v>4561</v>
      </c>
      <c r="S66" s="270">
        <f t="shared" si="2"/>
        <v>732</v>
      </c>
      <c r="T66" s="270"/>
      <c r="U66" s="270">
        <f>IFERROR(VLOOKUP($A66,GeneratingCapabilityList!$E$7:$O$1673,11,FALSE),"ID Not Found")</f>
        <v>732</v>
      </c>
      <c r="V66" s="271" t="str">
        <f>IFERROR(VLOOKUP($A66,GeneratingCapabilityList!$E$7:$O$1673,6,FALSE),"UNKNOWN")</f>
        <v>HYDRO</v>
      </c>
      <c r="W66" s="271">
        <f>IFERROR(VLOOKUP($A66,GeneratingCapabilityList!$E$7:$O$1673,3,FALSE),"ID Not Found")</f>
        <v>2</v>
      </c>
      <c r="Y66" s="270"/>
    </row>
    <row r="67" spans="1:25">
      <c r="A67" s="241" t="s">
        <v>2562</v>
      </c>
      <c r="B67" s="241" t="s">
        <v>3375</v>
      </c>
      <c r="C67" s="241" t="s">
        <v>3388</v>
      </c>
      <c r="D67" s="242">
        <v>46.3</v>
      </c>
      <c r="E67" s="242">
        <v>46.3</v>
      </c>
      <c r="F67" s="242">
        <v>46.3</v>
      </c>
      <c r="G67" s="242">
        <v>46.3</v>
      </c>
      <c r="H67" s="242">
        <v>46.3</v>
      </c>
      <c r="I67" s="242">
        <v>46</v>
      </c>
      <c r="J67" s="242">
        <v>45</v>
      </c>
      <c r="K67" s="242">
        <v>45</v>
      </c>
      <c r="L67" s="242">
        <v>45</v>
      </c>
      <c r="M67" s="242">
        <v>46.3</v>
      </c>
      <c r="N67" s="242">
        <v>46.3</v>
      </c>
      <c r="O67" s="242">
        <v>46.3</v>
      </c>
      <c r="P67" s="241" t="s">
        <v>3345</v>
      </c>
      <c r="Q67" s="241" t="s">
        <v>3347</v>
      </c>
      <c r="R67" s="243" t="s">
        <v>4561</v>
      </c>
      <c r="S67" s="270">
        <f t="shared" si="2"/>
        <v>37613</v>
      </c>
      <c r="T67" s="270"/>
      <c r="U67" s="270">
        <f>IFERROR(VLOOKUP($A67,GeneratingCapabilityList!$E$7:$O$1673,11,FALSE),"ID Not Found")</f>
        <v>37613</v>
      </c>
      <c r="V67" s="271" t="str">
        <f>IFERROR(VLOOKUP($A67,GeneratingCapabilityList!$E$7:$O$1673,6,FALSE),"UNKNOWN")</f>
        <v>PEAKER</v>
      </c>
      <c r="W67" s="271">
        <f>IFERROR(VLOOKUP($A67,GeneratingCapabilityList!$E$7:$O$1673,3,FALSE),"ID Not Found")</f>
        <v>46.3</v>
      </c>
      <c r="Y67" s="270"/>
    </row>
    <row r="68" spans="1:25">
      <c r="A68" s="241" t="s">
        <v>1159</v>
      </c>
      <c r="B68" s="241" t="s">
        <v>3349</v>
      </c>
      <c r="C68" s="241" t="s">
        <v>3389</v>
      </c>
      <c r="D68" s="242">
        <v>0.08</v>
      </c>
      <c r="E68" s="242">
        <v>7.0000000000000007E-2</v>
      </c>
      <c r="F68" s="242">
        <v>0.02</v>
      </c>
      <c r="G68" s="242">
        <v>0.67</v>
      </c>
      <c r="H68" s="242">
        <v>1.0900000000000001</v>
      </c>
      <c r="I68" s="242">
        <v>1.34</v>
      </c>
      <c r="J68" s="242">
        <v>1.32</v>
      </c>
      <c r="K68" s="242">
        <v>1.1299999999999999</v>
      </c>
      <c r="L68" s="242">
        <v>0.56000000000000005</v>
      </c>
      <c r="M68" s="242">
        <v>0.25</v>
      </c>
      <c r="N68" s="242">
        <v>0</v>
      </c>
      <c r="O68" s="242">
        <v>0.02</v>
      </c>
      <c r="P68" s="241" t="s">
        <v>3345</v>
      </c>
      <c r="Q68" s="241" t="s">
        <v>3347</v>
      </c>
      <c r="R68" s="243" t="s">
        <v>4562</v>
      </c>
      <c r="S68" s="270">
        <f t="shared" si="2"/>
        <v>31048</v>
      </c>
      <c r="T68" s="270"/>
      <c r="U68" s="270">
        <f>IFERROR(VLOOKUP($A68,GeneratingCapabilityList!$E$7:$O$1673,11,FALSE),"ID Not Found")</f>
        <v>31048</v>
      </c>
      <c r="V68" s="271" t="str">
        <f>IFERROR(VLOOKUP($A68,GeneratingCapabilityList!$E$7:$O$1673,6,FALSE),"UNKNOWN")</f>
        <v>HYDRO</v>
      </c>
      <c r="W68" s="271">
        <f>IFERROR(VLOOKUP($A68,GeneratingCapabilityList!$E$7:$O$1673,3,FALSE),"ID Not Found")</f>
        <v>2.85</v>
      </c>
      <c r="Y68" s="270"/>
    </row>
    <row r="69" spans="1:25">
      <c r="A69" s="241" t="s">
        <v>2471</v>
      </c>
      <c r="B69" s="241" t="s">
        <v>4579</v>
      </c>
      <c r="C69" s="241" t="s">
        <v>4580</v>
      </c>
      <c r="D69" s="242">
        <v>48</v>
      </c>
      <c r="E69" s="242">
        <v>48</v>
      </c>
      <c r="F69" s="242">
        <v>48</v>
      </c>
      <c r="G69" s="242">
        <v>48</v>
      </c>
      <c r="H69" s="242">
        <v>48</v>
      </c>
      <c r="I69" s="242">
        <v>48</v>
      </c>
      <c r="J69" s="242">
        <v>48</v>
      </c>
      <c r="K69" s="242">
        <v>48</v>
      </c>
      <c r="L69" s="242">
        <v>48</v>
      </c>
      <c r="M69" s="242">
        <v>48</v>
      </c>
      <c r="N69" s="242">
        <v>48</v>
      </c>
      <c r="O69" s="242">
        <v>48</v>
      </c>
      <c r="P69" s="241" t="s">
        <v>3352</v>
      </c>
      <c r="Q69" s="241" t="s">
        <v>3347</v>
      </c>
      <c r="R69" s="243" t="s">
        <v>4561</v>
      </c>
      <c r="S69" s="270">
        <f t="shared" si="2"/>
        <v>37190</v>
      </c>
      <c r="T69" s="270"/>
      <c r="U69" s="270">
        <f>IFERROR(VLOOKUP($A69,GeneratingCapabilityList!$E$7:$O$1673,11,FALSE),"ID Not Found")</f>
        <v>37190</v>
      </c>
      <c r="V69" s="271" t="str">
        <f>IFERROR(VLOOKUP($A69,GeneratingCapabilityList!$E$7:$O$1673,6,FALSE),"UNKNOWN")</f>
        <v>PEAKER</v>
      </c>
      <c r="W69" s="271">
        <f>IFERROR(VLOOKUP($A69,GeneratingCapabilityList!$E$7:$O$1673,3,FALSE),"ID Not Found")</f>
        <v>48.98</v>
      </c>
      <c r="Y69" s="270"/>
    </row>
    <row r="70" spans="1:25">
      <c r="A70" s="241" t="s">
        <v>1414</v>
      </c>
      <c r="B70" s="241" t="s">
        <v>3375</v>
      </c>
      <c r="C70" s="241" t="s">
        <v>3390</v>
      </c>
      <c r="D70" s="242">
        <v>0.88</v>
      </c>
      <c r="E70" s="242">
        <v>0.68</v>
      </c>
      <c r="F70" s="242">
        <v>1.1599999999999999</v>
      </c>
      <c r="G70" s="242">
        <v>1.39</v>
      </c>
      <c r="H70" s="242">
        <v>2.71</v>
      </c>
      <c r="I70" s="242">
        <v>3.01</v>
      </c>
      <c r="J70" s="242">
        <v>2.81</v>
      </c>
      <c r="K70" s="242">
        <v>2.95</v>
      </c>
      <c r="L70" s="242">
        <v>2.71</v>
      </c>
      <c r="M70" s="242">
        <v>1.77</v>
      </c>
      <c r="N70" s="242">
        <v>0.93</v>
      </c>
      <c r="O70" s="242">
        <v>1.23</v>
      </c>
      <c r="P70" s="241" t="s">
        <v>3345</v>
      </c>
      <c r="Q70" s="241" t="s">
        <v>3347</v>
      </c>
      <c r="R70" s="243" t="s">
        <v>4562</v>
      </c>
      <c r="S70" s="270">
        <f t="shared" si="2"/>
        <v>31642</v>
      </c>
      <c r="T70" s="270"/>
      <c r="U70" s="270">
        <f>IFERROR(VLOOKUP($A70,GeneratingCapabilityList!$E$7:$O$1673,11,FALSE),"ID Not Found")</f>
        <v>31642</v>
      </c>
      <c r="V70" s="271" t="str">
        <f>IFERROR(VLOOKUP($A70,GeneratingCapabilityList!$E$7:$O$1673,6,FALSE),"UNKNOWN")</f>
        <v>HYDRO</v>
      </c>
      <c r="W70" s="271">
        <f>IFERROR(VLOOKUP($A70,GeneratingCapabilityList!$E$7:$O$1673,3,FALSE),"ID Not Found")</f>
        <v>6.25</v>
      </c>
      <c r="Y70" s="270"/>
    </row>
    <row r="71" spans="1:25">
      <c r="A71" s="241" t="s">
        <v>1616</v>
      </c>
      <c r="B71" s="241" t="s">
        <v>3384</v>
      </c>
      <c r="C71" s="241" t="s">
        <v>3391</v>
      </c>
      <c r="D71" s="242">
        <v>0.74</v>
      </c>
      <c r="E71" s="242">
        <v>0.77</v>
      </c>
      <c r="F71" s="242">
        <v>1.25</v>
      </c>
      <c r="G71" s="242">
        <v>1.1000000000000001</v>
      </c>
      <c r="H71" s="242">
        <v>0.3</v>
      </c>
      <c r="I71" s="242">
        <v>0.2</v>
      </c>
      <c r="J71" s="242">
        <v>0</v>
      </c>
      <c r="K71" s="242">
        <v>0</v>
      </c>
      <c r="L71" s="242">
        <v>0</v>
      </c>
      <c r="M71" s="242">
        <v>7.0000000000000007E-2</v>
      </c>
      <c r="N71" s="242">
        <v>0.34</v>
      </c>
      <c r="O71" s="242">
        <v>0.85</v>
      </c>
      <c r="P71" s="241" t="s">
        <v>3345</v>
      </c>
      <c r="Q71" s="241" t="s">
        <v>3347</v>
      </c>
      <c r="R71" s="243" t="s">
        <v>4562</v>
      </c>
      <c r="S71" s="270">
        <f t="shared" si="2"/>
        <v>32121</v>
      </c>
      <c r="T71" s="270"/>
      <c r="U71" s="270">
        <f>IFERROR(VLOOKUP($A71,GeneratingCapabilityList!$E$7:$O$1673,11,FALSE),"ID Not Found")</f>
        <v>32121</v>
      </c>
      <c r="V71" s="271" t="str">
        <f>IFERROR(VLOOKUP($A71,GeneratingCapabilityList!$E$7:$O$1673,6,FALSE),"UNKNOWN")</f>
        <v>HYDRO</v>
      </c>
      <c r="W71" s="271">
        <f>IFERROR(VLOOKUP($A71,GeneratingCapabilityList!$E$7:$O$1673,3,FALSE),"ID Not Found")</f>
        <v>2.5</v>
      </c>
      <c r="Y71" s="270"/>
    </row>
    <row r="72" spans="1:25">
      <c r="A72" s="241" t="s">
        <v>2666</v>
      </c>
      <c r="B72" s="241" t="s">
        <v>3324</v>
      </c>
      <c r="C72" s="241" t="s">
        <v>3392</v>
      </c>
      <c r="D72" s="242">
        <v>3.73</v>
      </c>
      <c r="E72" s="242">
        <v>11.08</v>
      </c>
      <c r="F72" s="242">
        <v>19.829999999999998</v>
      </c>
      <c r="G72" s="242">
        <v>21.71</v>
      </c>
      <c r="H72" s="242">
        <v>39.74</v>
      </c>
      <c r="I72" s="242">
        <v>42.4</v>
      </c>
      <c r="J72" s="242">
        <v>48.22</v>
      </c>
      <c r="K72" s="242">
        <v>38.96</v>
      </c>
      <c r="L72" s="242">
        <v>13.25</v>
      </c>
      <c r="M72" s="242">
        <v>10.16</v>
      </c>
      <c r="N72" s="242">
        <v>4.99</v>
      </c>
      <c r="O72" s="242">
        <v>5.38</v>
      </c>
      <c r="P72" s="241" t="s">
        <v>3345</v>
      </c>
      <c r="Q72" s="241" t="s">
        <v>3347</v>
      </c>
      <c r="R72" s="243" t="s">
        <v>4562</v>
      </c>
      <c r="S72" s="270">
        <f t="shared" si="2"/>
        <v>37978</v>
      </c>
      <c r="T72" s="270"/>
      <c r="U72" s="270">
        <f>IFERROR(VLOOKUP($A72,GeneratingCapabilityList!$E$7:$O$1673,11,FALSE),"ID Not Found")</f>
        <v>37978</v>
      </c>
      <c r="V72" s="271" t="str">
        <f>IFERROR(VLOOKUP($A72,GeneratingCapabilityList!$E$7:$O$1673,6,FALSE),"UNKNOWN")</f>
        <v>WIND</v>
      </c>
      <c r="W72" s="271">
        <f>IFERROR(VLOOKUP($A72,GeneratingCapabilityList!$E$7:$O$1673,3,FALSE),"ID Not Found")</f>
        <v>162</v>
      </c>
      <c r="Y72" s="270"/>
    </row>
    <row r="73" spans="1:25">
      <c r="A73" s="241" t="s">
        <v>3075</v>
      </c>
      <c r="B73" s="241" t="s">
        <v>3324</v>
      </c>
      <c r="C73" s="241" t="s">
        <v>4581</v>
      </c>
      <c r="D73" s="242">
        <v>4.16</v>
      </c>
      <c r="E73" s="242">
        <v>6.74</v>
      </c>
      <c r="F73" s="242">
        <v>16.59</v>
      </c>
      <c r="G73" s="242">
        <v>19.23</v>
      </c>
      <c r="H73" s="242">
        <v>24.35</v>
      </c>
      <c r="I73" s="242">
        <v>27.48</v>
      </c>
      <c r="J73" s="242">
        <v>21.37</v>
      </c>
      <c r="K73" s="242">
        <v>13.02</v>
      </c>
      <c r="L73" s="242">
        <v>4.04</v>
      </c>
      <c r="M73" s="242">
        <v>5.15</v>
      </c>
      <c r="N73" s="242">
        <v>6.06</v>
      </c>
      <c r="O73" s="242">
        <v>3.71</v>
      </c>
      <c r="P73" s="241" t="s">
        <v>3345</v>
      </c>
      <c r="Q73" s="241" t="s">
        <v>4563</v>
      </c>
      <c r="R73" s="243" t="s">
        <v>4562</v>
      </c>
      <c r="S73" s="270">
        <f t="shared" si="2"/>
        <v>40940</v>
      </c>
      <c r="T73" s="270"/>
      <c r="U73" s="270">
        <f>IFERROR(VLOOKUP($A73,GeneratingCapabilityList!$E$7:$O$1673,11,FALSE),"ID Not Found")</f>
        <v>40940</v>
      </c>
      <c r="V73" s="271" t="str">
        <f>IFERROR(VLOOKUP($A73,GeneratingCapabilityList!$E$7:$O$1673,6,FALSE),"UNKNOWN")</f>
        <v>WIND</v>
      </c>
      <c r="W73" s="271">
        <f>IFERROR(VLOOKUP($A73,GeneratingCapabilityList!$E$7:$O$1673,3,FALSE),"ID Not Found")</f>
        <v>78.2</v>
      </c>
      <c r="Y73" s="270"/>
    </row>
    <row r="74" spans="1:25">
      <c r="A74" s="241" t="s">
        <v>2978</v>
      </c>
      <c r="B74" s="241" t="s">
        <v>3324</v>
      </c>
      <c r="C74" s="241" t="s">
        <v>2979</v>
      </c>
      <c r="D74" s="242">
        <v>1.06</v>
      </c>
      <c r="E74" s="242">
        <v>3.08</v>
      </c>
      <c r="F74" s="242">
        <v>5.0999999999999996</v>
      </c>
      <c r="G74" s="242">
        <v>4.53</v>
      </c>
      <c r="H74" s="242">
        <v>9.4</v>
      </c>
      <c r="I74" s="242">
        <v>10.54</v>
      </c>
      <c r="J74" s="242">
        <v>9.14</v>
      </c>
      <c r="K74" s="242">
        <v>7.12</v>
      </c>
      <c r="L74" s="242">
        <v>2.4700000000000002</v>
      </c>
      <c r="M74" s="242">
        <v>2.1</v>
      </c>
      <c r="N74" s="242">
        <v>0.82</v>
      </c>
      <c r="O74" s="242">
        <v>1.4</v>
      </c>
      <c r="P74" s="241" t="s">
        <v>3345</v>
      </c>
      <c r="Q74" s="241" t="s">
        <v>3347</v>
      </c>
      <c r="R74" s="243" t="s">
        <v>4562</v>
      </c>
      <c r="S74" s="270">
        <f t="shared" si="2"/>
        <v>40568</v>
      </c>
      <c r="T74" s="270"/>
      <c r="U74" s="270">
        <f>IFERROR(VLOOKUP($A74,GeneratingCapabilityList!$E$7:$O$1673,11,FALSE),"ID Not Found")</f>
        <v>40568</v>
      </c>
      <c r="V74" s="271" t="str">
        <f>IFERROR(VLOOKUP($A74,GeneratingCapabilityList!$E$7:$O$1673,6,FALSE),"UNKNOWN")</f>
        <v>WIND</v>
      </c>
      <c r="W74" s="271">
        <f>IFERROR(VLOOKUP($A74,GeneratingCapabilityList!$E$7:$O$1673,3,FALSE),"ID Not Found")</f>
        <v>36.799999999999997</v>
      </c>
      <c r="Y74" s="270"/>
    </row>
    <row r="75" spans="1:25">
      <c r="A75" s="241" t="s">
        <v>2797</v>
      </c>
      <c r="B75" s="241" t="s">
        <v>3324</v>
      </c>
      <c r="C75" s="241" t="s">
        <v>3393</v>
      </c>
      <c r="D75" s="242">
        <v>3.37</v>
      </c>
      <c r="E75" s="242">
        <v>11.75</v>
      </c>
      <c r="F75" s="242">
        <v>20.89</v>
      </c>
      <c r="G75" s="242">
        <v>23.59</v>
      </c>
      <c r="H75" s="242">
        <v>41.86</v>
      </c>
      <c r="I75" s="242">
        <v>42.45</v>
      </c>
      <c r="J75" s="242">
        <v>42.11</v>
      </c>
      <c r="K75" s="242">
        <v>35.340000000000003</v>
      </c>
      <c r="L75" s="242">
        <v>11.38</v>
      </c>
      <c r="M75" s="242">
        <v>23.92</v>
      </c>
      <c r="N75" s="242">
        <v>13.19</v>
      </c>
      <c r="O75" s="242">
        <v>4.16</v>
      </c>
      <c r="P75" s="241" t="s">
        <v>3345</v>
      </c>
      <c r="Q75" s="241" t="s">
        <v>3347</v>
      </c>
      <c r="R75" s="243" t="s">
        <v>4562</v>
      </c>
      <c r="S75" s="270">
        <f t="shared" si="2"/>
        <v>38806</v>
      </c>
      <c r="T75" s="270"/>
      <c r="U75" s="270">
        <f>IFERROR(VLOOKUP($A75,GeneratingCapabilityList!$E$7:$O$1673,11,FALSE),"ID Not Found")</f>
        <v>38806</v>
      </c>
      <c r="V75" s="271" t="str">
        <f>IFERROR(VLOOKUP($A75,GeneratingCapabilityList!$E$7:$O$1673,6,FALSE),"UNKNOWN")</f>
        <v>WIND</v>
      </c>
      <c r="W75" s="271">
        <f>IFERROR(VLOOKUP($A75,GeneratingCapabilityList!$E$7:$O$1673,3,FALSE),"ID Not Found")</f>
        <v>150</v>
      </c>
      <c r="Y75" s="270"/>
    </row>
    <row r="76" spans="1:25">
      <c r="A76" s="241" t="s">
        <v>2882</v>
      </c>
      <c r="B76" s="241" t="s">
        <v>3324</v>
      </c>
      <c r="C76" s="241" t="s">
        <v>3394</v>
      </c>
      <c r="D76" s="242">
        <v>2.25</v>
      </c>
      <c r="E76" s="242">
        <v>13.44</v>
      </c>
      <c r="F76" s="242">
        <v>23.37</v>
      </c>
      <c r="G76" s="242">
        <v>26.24</v>
      </c>
      <c r="H76" s="242">
        <v>46.04</v>
      </c>
      <c r="I76" s="242">
        <v>45.12</v>
      </c>
      <c r="J76" s="242">
        <v>44.92</v>
      </c>
      <c r="K76" s="242">
        <v>36.130000000000003</v>
      </c>
      <c r="L76" s="242">
        <v>5.43</v>
      </c>
      <c r="M76" s="242">
        <v>4.8899999999999997</v>
      </c>
      <c r="N76" s="242">
        <v>8.73</v>
      </c>
      <c r="O76" s="242">
        <v>6.67</v>
      </c>
      <c r="P76" s="241" t="s">
        <v>3345</v>
      </c>
      <c r="Q76" s="241" t="s">
        <v>3347</v>
      </c>
      <c r="R76" s="243" t="s">
        <v>4562</v>
      </c>
      <c r="S76" s="270">
        <f t="shared" si="2"/>
        <v>39840</v>
      </c>
      <c r="T76" s="270"/>
      <c r="U76" s="270">
        <f>IFERROR(VLOOKUP($A76,GeneratingCapabilityList!$E$7:$O$1673,11,FALSE),"ID Not Found")</f>
        <v>39840</v>
      </c>
      <c r="V76" s="271" t="str">
        <f>IFERROR(VLOOKUP($A76,GeneratingCapabilityList!$E$7:$O$1673,6,FALSE),"UNKNOWN")</f>
        <v>WIND</v>
      </c>
      <c r="W76" s="271">
        <f>IFERROR(VLOOKUP($A76,GeneratingCapabilityList!$E$7:$O$1673,3,FALSE),"ID Not Found")</f>
        <v>150</v>
      </c>
      <c r="Y76" s="270"/>
    </row>
    <row r="77" spans="1:25">
      <c r="A77" s="241" t="s">
        <v>3056</v>
      </c>
      <c r="B77" s="241" t="s">
        <v>3324</v>
      </c>
      <c r="C77" s="241" t="s">
        <v>3058</v>
      </c>
      <c r="D77" s="242">
        <v>3.92</v>
      </c>
      <c r="E77" s="242">
        <v>9.0500000000000007</v>
      </c>
      <c r="F77" s="242">
        <v>19.260000000000002</v>
      </c>
      <c r="G77" s="242">
        <v>21.66</v>
      </c>
      <c r="H77" s="242">
        <v>30.96</v>
      </c>
      <c r="I77" s="242">
        <v>32.340000000000003</v>
      </c>
      <c r="J77" s="242">
        <v>20.85</v>
      </c>
      <c r="K77" s="242">
        <v>17.45</v>
      </c>
      <c r="L77" s="242">
        <v>6.35</v>
      </c>
      <c r="M77" s="242">
        <v>7.74</v>
      </c>
      <c r="N77" s="242">
        <v>7.14</v>
      </c>
      <c r="O77" s="242">
        <v>5.63</v>
      </c>
      <c r="P77" s="241" t="s">
        <v>3345</v>
      </c>
      <c r="Q77" s="241" t="s">
        <v>3347</v>
      </c>
      <c r="R77" s="243" t="s">
        <v>4562</v>
      </c>
      <c r="S77" s="270">
        <f t="shared" si="2"/>
        <v>40899</v>
      </c>
      <c r="T77" s="270"/>
      <c r="U77" s="270">
        <f>IFERROR(VLOOKUP($A77,GeneratingCapabilityList!$E$7:$O$1673,11,FALSE),"ID Not Found")</f>
        <v>40899</v>
      </c>
      <c r="V77" s="271" t="str">
        <f>IFERROR(VLOOKUP($A77,GeneratingCapabilityList!$E$7:$O$1673,6,FALSE),"UNKNOWN")</f>
        <v>WIND</v>
      </c>
      <c r="W77" s="271">
        <f>IFERROR(VLOOKUP($A77,GeneratingCapabilityList!$E$7:$O$1673,3,FALSE),"ID Not Found")</f>
        <v>102.5</v>
      </c>
      <c r="Y77" s="270"/>
    </row>
    <row r="78" spans="1:25">
      <c r="A78" s="241" t="s">
        <v>4512</v>
      </c>
      <c r="B78" s="241" t="s">
        <v>3324</v>
      </c>
      <c r="C78" s="241" t="s">
        <v>4513</v>
      </c>
      <c r="D78" s="242">
        <v>3.92</v>
      </c>
      <c r="E78" s="242">
        <v>9.0500000000000007</v>
      </c>
      <c r="F78" s="242">
        <v>19.260000000000002</v>
      </c>
      <c r="G78" s="242">
        <v>21.66</v>
      </c>
      <c r="H78" s="242">
        <v>30.96</v>
      </c>
      <c r="I78" s="242">
        <v>32.340000000000003</v>
      </c>
      <c r="J78" s="242">
        <v>20.85</v>
      </c>
      <c r="K78" s="242">
        <v>17.45</v>
      </c>
      <c r="L78" s="242">
        <v>6.35</v>
      </c>
      <c r="M78" s="242">
        <v>7.74</v>
      </c>
      <c r="N78" s="242">
        <v>7.14</v>
      </c>
      <c r="O78" s="242">
        <v>5.63</v>
      </c>
      <c r="P78" s="241" t="s">
        <v>3345</v>
      </c>
      <c r="Q78" s="241" t="s">
        <v>3347</v>
      </c>
      <c r="R78" s="243" t="s">
        <v>4562</v>
      </c>
      <c r="S78" s="270">
        <f t="shared" ref="S78:S106" si="3">U78</f>
        <v>41251</v>
      </c>
      <c r="T78" s="270"/>
      <c r="U78" s="270">
        <f>IFERROR(VLOOKUP($A78,GeneratingCapabilityList!$E$7:$O$1673,11,FALSE),"ID Not Found")</f>
        <v>41251</v>
      </c>
      <c r="V78" s="271" t="str">
        <f>IFERROR(VLOOKUP($A78,GeneratingCapabilityList!$E$7:$O$1673,6,FALSE),"UNKNOWN")</f>
        <v>WIND</v>
      </c>
      <c r="W78" s="271">
        <f>IFERROR(VLOOKUP($A78,GeneratingCapabilityList!$E$7:$O$1673,3,FALSE),"ID Not Found")</f>
        <v>100</v>
      </c>
      <c r="Y78" s="270"/>
    </row>
    <row r="79" spans="1:25">
      <c r="A79" s="241" t="s">
        <v>483</v>
      </c>
      <c r="B79" s="241" t="s">
        <v>3327</v>
      </c>
      <c r="C79" s="241" t="s">
        <v>3395</v>
      </c>
      <c r="D79" s="242">
        <v>65</v>
      </c>
      <c r="E79" s="242">
        <v>65</v>
      </c>
      <c r="F79" s="242">
        <v>65</v>
      </c>
      <c r="G79" s="242">
        <v>65</v>
      </c>
      <c r="H79" s="242">
        <v>65</v>
      </c>
      <c r="I79" s="242">
        <v>65</v>
      </c>
      <c r="J79" s="242">
        <v>65</v>
      </c>
      <c r="K79" s="242">
        <v>65</v>
      </c>
      <c r="L79" s="242">
        <v>65</v>
      </c>
      <c r="M79" s="242">
        <v>65</v>
      </c>
      <c r="N79" s="242">
        <v>65</v>
      </c>
      <c r="O79" s="242">
        <v>65</v>
      </c>
      <c r="P79" s="241" t="s">
        <v>3352</v>
      </c>
      <c r="Q79" s="241" t="s">
        <v>3347</v>
      </c>
      <c r="R79" s="243" t="s">
        <v>4561</v>
      </c>
      <c r="S79" s="270">
        <f t="shared" si="3"/>
        <v>23743</v>
      </c>
      <c r="T79" s="270"/>
      <c r="U79" s="270">
        <f>IFERROR(VLOOKUP($A79,GeneratingCapabilityList!$E$7:$O$1673,11,FALSE),"ID Not Found")</f>
        <v>23743</v>
      </c>
      <c r="V79" s="271" t="str">
        <f>IFERROR(VLOOKUP($A79,GeneratingCapabilityList!$E$7:$O$1673,6,FALSE),"UNKNOWN")</f>
        <v>THERMAL</v>
      </c>
      <c r="W79" s="271">
        <f>IFERROR(VLOOKUP($A79,GeneratingCapabilityList!$E$7:$O$1673,3,FALSE),"ID Not Found")</f>
        <v>65</v>
      </c>
      <c r="Y79" s="270"/>
    </row>
    <row r="80" spans="1:25">
      <c r="A80" s="241" t="s">
        <v>4492</v>
      </c>
      <c r="B80" s="241" t="s">
        <v>4579</v>
      </c>
      <c r="C80" s="241" t="s">
        <v>4493</v>
      </c>
      <c r="D80" s="242">
        <v>0.21</v>
      </c>
      <c r="E80" s="242">
        <v>2.0699999999999998</v>
      </c>
      <c r="F80" s="242">
        <v>4.83</v>
      </c>
      <c r="G80" s="242">
        <v>15.64</v>
      </c>
      <c r="H80" s="242">
        <v>19.09</v>
      </c>
      <c r="I80" s="242">
        <v>22.55</v>
      </c>
      <c r="J80" s="242">
        <v>22.05</v>
      </c>
      <c r="K80" s="242">
        <v>21.17</v>
      </c>
      <c r="L80" s="242">
        <v>19.27</v>
      </c>
      <c r="M80" s="242">
        <v>12.17</v>
      </c>
      <c r="N80" s="242">
        <v>1.68</v>
      </c>
      <c r="O80" s="242">
        <v>0.7</v>
      </c>
      <c r="P80" s="241" t="s">
        <v>3352</v>
      </c>
      <c r="Q80" s="241" t="s">
        <v>3347</v>
      </c>
      <c r="R80" s="243" t="s">
        <v>4562</v>
      </c>
      <c r="S80" s="270">
        <f t="shared" si="3"/>
        <v>41317</v>
      </c>
      <c r="T80" s="270"/>
      <c r="U80" s="270">
        <f>IFERROR(VLOOKUP($A80,GeneratingCapabilityList!$E$7:$O$1673,11,FALSE),"ID Not Found")</f>
        <v>41317</v>
      </c>
      <c r="V80" s="271" t="str">
        <f>IFERROR(VLOOKUP($A80,GeneratingCapabilityList!$E$7:$O$1673,6,FALSE),"UNKNOWN")</f>
        <v>SOLAR</v>
      </c>
      <c r="W80" s="271">
        <f>IFERROR(VLOOKUP($A80,GeneratingCapabilityList!$E$7:$O$1673,3,FALSE),"ID Not Found")</f>
        <v>26</v>
      </c>
      <c r="Y80" s="270"/>
    </row>
    <row r="81" spans="1:25">
      <c r="A81" s="241" t="s">
        <v>3085</v>
      </c>
      <c r="B81" s="241" t="s">
        <v>3361</v>
      </c>
      <c r="C81" s="241" t="s">
        <v>966</v>
      </c>
      <c r="D81" s="242">
        <v>4</v>
      </c>
      <c r="E81" s="242">
        <v>9.23</v>
      </c>
      <c r="F81" s="242">
        <v>19.649999999999999</v>
      </c>
      <c r="G81" s="242">
        <v>22.1</v>
      </c>
      <c r="H81" s="242">
        <v>31.58</v>
      </c>
      <c r="I81" s="242">
        <v>32.979999999999997</v>
      </c>
      <c r="J81" s="242">
        <v>21.27</v>
      </c>
      <c r="K81" s="242">
        <v>17.8</v>
      </c>
      <c r="L81" s="242">
        <v>6.48</v>
      </c>
      <c r="M81" s="242">
        <v>7.9</v>
      </c>
      <c r="N81" s="242">
        <v>7.29</v>
      </c>
      <c r="O81" s="242">
        <v>5.74</v>
      </c>
      <c r="P81" s="241" t="s">
        <v>3352</v>
      </c>
      <c r="Q81" s="245" t="s">
        <v>3347</v>
      </c>
      <c r="R81" s="243" t="s">
        <v>4562</v>
      </c>
      <c r="S81" s="270">
        <f t="shared" si="3"/>
        <v>40997</v>
      </c>
      <c r="T81" s="270"/>
      <c r="U81" s="270">
        <f>IFERROR(VLOOKUP($A81,GeneratingCapabilityList!$E$7:$O$1673,11,FALSE),"ID Not Found")</f>
        <v>40997</v>
      </c>
      <c r="V81" s="271" t="str">
        <f>IFERROR(VLOOKUP($A81,GeneratingCapabilityList!$E$7:$O$1673,6,FALSE),"UNKNOWN")</f>
        <v>WIND</v>
      </c>
      <c r="W81" s="271">
        <f>IFERROR(VLOOKUP($A81,GeneratingCapabilityList!$E$7:$O$1673,3,FALSE),"ID Not Found")</f>
        <v>102</v>
      </c>
      <c r="Y81" s="270"/>
    </row>
    <row r="82" spans="1:25">
      <c r="A82" s="241" t="s">
        <v>2932</v>
      </c>
      <c r="B82" s="241" t="s">
        <v>3361</v>
      </c>
      <c r="C82" s="241" t="s">
        <v>3396</v>
      </c>
      <c r="D82" s="242">
        <v>490</v>
      </c>
      <c r="E82" s="242">
        <v>490</v>
      </c>
      <c r="F82" s="242">
        <v>490</v>
      </c>
      <c r="G82" s="242">
        <v>490</v>
      </c>
      <c r="H82" s="242">
        <v>490</v>
      </c>
      <c r="I82" s="242">
        <v>490</v>
      </c>
      <c r="J82" s="242">
        <v>490</v>
      </c>
      <c r="K82" s="242">
        <v>490</v>
      </c>
      <c r="L82" s="242">
        <v>490</v>
      </c>
      <c r="M82" s="242">
        <v>490</v>
      </c>
      <c r="N82" s="242">
        <v>490</v>
      </c>
      <c r="O82" s="242">
        <v>490</v>
      </c>
      <c r="P82" s="241" t="s">
        <v>3352</v>
      </c>
      <c r="Q82" s="241" t="s">
        <v>3347</v>
      </c>
      <c r="R82" s="243" t="s">
        <v>4561</v>
      </c>
      <c r="S82" s="270">
        <f t="shared" si="3"/>
        <v>40340</v>
      </c>
      <c r="T82" s="270"/>
      <c r="U82" s="270">
        <f>IFERROR(VLOOKUP($A82,GeneratingCapabilityList!$E$7:$O$1673,11,FALSE),"ID Not Found")</f>
        <v>40340</v>
      </c>
      <c r="V82" s="271" t="str">
        <f>IFERROR(VLOOKUP($A82,GeneratingCapabilityList!$E$7:$O$1673,6,FALSE),"UNKNOWN")</f>
        <v>THERMAL</v>
      </c>
      <c r="W82" s="271">
        <f>IFERROR(VLOOKUP($A82,GeneratingCapabilityList!$E$7:$O$1673,3,FALSE),"ID Not Found")</f>
        <v>493</v>
      </c>
      <c r="Y82" s="270"/>
    </row>
    <row r="83" spans="1:25">
      <c r="A83" s="241" t="s">
        <v>1142</v>
      </c>
      <c r="B83" s="241" t="s">
        <v>3375</v>
      </c>
      <c r="C83" s="241" t="s">
        <v>3397</v>
      </c>
      <c r="D83" s="242">
        <v>0.47</v>
      </c>
      <c r="E83" s="242">
        <v>0.62</v>
      </c>
      <c r="F83" s="242">
        <v>0.78</v>
      </c>
      <c r="G83" s="242">
        <v>1</v>
      </c>
      <c r="H83" s="242">
        <v>1.08</v>
      </c>
      <c r="I83" s="242">
        <v>0.99</v>
      </c>
      <c r="J83" s="242">
        <v>1.1200000000000001</v>
      </c>
      <c r="K83" s="242">
        <v>1.1200000000000001</v>
      </c>
      <c r="L83" s="242">
        <v>0.54</v>
      </c>
      <c r="M83" s="242">
        <v>0.44</v>
      </c>
      <c r="N83" s="242">
        <v>0.45</v>
      </c>
      <c r="O83" s="242">
        <v>0.39</v>
      </c>
      <c r="P83" s="241" t="s">
        <v>3345</v>
      </c>
      <c r="Q83" s="241" t="s">
        <v>3347</v>
      </c>
      <c r="R83" s="243" t="s">
        <v>4561</v>
      </c>
      <c r="S83" s="270">
        <f t="shared" si="3"/>
        <v>31048</v>
      </c>
      <c r="T83" s="270"/>
      <c r="U83" s="270">
        <f>IFERROR(VLOOKUP($A83,GeneratingCapabilityList!$E$7:$O$1673,11,FALSE),"ID Not Found")</f>
        <v>31048</v>
      </c>
      <c r="V83" s="271" t="str">
        <f>IFERROR(VLOOKUP($A83,GeneratingCapabilityList!$E$7:$O$1673,6,FALSE),"UNKNOWN")</f>
        <v>HYDRO</v>
      </c>
      <c r="W83" s="271">
        <f>IFERROR(VLOOKUP($A83,GeneratingCapabilityList!$E$7:$O$1673,3,FALSE),"ID Not Found")</f>
        <v>1.3</v>
      </c>
      <c r="Y83" s="270"/>
    </row>
    <row r="84" spans="1:25">
      <c r="A84" s="241" t="s">
        <v>248</v>
      </c>
      <c r="B84" s="241" t="s">
        <v>3375</v>
      </c>
      <c r="C84" s="241" t="s">
        <v>3398</v>
      </c>
      <c r="D84" s="242">
        <v>58</v>
      </c>
      <c r="E84" s="242">
        <v>58</v>
      </c>
      <c r="F84" s="242">
        <v>58</v>
      </c>
      <c r="G84" s="242">
        <v>58</v>
      </c>
      <c r="H84" s="242">
        <v>58</v>
      </c>
      <c r="I84" s="242">
        <v>58</v>
      </c>
      <c r="J84" s="242">
        <v>58</v>
      </c>
      <c r="K84" s="242">
        <v>58</v>
      </c>
      <c r="L84" s="242">
        <v>58</v>
      </c>
      <c r="M84" s="242">
        <v>58</v>
      </c>
      <c r="N84" s="242">
        <v>58</v>
      </c>
      <c r="O84" s="242">
        <v>58</v>
      </c>
      <c r="P84" s="241" t="s">
        <v>3345</v>
      </c>
      <c r="Q84" s="241" t="s">
        <v>3347</v>
      </c>
      <c r="R84" s="243" t="s">
        <v>4561</v>
      </c>
      <c r="S84" s="270">
        <f t="shared" si="3"/>
        <v>10228</v>
      </c>
      <c r="T84" s="270"/>
      <c r="U84" s="270">
        <f>IFERROR(VLOOKUP($A84,GeneratingCapabilityList!$E$7:$O$1673,11,FALSE),"ID Not Found")</f>
        <v>10228</v>
      </c>
      <c r="V84" s="271" t="str">
        <f>IFERROR(VLOOKUP($A84,GeneratingCapabilityList!$E$7:$O$1673,6,FALSE),"UNKNOWN")</f>
        <v>HYDRO</v>
      </c>
      <c r="W84" s="271">
        <f>IFERROR(VLOOKUP($A84,GeneratingCapabilityList!$E$7:$O$1673,3,FALSE),"ID Not Found")</f>
        <v>59</v>
      </c>
      <c r="Y84" s="270"/>
    </row>
    <row r="85" spans="1:25">
      <c r="A85" s="241" t="s">
        <v>3092</v>
      </c>
      <c r="B85" s="241" t="s">
        <v>3327</v>
      </c>
      <c r="C85" s="241" t="s">
        <v>4582</v>
      </c>
      <c r="D85" s="242">
        <v>0.02</v>
      </c>
      <c r="E85" s="242">
        <v>0.19</v>
      </c>
      <c r="F85" s="242">
        <v>0.44</v>
      </c>
      <c r="G85" s="242">
        <v>1.44</v>
      </c>
      <c r="H85" s="242">
        <v>1.76</v>
      </c>
      <c r="I85" s="242">
        <v>2.08</v>
      </c>
      <c r="J85" s="242">
        <v>2.0299999999999998</v>
      </c>
      <c r="K85" s="242">
        <v>1.95</v>
      </c>
      <c r="L85" s="242">
        <v>1.77</v>
      </c>
      <c r="M85" s="242">
        <v>1.1200000000000001</v>
      </c>
      <c r="N85" s="242">
        <v>0.15</v>
      </c>
      <c r="O85" s="242">
        <v>0.06</v>
      </c>
      <c r="P85" s="241" t="s">
        <v>3352</v>
      </c>
      <c r="Q85" s="241" t="s">
        <v>3347</v>
      </c>
      <c r="R85" s="243" t="s">
        <v>4562</v>
      </c>
      <c r="S85" s="270">
        <f t="shared" si="3"/>
        <v>41001</v>
      </c>
      <c r="T85" s="270"/>
      <c r="U85" s="270">
        <f>IFERROR(VLOOKUP($A85,GeneratingCapabilityList!$E$7:$O$1673,11,FALSE),"ID Not Found")</f>
        <v>41001</v>
      </c>
      <c r="V85" s="271" t="str">
        <f>IFERROR(VLOOKUP($A85,GeneratingCapabilityList!$E$7:$O$1673,6,FALSE),"UNKNOWN")</f>
        <v>SOLAR</v>
      </c>
      <c r="W85" s="271">
        <f>IFERROR(VLOOKUP($A85,GeneratingCapabilityList!$E$7:$O$1673,3,FALSE),"ID Not Found")</f>
        <v>2.4</v>
      </c>
      <c r="Y85" s="270"/>
    </row>
    <row r="86" spans="1:25">
      <c r="A86" s="241" t="s">
        <v>4583</v>
      </c>
      <c r="B86" s="241" t="s">
        <v>3327</v>
      </c>
      <c r="C86" s="241" t="s">
        <v>4584</v>
      </c>
      <c r="D86" s="242">
        <v>0.38</v>
      </c>
      <c r="E86" s="242">
        <v>1.77</v>
      </c>
      <c r="F86" s="242">
        <v>3.78</v>
      </c>
      <c r="G86" s="242">
        <v>3.3</v>
      </c>
      <c r="H86" s="242">
        <v>5.72</v>
      </c>
      <c r="I86" s="242">
        <v>6.56</v>
      </c>
      <c r="J86" s="242">
        <v>3.32</v>
      </c>
      <c r="K86" s="242">
        <v>2.5299999999999998</v>
      </c>
      <c r="L86" s="242">
        <v>1.22</v>
      </c>
      <c r="M86" s="242">
        <v>1.32</v>
      </c>
      <c r="N86" s="242">
        <v>1.1499999999999999</v>
      </c>
      <c r="O86" s="242">
        <v>1.05</v>
      </c>
      <c r="P86" s="241" t="s">
        <v>3352</v>
      </c>
      <c r="Q86" s="241" t="s">
        <v>3347</v>
      </c>
      <c r="R86" s="243" t="s">
        <v>4562</v>
      </c>
      <c r="S86" s="270">
        <f>Scenarios!$B$55</f>
        <v>36526</v>
      </c>
      <c r="T86" s="270" t="s">
        <v>4798</v>
      </c>
      <c r="U86" s="270" t="str">
        <f>IFERROR(VLOOKUP($A86,GeneratingCapabilityList!$E$7:$O$1673,11,FALSE),"ID Not Found")</f>
        <v>ID Not Found</v>
      </c>
      <c r="V86" s="271" t="str">
        <f>IFERROR(VLOOKUP($A86,GeneratingCapabilityList!$E$7:$O$1673,6,FALSE),"UNKNOWN")</f>
        <v>UNKNOWN</v>
      </c>
      <c r="W86" s="271" t="str">
        <f>IFERROR(VLOOKUP($A86,GeneratingCapabilityList!$E$7:$O$1673,3,FALSE),"ID Not Found")</f>
        <v>ID Not Found</v>
      </c>
      <c r="Y86" s="270"/>
    </row>
    <row r="87" spans="1:25">
      <c r="A87" s="241" t="s">
        <v>2669</v>
      </c>
      <c r="B87" s="241" t="s">
        <v>3327</v>
      </c>
      <c r="C87" s="241" t="s">
        <v>2671</v>
      </c>
      <c r="D87" s="242">
        <v>0.04</v>
      </c>
      <c r="E87" s="242">
        <v>0.16</v>
      </c>
      <c r="F87" s="242">
        <v>0.41</v>
      </c>
      <c r="G87" s="242">
        <v>0.15</v>
      </c>
      <c r="H87" s="242">
        <v>0.48</v>
      </c>
      <c r="I87" s="242">
        <v>0.62</v>
      </c>
      <c r="J87" s="242">
        <v>0.25</v>
      </c>
      <c r="K87" s="242">
        <v>0.15</v>
      </c>
      <c r="L87" s="242">
        <v>0.06</v>
      </c>
      <c r="M87" s="242">
        <v>0.08</v>
      </c>
      <c r="N87" s="242">
        <v>0.1</v>
      </c>
      <c r="O87" s="242">
        <v>0.06</v>
      </c>
      <c r="P87" s="241" t="s">
        <v>3352</v>
      </c>
      <c r="Q87" s="241" t="s">
        <v>3347</v>
      </c>
      <c r="R87" s="243" t="s">
        <v>4562</v>
      </c>
      <c r="S87" s="270">
        <f t="shared" si="3"/>
        <v>37985</v>
      </c>
      <c r="T87" s="270"/>
      <c r="U87" s="270">
        <f>IFERROR(VLOOKUP($A87,GeneratingCapabilityList!$E$7:$O$1673,11,FALSE),"ID Not Found")</f>
        <v>37985</v>
      </c>
      <c r="V87" s="271" t="str">
        <f>IFERROR(VLOOKUP($A87,GeneratingCapabilityList!$E$7:$O$1673,6,FALSE),"UNKNOWN")</f>
        <v>WIND</v>
      </c>
      <c r="W87" s="271">
        <f>IFERROR(VLOOKUP($A87,GeneratingCapabilityList!$E$7:$O$1673,3,FALSE),"ID Not Found")</f>
        <v>1.32</v>
      </c>
      <c r="Y87" s="270"/>
    </row>
    <row r="88" spans="1:25">
      <c r="A88" s="241" t="s">
        <v>1235</v>
      </c>
      <c r="B88" s="241" t="s">
        <v>3349</v>
      </c>
      <c r="C88" s="241" t="s">
        <v>1236</v>
      </c>
      <c r="D88" s="242">
        <v>0</v>
      </c>
      <c r="E88" s="242">
        <v>0</v>
      </c>
      <c r="F88" s="242">
        <v>0</v>
      </c>
      <c r="G88" s="242">
        <v>0.02</v>
      </c>
      <c r="H88" s="242">
        <v>0.04</v>
      </c>
      <c r="I88" s="242">
        <v>0.06</v>
      </c>
      <c r="J88" s="242">
        <v>0.03</v>
      </c>
      <c r="K88" s="242">
        <v>0.03</v>
      </c>
      <c r="L88" s="242">
        <v>0.04</v>
      </c>
      <c r="M88" s="242">
        <v>0.04</v>
      </c>
      <c r="N88" s="242">
        <v>0</v>
      </c>
      <c r="O88" s="242">
        <v>0</v>
      </c>
      <c r="P88" s="241" t="s">
        <v>3345</v>
      </c>
      <c r="Q88" s="241" t="s">
        <v>3347</v>
      </c>
      <c r="R88" s="243" t="s">
        <v>4562</v>
      </c>
      <c r="S88" s="270">
        <f t="shared" si="3"/>
        <v>31372</v>
      </c>
      <c r="T88" s="270"/>
      <c r="U88" s="270">
        <f>IFERROR(VLOOKUP($A88,GeneratingCapabilityList!$E$7:$O$1673,11,FALSE),"ID Not Found")</f>
        <v>31372</v>
      </c>
      <c r="V88" s="271" t="str">
        <f>IFERROR(VLOOKUP($A88,GeneratingCapabilityList!$E$7:$O$1673,6,FALSE),"UNKNOWN")</f>
        <v>COGENERATION</v>
      </c>
      <c r="W88" s="271">
        <f>IFERROR(VLOOKUP($A88,GeneratingCapabilityList!$E$7:$O$1673,3,FALSE),"ID Not Found")</f>
        <v>2.8</v>
      </c>
      <c r="Y88" s="270"/>
    </row>
    <row r="89" spans="1:25">
      <c r="A89" s="241" t="s">
        <v>1878</v>
      </c>
      <c r="B89" s="241" t="s">
        <v>3361</v>
      </c>
      <c r="C89" s="241" t="s">
        <v>3399</v>
      </c>
      <c r="D89" s="242">
        <v>27.44</v>
      </c>
      <c r="E89" s="242">
        <v>27.4</v>
      </c>
      <c r="F89" s="242">
        <v>22.81</v>
      </c>
      <c r="G89" s="242">
        <v>26.13</v>
      </c>
      <c r="H89" s="242">
        <v>27.65</v>
      </c>
      <c r="I89" s="242">
        <v>27.22</v>
      </c>
      <c r="J89" s="242">
        <v>28.45</v>
      </c>
      <c r="K89" s="242">
        <v>28.5</v>
      </c>
      <c r="L89" s="242">
        <v>26.22</v>
      </c>
      <c r="M89" s="242">
        <v>28.06</v>
      </c>
      <c r="N89" s="242">
        <v>26</v>
      </c>
      <c r="O89" s="242">
        <v>26</v>
      </c>
      <c r="P89" s="241" t="s">
        <v>3345</v>
      </c>
      <c r="Q89" s="241" t="s">
        <v>3347</v>
      </c>
      <c r="R89" s="243" t="s">
        <v>4562</v>
      </c>
      <c r="S89" s="270">
        <f t="shared" si="3"/>
        <v>32798</v>
      </c>
      <c r="T89" s="270"/>
      <c r="U89" s="270">
        <f>IFERROR(VLOOKUP($A89,GeneratingCapabilityList!$E$7:$O$1673,11,FALSE),"ID Not Found")</f>
        <v>32798</v>
      </c>
      <c r="V89" s="271" t="str">
        <f>IFERROR(VLOOKUP($A89,GeneratingCapabilityList!$E$7:$O$1673,6,FALSE),"UNKNOWN")</f>
        <v>BIOMASS</v>
      </c>
      <c r="W89" s="271">
        <f>IFERROR(VLOOKUP($A89,GeneratingCapabilityList!$E$7:$O$1673,3,FALSE),"ID Not Found")</f>
        <v>35.700000000000003</v>
      </c>
      <c r="Y89" s="270"/>
    </row>
    <row r="90" spans="1:25">
      <c r="A90" s="241" t="s">
        <v>398</v>
      </c>
      <c r="B90" s="241" t="s">
        <v>3361</v>
      </c>
      <c r="C90" s="241" t="s">
        <v>3400</v>
      </c>
      <c r="D90" s="242">
        <v>41</v>
      </c>
      <c r="E90" s="242">
        <v>41</v>
      </c>
      <c r="F90" s="242">
        <v>41</v>
      </c>
      <c r="G90" s="242">
        <v>41</v>
      </c>
      <c r="H90" s="242">
        <v>41</v>
      </c>
      <c r="I90" s="242">
        <v>41</v>
      </c>
      <c r="J90" s="242">
        <v>41</v>
      </c>
      <c r="K90" s="242">
        <v>41</v>
      </c>
      <c r="L90" s="242">
        <v>41</v>
      </c>
      <c r="M90" s="242">
        <v>41</v>
      </c>
      <c r="N90" s="242">
        <v>41</v>
      </c>
      <c r="O90" s="242">
        <v>41</v>
      </c>
      <c r="P90" s="241" t="s">
        <v>3345</v>
      </c>
      <c r="Q90" s="241" t="s">
        <v>3347</v>
      </c>
      <c r="R90" s="243" t="s">
        <v>4561</v>
      </c>
      <c r="S90" s="270">
        <f t="shared" si="3"/>
        <v>21186</v>
      </c>
      <c r="T90" s="270"/>
      <c r="U90" s="270">
        <f>IFERROR(VLOOKUP($A90,GeneratingCapabilityList!$E$7:$O$1673,11,FALSE),"ID Not Found")</f>
        <v>21186</v>
      </c>
      <c r="V90" s="271" t="str">
        <f>IFERROR(VLOOKUP($A90,GeneratingCapabilityList!$E$7:$O$1673,6,FALSE),"UNKNOWN")</f>
        <v>HYDRO</v>
      </c>
      <c r="W90" s="271">
        <f>IFERROR(VLOOKUP($A90,GeneratingCapabilityList!$E$7:$O$1673,3,FALSE),"ID Not Found")</f>
        <v>41</v>
      </c>
      <c r="Y90" s="270"/>
    </row>
    <row r="91" spans="1:25">
      <c r="A91" s="241" t="s">
        <v>2550</v>
      </c>
      <c r="B91" s="241" t="s">
        <v>3327</v>
      </c>
      <c r="C91" s="241" t="s">
        <v>2551</v>
      </c>
      <c r="D91" s="242">
        <v>2.35</v>
      </c>
      <c r="E91" s="242">
        <v>5.56</v>
      </c>
      <c r="F91" s="242">
        <v>14.02</v>
      </c>
      <c r="G91" s="242">
        <v>11.33</v>
      </c>
      <c r="H91" s="242">
        <v>21.49</v>
      </c>
      <c r="I91" s="242">
        <v>22.17</v>
      </c>
      <c r="J91" s="242">
        <v>12.58</v>
      </c>
      <c r="K91" s="242">
        <v>11.34</v>
      </c>
      <c r="L91" s="242">
        <v>3.33</v>
      </c>
      <c r="M91" s="242">
        <v>4.8499999999999996</v>
      </c>
      <c r="N91" s="242">
        <v>4.13</v>
      </c>
      <c r="O91" s="242">
        <v>3.01</v>
      </c>
      <c r="P91" s="241" t="s">
        <v>3352</v>
      </c>
      <c r="Q91" s="241" t="s">
        <v>3347</v>
      </c>
      <c r="R91" s="243" t="s">
        <v>4562</v>
      </c>
      <c r="S91" s="270">
        <f t="shared" si="3"/>
        <v>37499</v>
      </c>
      <c r="T91" s="270"/>
      <c r="U91" s="270">
        <f>IFERROR(VLOOKUP($A91,GeneratingCapabilityList!$E$7:$O$1673,11,FALSE),"ID Not Found")</f>
        <v>37499</v>
      </c>
      <c r="V91" s="271" t="str">
        <f>IFERROR(VLOOKUP($A91,GeneratingCapabilityList!$E$7:$O$1673,6,FALSE),"UNKNOWN")</f>
        <v>WIND</v>
      </c>
      <c r="W91" s="271">
        <f>IFERROR(VLOOKUP($A91,GeneratingCapabilityList!$E$7:$O$1673,3,FALSE),"ID Not Found")</f>
        <v>41</v>
      </c>
      <c r="Y91" s="270"/>
    </row>
    <row r="92" spans="1:25">
      <c r="A92" s="241" t="s">
        <v>1574</v>
      </c>
      <c r="B92" s="241" t="s">
        <v>3361</v>
      </c>
      <c r="C92" s="241" t="s">
        <v>3401</v>
      </c>
      <c r="D92" s="242">
        <v>67.86</v>
      </c>
      <c r="E92" s="242">
        <v>66.08</v>
      </c>
      <c r="F92" s="242">
        <v>64.31</v>
      </c>
      <c r="G92" s="242">
        <v>61.33</v>
      </c>
      <c r="H92" s="242">
        <v>60.13</v>
      </c>
      <c r="I92" s="242">
        <v>61.05</v>
      </c>
      <c r="J92" s="242">
        <v>60.15</v>
      </c>
      <c r="K92" s="242">
        <v>60.05</v>
      </c>
      <c r="L92" s="242">
        <v>59.85</v>
      </c>
      <c r="M92" s="242">
        <v>55.9</v>
      </c>
      <c r="N92" s="242">
        <v>63.39</v>
      </c>
      <c r="O92" s="242">
        <v>66.05</v>
      </c>
      <c r="P92" s="241" t="s">
        <v>3352</v>
      </c>
      <c r="Q92" s="241" t="s">
        <v>3347</v>
      </c>
      <c r="R92" s="243" t="s">
        <v>4562</v>
      </c>
      <c r="S92" s="270">
        <f t="shared" si="3"/>
        <v>31971</v>
      </c>
      <c r="T92" s="270"/>
      <c r="U92" s="270">
        <f>IFERROR(VLOOKUP($A92,GeneratingCapabilityList!$E$7:$O$1673,11,FALSE),"ID Not Found")</f>
        <v>31971</v>
      </c>
      <c r="V92" s="271" t="str">
        <f>IFERROR(VLOOKUP($A92,GeneratingCapabilityList!$E$7:$O$1673,6,FALSE),"UNKNOWN")</f>
        <v>GEOTHERMAL</v>
      </c>
      <c r="W92" s="271">
        <f>IFERROR(VLOOKUP($A92,GeneratingCapabilityList!$E$7:$O$1673,3,FALSE),"ID Not Found")</f>
        <v>92.2</v>
      </c>
      <c r="Y92" s="270"/>
    </row>
    <row r="93" spans="1:25">
      <c r="A93" s="241" t="s">
        <v>2036</v>
      </c>
      <c r="B93" s="241" t="s">
        <v>3324</v>
      </c>
      <c r="C93" s="241" t="s">
        <v>4585</v>
      </c>
      <c r="D93" s="242">
        <v>28</v>
      </c>
      <c r="E93" s="242">
        <v>28</v>
      </c>
      <c r="F93" s="242">
        <v>28</v>
      </c>
      <c r="G93" s="242">
        <v>28</v>
      </c>
      <c r="H93" s="242">
        <v>28</v>
      </c>
      <c r="I93" s="242">
        <v>28</v>
      </c>
      <c r="J93" s="242">
        <v>28</v>
      </c>
      <c r="K93" s="242">
        <v>28</v>
      </c>
      <c r="L93" s="242">
        <v>28</v>
      </c>
      <c r="M93" s="242">
        <v>28</v>
      </c>
      <c r="N93" s="242">
        <v>28</v>
      </c>
      <c r="O93" s="242">
        <v>28</v>
      </c>
      <c r="P93" s="241" t="s">
        <v>3345</v>
      </c>
      <c r="Q93" s="241" t="s">
        <v>3347</v>
      </c>
      <c r="R93" s="243" t="s">
        <v>4561</v>
      </c>
      <c r="S93" s="270">
        <f t="shared" si="3"/>
        <v>33165</v>
      </c>
      <c r="T93" s="270"/>
      <c r="U93" s="270">
        <f>IFERROR(VLOOKUP($A93,GeneratingCapabilityList!$E$7:$O$1673,11,FALSE),"ID Not Found")</f>
        <v>33165</v>
      </c>
      <c r="V93" s="271" t="str">
        <f>IFERROR(VLOOKUP($A93,GeneratingCapabilityList!$E$7:$O$1673,6,FALSE),"UNKNOWN")</f>
        <v>COGENERATION</v>
      </c>
      <c r="W93" s="271">
        <f>IFERROR(VLOOKUP($A93,GeneratingCapabilityList!$E$7:$O$1673,3,FALSE),"ID Not Found")</f>
        <v>41.5</v>
      </c>
      <c r="Y93" s="270"/>
    </row>
    <row r="94" spans="1:25">
      <c r="A94" s="241" t="s">
        <v>843</v>
      </c>
      <c r="B94" s="241" t="s">
        <v>3373</v>
      </c>
      <c r="C94" s="241" t="s">
        <v>4586</v>
      </c>
      <c r="D94" s="242">
        <v>3.7</v>
      </c>
      <c r="E94" s="242">
        <v>2.87</v>
      </c>
      <c r="F94" s="242">
        <v>4.2699999999999996</v>
      </c>
      <c r="G94" s="242">
        <v>5.2</v>
      </c>
      <c r="H94" s="242">
        <v>7.35</v>
      </c>
      <c r="I94" s="242">
        <v>6.68</v>
      </c>
      <c r="J94" s="242">
        <v>6.67</v>
      </c>
      <c r="K94" s="242">
        <v>4.33</v>
      </c>
      <c r="L94" s="242">
        <v>3.06</v>
      </c>
      <c r="M94" s="242">
        <v>4.5599999999999996</v>
      </c>
      <c r="N94" s="242">
        <v>2.89</v>
      </c>
      <c r="O94" s="242">
        <v>4.25</v>
      </c>
      <c r="P94" s="241" t="s">
        <v>3345</v>
      </c>
      <c r="Q94" s="241" t="s">
        <v>3347</v>
      </c>
      <c r="R94" s="243" t="s">
        <v>4562</v>
      </c>
      <c r="S94" s="270">
        <f t="shared" si="3"/>
        <v>30317</v>
      </c>
      <c r="T94" s="270"/>
      <c r="U94" s="270">
        <f>IFERROR(VLOOKUP($A94,GeneratingCapabilityList!$E$7:$O$1673,11,FALSE),"ID Not Found")</f>
        <v>30317</v>
      </c>
      <c r="V94" s="271" t="str">
        <f>IFERROR(VLOOKUP($A94,GeneratingCapabilityList!$E$7:$O$1673,6,FALSE),"UNKNOWN")</f>
        <v>HYDRO</v>
      </c>
      <c r="W94" s="271">
        <f>IFERROR(VLOOKUP($A94,GeneratingCapabilityList!$E$7:$O$1673,3,FALSE),"ID Not Found")</f>
        <v>9.99</v>
      </c>
      <c r="Y94" s="270"/>
    </row>
    <row r="95" spans="1:25">
      <c r="A95" s="241" t="s">
        <v>1123</v>
      </c>
      <c r="B95" s="241" t="s">
        <v>3375</v>
      </c>
      <c r="C95" s="241" t="s">
        <v>4587</v>
      </c>
      <c r="D95" s="242">
        <v>2.42</v>
      </c>
      <c r="E95" s="242">
        <v>2.56</v>
      </c>
      <c r="F95" s="242">
        <v>4.7300000000000004</v>
      </c>
      <c r="G95" s="242">
        <v>6.11</v>
      </c>
      <c r="H95" s="242">
        <v>6.43</v>
      </c>
      <c r="I95" s="242">
        <v>4.63</v>
      </c>
      <c r="J95" s="242">
        <v>4.55</v>
      </c>
      <c r="K95" s="242">
        <v>3.8</v>
      </c>
      <c r="L95" s="242">
        <v>0.86</v>
      </c>
      <c r="M95" s="242">
        <v>0</v>
      </c>
      <c r="N95" s="242">
        <v>0.47</v>
      </c>
      <c r="O95" s="242">
        <v>4.46</v>
      </c>
      <c r="P95" s="241" t="s">
        <v>3345</v>
      </c>
      <c r="Q95" s="241" t="s">
        <v>3347</v>
      </c>
      <c r="R95" s="243" t="s">
        <v>4561</v>
      </c>
      <c r="S95" s="270">
        <f t="shared" si="3"/>
        <v>31048</v>
      </c>
      <c r="T95" s="270"/>
      <c r="U95" s="270">
        <f>IFERROR(VLOOKUP($A95,GeneratingCapabilityList!$E$7:$O$1673,11,FALSE),"ID Not Found")</f>
        <v>31048</v>
      </c>
      <c r="V95" s="271" t="str">
        <f>IFERROR(VLOOKUP($A95,GeneratingCapabilityList!$E$7:$O$1673,6,FALSE),"UNKNOWN")</f>
        <v>HYDRO</v>
      </c>
      <c r="W95" s="271">
        <f>IFERROR(VLOOKUP($A95,GeneratingCapabilityList!$E$7:$O$1673,3,FALSE),"ID Not Found")</f>
        <v>8</v>
      </c>
      <c r="Y95" s="270"/>
    </row>
    <row r="96" spans="1:25">
      <c r="A96" s="241" t="s">
        <v>4433</v>
      </c>
      <c r="B96" s="245" t="s">
        <v>3349</v>
      </c>
      <c r="C96" s="241" t="s">
        <v>4588</v>
      </c>
      <c r="D96" s="249" t="s">
        <v>4573</v>
      </c>
      <c r="E96" s="249" t="s">
        <v>4573</v>
      </c>
      <c r="F96" s="249" t="s">
        <v>4573</v>
      </c>
      <c r="G96" s="249" t="s">
        <v>4573</v>
      </c>
      <c r="H96" s="249" t="s">
        <v>4573</v>
      </c>
      <c r="I96" s="249" t="s">
        <v>4573</v>
      </c>
      <c r="J96" s="249" t="s">
        <v>4573</v>
      </c>
      <c r="K96" s="249" t="s">
        <v>4573</v>
      </c>
      <c r="L96" s="249" t="s">
        <v>4573</v>
      </c>
      <c r="M96" s="249" t="s">
        <v>4573</v>
      </c>
      <c r="N96" s="249" t="s">
        <v>4573</v>
      </c>
      <c r="O96" s="249" t="s">
        <v>4573</v>
      </c>
      <c r="P96" s="245" t="s">
        <v>3345</v>
      </c>
      <c r="Q96" s="245" t="s">
        <v>3385</v>
      </c>
      <c r="R96" s="243" t="s">
        <v>4562</v>
      </c>
      <c r="S96" s="270">
        <f t="shared" si="3"/>
        <v>41115</v>
      </c>
      <c r="T96" s="270"/>
      <c r="U96" s="270">
        <f>IFERROR(VLOOKUP($A96,GeneratingCapabilityList!$E$7:$O$1673,11,FALSE),"ID Not Found")</f>
        <v>41115</v>
      </c>
      <c r="V96" s="271" t="str">
        <f>IFERROR(VLOOKUP($A96,GeneratingCapabilityList!$E$7:$O$1673,6,FALSE),"UNKNOWN")</f>
        <v>SOLAR</v>
      </c>
      <c r="W96" s="271">
        <f>IFERROR(VLOOKUP($A96,GeneratingCapabilityList!$E$7:$O$1673,3,FALSE),"ID Not Found")</f>
        <v>20</v>
      </c>
      <c r="Y96" s="270"/>
    </row>
    <row r="97" spans="1:25">
      <c r="A97" s="241" t="s">
        <v>2318</v>
      </c>
      <c r="B97" s="241" t="s">
        <v>3349</v>
      </c>
      <c r="C97" s="241" t="s">
        <v>3402</v>
      </c>
      <c r="D97" s="242">
        <v>17</v>
      </c>
      <c r="E97" s="242">
        <v>17</v>
      </c>
      <c r="F97" s="242">
        <v>17</v>
      </c>
      <c r="G97" s="242">
        <v>17</v>
      </c>
      <c r="H97" s="242">
        <v>17</v>
      </c>
      <c r="I97" s="242">
        <v>17</v>
      </c>
      <c r="J97" s="242">
        <v>17</v>
      </c>
      <c r="K97" s="242">
        <v>17</v>
      </c>
      <c r="L97" s="242">
        <v>17</v>
      </c>
      <c r="M97" s="242">
        <v>17</v>
      </c>
      <c r="N97" s="242">
        <v>17</v>
      </c>
      <c r="O97" s="242">
        <v>17</v>
      </c>
      <c r="P97" s="241" t="s">
        <v>3345</v>
      </c>
      <c r="Q97" s="241" t="s">
        <v>3347</v>
      </c>
      <c r="R97" s="243" t="s">
        <v>4561</v>
      </c>
      <c r="S97" s="270">
        <f t="shared" si="3"/>
        <v>37027</v>
      </c>
      <c r="T97" s="270"/>
      <c r="U97" s="270">
        <f>IFERROR(VLOOKUP($A97,GeneratingCapabilityList!$E$7:$O$1673,11,FALSE),"ID Not Found")</f>
        <v>37027</v>
      </c>
      <c r="V97" s="271" t="str">
        <f>IFERROR(VLOOKUP($A97,GeneratingCapabilityList!$E$7:$O$1673,6,FALSE),"UNKNOWN")</f>
        <v>BIOMASS</v>
      </c>
      <c r="W97" s="271">
        <f>IFERROR(VLOOKUP($A97,GeneratingCapabilityList!$E$7:$O$1673,3,FALSE),"ID Not Found")</f>
        <v>24</v>
      </c>
      <c r="Y97" s="270"/>
    </row>
    <row r="98" spans="1:25">
      <c r="A98" s="241" t="s">
        <v>173</v>
      </c>
      <c r="B98" s="241" t="s">
        <v>3361</v>
      </c>
      <c r="C98" s="241" t="s">
        <v>3403</v>
      </c>
      <c r="D98" s="242">
        <v>48</v>
      </c>
      <c r="E98" s="242">
        <v>48</v>
      </c>
      <c r="F98" s="242">
        <v>48</v>
      </c>
      <c r="G98" s="242">
        <v>48</v>
      </c>
      <c r="H98" s="242">
        <v>48</v>
      </c>
      <c r="I98" s="242">
        <v>48</v>
      </c>
      <c r="J98" s="242">
        <v>48</v>
      </c>
      <c r="K98" s="242">
        <v>48</v>
      </c>
      <c r="L98" s="242">
        <v>48</v>
      </c>
      <c r="M98" s="242">
        <v>48</v>
      </c>
      <c r="N98" s="242">
        <v>48</v>
      </c>
      <c r="O98" s="242">
        <v>48</v>
      </c>
      <c r="P98" s="241" t="s">
        <v>3345</v>
      </c>
      <c r="Q98" s="241" t="s">
        <v>3347</v>
      </c>
      <c r="R98" s="243" t="s">
        <v>4561</v>
      </c>
      <c r="S98" s="270">
        <f t="shared" si="3"/>
        <v>7672</v>
      </c>
      <c r="T98" s="270"/>
      <c r="U98" s="270">
        <f>IFERROR(VLOOKUP($A98,GeneratingCapabilityList!$E$7:$O$1673,11,FALSE),"ID Not Found")</f>
        <v>7672</v>
      </c>
      <c r="V98" s="271" t="str">
        <f>IFERROR(VLOOKUP($A98,GeneratingCapabilityList!$E$7:$O$1673,6,FALSE),"UNKNOWN")</f>
        <v>HYDRO</v>
      </c>
      <c r="W98" s="271">
        <f>IFERROR(VLOOKUP($A98,GeneratingCapabilityList!$E$7:$O$1673,3,FALSE),"ID Not Found")</f>
        <v>49</v>
      </c>
      <c r="Y98" s="270"/>
    </row>
    <row r="99" spans="1:25">
      <c r="A99" s="241" t="s">
        <v>400</v>
      </c>
      <c r="B99" s="241" t="s">
        <v>3361</v>
      </c>
      <c r="C99" s="241" t="s">
        <v>3404</v>
      </c>
      <c r="D99" s="242">
        <v>120</v>
      </c>
      <c r="E99" s="242">
        <v>120</v>
      </c>
      <c r="F99" s="242">
        <v>120</v>
      </c>
      <c r="G99" s="242">
        <v>120</v>
      </c>
      <c r="H99" s="242">
        <v>120</v>
      </c>
      <c r="I99" s="242">
        <v>120</v>
      </c>
      <c r="J99" s="242">
        <v>120</v>
      </c>
      <c r="K99" s="242">
        <v>120</v>
      </c>
      <c r="L99" s="242">
        <v>120</v>
      </c>
      <c r="M99" s="242">
        <v>120</v>
      </c>
      <c r="N99" s="242">
        <v>120</v>
      </c>
      <c r="O99" s="242">
        <v>120</v>
      </c>
      <c r="P99" s="241" t="s">
        <v>3345</v>
      </c>
      <c r="Q99" s="241" t="s">
        <v>3347</v>
      </c>
      <c r="R99" s="243" t="s">
        <v>4561</v>
      </c>
      <c r="S99" s="270">
        <f t="shared" si="3"/>
        <v>21186</v>
      </c>
      <c r="T99" s="270"/>
      <c r="U99" s="270">
        <f>IFERROR(VLOOKUP($A99,GeneratingCapabilityList!$E$7:$O$1673,11,FALSE),"ID Not Found")</f>
        <v>21186</v>
      </c>
      <c r="V99" s="271" t="str">
        <f>IFERROR(VLOOKUP($A99,GeneratingCapabilityList!$E$7:$O$1673,6,FALSE),"UNKNOWN")</f>
        <v>HYDRO</v>
      </c>
      <c r="W99" s="271">
        <f>IFERROR(VLOOKUP($A99,GeneratingCapabilityList!$E$7:$O$1673,3,FALSE),"ID Not Found")</f>
        <v>122</v>
      </c>
      <c r="Y99" s="270"/>
    </row>
    <row r="100" spans="1:25">
      <c r="A100" s="241" t="s">
        <v>178</v>
      </c>
      <c r="B100" s="241" t="s">
        <v>3361</v>
      </c>
      <c r="C100" s="241" t="s">
        <v>3405</v>
      </c>
      <c r="D100" s="242">
        <v>24</v>
      </c>
      <c r="E100" s="242">
        <v>24</v>
      </c>
      <c r="F100" s="242">
        <v>24</v>
      </c>
      <c r="G100" s="242">
        <v>24</v>
      </c>
      <c r="H100" s="242">
        <v>24</v>
      </c>
      <c r="I100" s="242">
        <v>24</v>
      </c>
      <c r="J100" s="242">
        <v>24</v>
      </c>
      <c r="K100" s="242">
        <v>24</v>
      </c>
      <c r="L100" s="242">
        <v>24</v>
      </c>
      <c r="M100" s="242">
        <v>24</v>
      </c>
      <c r="N100" s="242">
        <v>24</v>
      </c>
      <c r="O100" s="242">
        <v>24</v>
      </c>
      <c r="P100" s="241" t="s">
        <v>3345</v>
      </c>
      <c r="Q100" s="241" t="s">
        <v>3347</v>
      </c>
      <c r="R100" s="243" t="s">
        <v>4561</v>
      </c>
      <c r="S100" s="270">
        <f t="shared" si="3"/>
        <v>7672</v>
      </c>
      <c r="T100" s="270"/>
      <c r="U100" s="270">
        <f>IFERROR(VLOOKUP($A100,GeneratingCapabilityList!$E$7:$O$1673,11,FALSE),"ID Not Found")</f>
        <v>7672</v>
      </c>
      <c r="V100" s="271" t="str">
        <f>IFERROR(VLOOKUP($A100,GeneratingCapabilityList!$E$7:$O$1673,6,FALSE),"UNKNOWN")</f>
        <v>HYDRO</v>
      </c>
      <c r="W100" s="271">
        <f>IFERROR(VLOOKUP($A100,GeneratingCapabilityList!$E$7:$O$1673,3,FALSE),"ID Not Found")</f>
        <v>24</v>
      </c>
      <c r="Y100" s="270"/>
    </row>
    <row r="101" spans="1:25">
      <c r="A101" s="241" t="s">
        <v>1659</v>
      </c>
      <c r="B101" s="241" t="s">
        <v>3324</v>
      </c>
      <c r="C101" s="241" t="s">
        <v>1660</v>
      </c>
      <c r="D101" s="242">
        <v>14.41</v>
      </c>
      <c r="E101" s="242">
        <v>14.13</v>
      </c>
      <c r="F101" s="242">
        <v>15.18</v>
      </c>
      <c r="G101" s="242">
        <v>14.07</v>
      </c>
      <c r="H101" s="242">
        <v>22.17</v>
      </c>
      <c r="I101" s="242">
        <v>21.26</v>
      </c>
      <c r="J101" s="242">
        <v>19.600000000000001</v>
      </c>
      <c r="K101" s="242">
        <v>20.98</v>
      </c>
      <c r="L101" s="242">
        <v>18.37</v>
      </c>
      <c r="M101" s="242">
        <v>19.920000000000002</v>
      </c>
      <c r="N101" s="242">
        <v>12.87</v>
      </c>
      <c r="O101" s="242">
        <v>16.47</v>
      </c>
      <c r="P101" s="241" t="s">
        <v>3345</v>
      </c>
      <c r="Q101" s="241" t="s">
        <v>3347</v>
      </c>
      <c r="R101" s="243" t="s">
        <v>4562</v>
      </c>
      <c r="S101" s="270">
        <f t="shared" si="3"/>
        <v>32193</v>
      </c>
      <c r="T101" s="270"/>
      <c r="U101" s="270">
        <f>IFERROR(VLOOKUP($A101,GeneratingCapabilityList!$E$7:$O$1673,11,FALSE),"ID Not Found")</f>
        <v>32193</v>
      </c>
      <c r="V101" s="271" t="str">
        <f>IFERROR(VLOOKUP($A101,GeneratingCapabilityList!$E$7:$O$1673,6,FALSE),"UNKNOWN")</f>
        <v>COGENERATION</v>
      </c>
      <c r="W101" s="271">
        <f>IFERROR(VLOOKUP($A101,GeneratingCapabilityList!$E$7:$O$1673,3,FALSE),"ID Not Found")</f>
        <v>57.3</v>
      </c>
      <c r="Y101" s="270"/>
    </row>
    <row r="102" spans="1:25">
      <c r="A102" s="241" t="s">
        <v>4436</v>
      </c>
      <c r="B102" s="241" t="s">
        <v>3361</v>
      </c>
      <c r="C102" s="241" t="s">
        <v>4437</v>
      </c>
      <c r="D102" s="242">
        <v>0.42</v>
      </c>
      <c r="E102" s="242">
        <v>3.99</v>
      </c>
      <c r="F102" s="242">
        <v>9.3000000000000007</v>
      </c>
      <c r="G102" s="242">
        <v>30.09</v>
      </c>
      <c r="H102" s="242">
        <v>36.72</v>
      </c>
      <c r="I102" s="242">
        <v>43.36</v>
      </c>
      <c r="J102" s="242">
        <v>42.4</v>
      </c>
      <c r="K102" s="242">
        <v>40.72</v>
      </c>
      <c r="L102" s="242">
        <v>37.049999999999997</v>
      </c>
      <c r="M102" s="242">
        <v>23.41</v>
      </c>
      <c r="N102" s="242">
        <v>3.23</v>
      </c>
      <c r="O102" s="242">
        <v>1.35</v>
      </c>
      <c r="P102" s="241" t="s">
        <v>3352</v>
      </c>
      <c r="Q102" s="245" t="s">
        <v>4563</v>
      </c>
      <c r="R102" s="243" t="s">
        <v>4562</v>
      </c>
      <c r="S102" s="270">
        <f t="shared" si="3"/>
        <v>41320</v>
      </c>
      <c r="T102" s="270"/>
      <c r="U102" s="270">
        <f>IFERROR(VLOOKUP($A102,GeneratingCapabilityList!$E$7:$O$1673,11,FALSE),"ID Not Found")</f>
        <v>41320</v>
      </c>
      <c r="V102" s="271" t="str">
        <f>IFERROR(VLOOKUP($A102,GeneratingCapabilityList!$E$7:$O$1673,6,FALSE),"UNKNOWN")</f>
        <v>SOLAR</v>
      </c>
      <c r="W102" s="271">
        <f>IFERROR(VLOOKUP($A102,GeneratingCapabilityList!$E$7:$O$1673,3,FALSE),"ID Not Found")</f>
        <v>110</v>
      </c>
      <c r="Y102" s="270"/>
    </row>
    <row r="103" spans="1:25">
      <c r="A103" s="241" t="s">
        <v>4428</v>
      </c>
      <c r="B103" s="245" t="s">
        <v>3361</v>
      </c>
      <c r="C103" s="241" t="s">
        <v>4429</v>
      </c>
      <c r="D103" s="242">
        <v>0.33</v>
      </c>
      <c r="E103" s="242">
        <v>3.19</v>
      </c>
      <c r="F103" s="242">
        <v>7.44</v>
      </c>
      <c r="G103" s="242">
        <v>24.07</v>
      </c>
      <c r="H103" s="242">
        <v>29.37</v>
      </c>
      <c r="I103" s="242">
        <v>34.69</v>
      </c>
      <c r="J103" s="242">
        <v>33.92</v>
      </c>
      <c r="K103" s="242">
        <v>32.57</v>
      </c>
      <c r="L103" s="242">
        <v>29.64</v>
      </c>
      <c r="M103" s="242">
        <v>18.73</v>
      </c>
      <c r="N103" s="242">
        <v>2.59</v>
      </c>
      <c r="O103" s="242">
        <v>1.08</v>
      </c>
      <c r="P103" s="245" t="s">
        <v>3345</v>
      </c>
      <c r="Q103" s="245" t="s">
        <v>4563</v>
      </c>
      <c r="R103" s="243" t="s">
        <v>4562</v>
      </c>
      <c r="S103" s="270">
        <f t="shared" si="3"/>
        <v>41282</v>
      </c>
      <c r="T103" s="270"/>
      <c r="U103" s="270">
        <f>IFERROR(VLOOKUP($A103,GeneratingCapabilityList!$E$7:$O$1673,11,FALSE),"ID Not Found")</f>
        <v>41282</v>
      </c>
      <c r="V103" s="271" t="str">
        <f>IFERROR(VLOOKUP($A103,GeneratingCapabilityList!$E$7:$O$1673,6,FALSE),"UNKNOWN")</f>
        <v>SOLAR</v>
      </c>
      <c r="W103" s="271">
        <f>IFERROR(VLOOKUP($A103,GeneratingCapabilityList!$E$7:$O$1673,3,FALSE),"ID Not Found")</f>
        <v>40</v>
      </c>
      <c r="Y103" s="270"/>
    </row>
    <row r="104" spans="1:25">
      <c r="A104" s="241" t="s">
        <v>4425</v>
      </c>
      <c r="B104" s="245" t="s">
        <v>3361</v>
      </c>
      <c r="C104" s="241" t="s">
        <v>4426</v>
      </c>
      <c r="D104" s="242">
        <v>0.73</v>
      </c>
      <c r="E104" s="242">
        <v>6.9</v>
      </c>
      <c r="F104" s="242">
        <v>16.11</v>
      </c>
      <c r="G104" s="242">
        <v>52.09</v>
      </c>
      <c r="H104" s="242">
        <v>63.56</v>
      </c>
      <c r="I104" s="242">
        <v>75.06</v>
      </c>
      <c r="J104" s="242">
        <v>73.400000000000006</v>
      </c>
      <c r="K104" s="242">
        <v>70.489999999999995</v>
      </c>
      <c r="L104" s="242">
        <v>64.150000000000006</v>
      </c>
      <c r="M104" s="242">
        <v>40.53</v>
      </c>
      <c r="N104" s="242">
        <v>5.6</v>
      </c>
      <c r="O104" s="242">
        <v>2.34</v>
      </c>
      <c r="P104" s="245" t="s">
        <v>3345</v>
      </c>
      <c r="Q104" s="245" t="s">
        <v>4563</v>
      </c>
      <c r="R104" s="243" t="s">
        <v>4562</v>
      </c>
      <c r="S104" s="270">
        <f t="shared" si="3"/>
        <v>41171</v>
      </c>
      <c r="T104" s="270"/>
      <c r="U104" s="270">
        <f>IFERROR(VLOOKUP($A104,GeneratingCapabilityList!$E$7:$O$1673,11,FALSE),"ID Not Found")</f>
        <v>41171</v>
      </c>
      <c r="V104" s="271" t="str">
        <f>IFERROR(VLOOKUP($A104,GeneratingCapabilityList!$E$7:$O$1673,6,FALSE),"UNKNOWN")</f>
        <v>SOLAR</v>
      </c>
      <c r="W104" s="271">
        <f>IFERROR(VLOOKUP($A104,GeneratingCapabilityList!$E$7:$O$1673,3,FALSE),"ID Not Found")</f>
        <v>210</v>
      </c>
      <c r="Y104" s="270"/>
    </row>
    <row r="105" spans="1:25">
      <c r="A105" s="241" t="s">
        <v>1145</v>
      </c>
      <c r="B105" s="241" t="s">
        <v>4579</v>
      </c>
      <c r="C105" s="241" t="s">
        <v>3406</v>
      </c>
      <c r="D105" s="242">
        <v>2.83</v>
      </c>
      <c r="E105" s="242">
        <v>3.19</v>
      </c>
      <c r="F105" s="242">
        <v>3.23</v>
      </c>
      <c r="G105" s="242">
        <v>2.2799999999999998</v>
      </c>
      <c r="H105" s="242">
        <v>2.75</v>
      </c>
      <c r="I105" s="242">
        <v>2.46</v>
      </c>
      <c r="J105" s="242">
        <v>2.72</v>
      </c>
      <c r="K105" s="242">
        <v>3.05</v>
      </c>
      <c r="L105" s="242">
        <v>2.79</v>
      </c>
      <c r="M105" s="242">
        <v>2.4700000000000002</v>
      </c>
      <c r="N105" s="242">
        <v>2.86</v>
      </c>
      <c r="O105" s="242">
        <v>2.91</v>
      </c>
      <c r="P105" s="241" t="s">
        <v>3352</v>
      </c>
      <c r="Q105" s="241" t="s">
        <v>3347</v>
      </c>
      <c r="R105" s="243" t="s">
        <v>4562</v>
      </c>
      <c r="S105" s="270">
        <f t="shared" si="3"/>
        <v>31048</v>
      </c>
      <c r="T105" s="270"/>
      <c r="U105" s="270">
        <f>IFERROR(VLOOKUP($A105,GeneratingCapabilityList!$E$7:$O$1673,11,FALSE),"ID Not Found")</f>
        <v>31048</v>
      </c>
      <c r="V105" s="271" t="str">
        <f>IFERROR(VLOOKUP($A105,GeneratingCapabilityList!$E$7:$O$1673,6,FALSE),"UNKNOWN")</f>
        <v>BIOMASS</v>
      </c>
      <c r="W105" s="271">
        <f>IFERROR(VLOOKUP($A105,GeneratingCapabilityList!$E$7:$O$1673,3,FALSE),"ID Not Found")</f>
        <v>4.83</v>
      </c>
      <c r="Y105" s="270"/>
    </row>
    <row r="106" spans="1:25">
      <c r="A106" s="241" t="s">
        <v>2832</v>
      </c>
      <c r="B106" s="241" t="s">
        <v>4579</v>
      </c>
      <c r="C106" s="241" t="s">
        <v>2833</v>
      </c>
      <c r="D106" s="242">
        <v>0.91</v>
      </c>
      <c r="E106" s="242">
        <v>0</v>
      </c>
      <c r="F106" s="242">
        <v>0.56999999999999995</v>
      </c>
      <c r="G106" s="242">
        <v>1.68</v>
      </c>
      <c r="H106" s="242">
        <v>2.06</v>
      </c>
      <c r="I106" s="242">
        <v>3.88</v>
      </c>
      <c r="J106" s="242">
        <v>3.95</v>
      </c>
      <c r="K106" s="242">
        <v>3.66</v>
      </c>
      <c r="L106" s="242">
        <v>3.59</v>
      </c>
      <c r="M106" s="242">
        <v>3.22</v>
      </c>
      <c r="N106" s="242">
        <v>2.21</v>
      </c>
      <c r="O106" s="242">
        <v>1.1499999999999999</v>
      </c>
      <c r="P106" s="241" t="s">
        <v>3352</v>
      </c>
      <c r="Q106" s="241" t="s">
        <v>3347</v>
      </c>
      <c r="R106" s="243" t="s">
        <v>4562</v>
      </c>
      <c r="S106" s="270">
        <f t="shared" si="3"/>
        <v>39105</v>
      </c>
      <c r="T106" s="270"/>
      <c r="U106" s="270">
        <f>IFERROR(VLOOKUP($A106,GeneratingCapabilityList!$E$7:$O$1673,11,FALSE),"ID Not Found")</f>
        <v>39105</v>
      </c>
      <c r="V106" s="271" t="str">
        <f>IFERROR(VLOOKUP($A106,GeneratingCapabilityList!$E$7:$O$1673,6,FALSE),"UNKNOWN")</f>
        <v>HYDRO</v>
      </c>
      <c r="W106" s="271">
        <f>IFERROR(VLOOKUP($A106,GeneratingCapabilityList!$E$7:$O$1673,3,FALSE),"ID Not Found")</f>
        <v>5.25</v>
      </c>
      <c r="Y106" s="270"/>
    </row>
    <row r="107" spans="1:25">
      <c r="A107" s="245" t="s">
        <v>3407</v>
      </c>
      <c r="B107" s="245" t="s">
        <v>3361</v>
      </c>
      <c r="C107" s="245" t="s">
        <v>3407</v>
      </c>
      <c r="D107" s="249">
        <v>81.687002182006836</v>
      </c>
      <c r="E107" s="249">
        <v>60.42600154876709</v>
      </c>
      <c r="F107" s="249">
        <v>60.42600154876709</v>
      </c>
      <c r="G107" s="249">
        <v>115.6</v>
      </c>
      <c r="H107" s="249">
        <v>115.6</v>
      </c>
      <c r="I107" s="249">
        <v>115.6</v>
      </c>
      <c r="J107" s="249">
        <v>115.6</v>
      </c>
      <c r="K107" s="249">
        <v>115.6</v>
      </c>
      <c r="L107" s="249">
        <v>115.6</v>
      </c>
      <c r="M107" s="249">
        <v>115.6</v>
      </c>
      <c r="N107" s="249">
        <v>115.6</v>
      </c>
      <c r="O107" s="249">
        <v>115.6</v>
      </c>
      <c r="P107" s="245" t="s">
        <v>3345</v>
      </c>
      <c r="Q107" s="245" t="s">
        <v>3347</v>
      </c>
      <c r="R107" s="246" t="s">
        <v>4562</v>
      </c>
      <c r="S107" s="270">
        <f>Scenarios!$B$55</f>
        <v>36526</v>
      </c>
      <c r="T107" s="270" t="s">
        <v>4798</v>
      </c>
      <c r="U107" s="270" t="str">
        <f>IFERROR(VLOOKUP($A107,GeneratingCapabilityList!$E$7:$O$1673,11,FALSE),"ID Not Found")</f>
        <v>UNK</v>
      </c>
      <c r="V107" s="271" t="str">
        <f>IFERROR(VLOOKUP($A107,GeneratingCapabilityList!$E$7:$O$1673,6,FALSE),"UNKNOWN")</f>
        <v>PUMP</v>
      </c>
      <c r="W107" s="271">
        <f>IFERROR(VLOOKUP($A107,GeneratingCapabilityList!$E$7:$O$1673,3,FALSE),"ID Not Found")</f>
        <v>115.6</v>
      </c>
      <c r="Y107" s="270"/>
    </row>
    <row r="108" spans="1:25">
      <c r="A108" s="241" t="s">
        <v>1046</v>
      </c>
      <c r="B108" s="241" t="s">
        <v>3361</v>
      </c>
      <c r="C108" s="241" t="s">
        <v>1046</v>
      </c>
      <c r="D108" s="242">
        <v>0.39</v>
      </c>
      <c r="E108" s="242">
        <v>0.42</v>
      </c>
      <c r="F108" s="242">
        <v>0.61</v>
      </c>
      <c r="G108" s="242">
        <v>0.72</v>
      </c>
      <c r="H108" s="242">
        <v>0.7</v>
      </c>
      <c r="I108" s="242">
        <v>0.57999999999999996</v>
      </c>
      <c r="J108" s="242">
        <v>0.3</v>
      </c>
      <c r="K108" s="242">
        <v>0.21</v>
      </c>
      <c r="L108" s="242">
        <v>0.18</v>
      </c>
      <c r="M108" s="242">
        <v>0.19</v>
      </c>
      <c r="N108" s="242">
        <v>0.2</v>
      </c>
      <c r="O108" s="242">
        <v>0.43</v>
      </c>
      <c r="P108" s="241" t="s">
        <v>3345</v>
      </c>
      <c r="Q108" s="241" t="s">
        <v>3347</v>
      </c>
      <c r="R108" s="243" t="s">
        <v>4562</v>
      </c>
      <c r="S108" s="270">
        <f t="shared" ref="S108:S145" si="4">U108</f>
        <v>30763</v>
      </c>
      <c r="T108" s="270"/>
      <c r="U108" s="270">
        <f>IFERROR(VLOOKUP($A108,GeneratingCapabilityList!$E$7:$O$1673,11,FALSE),"ID Not Found")</f>
        <v>30763</v>
      </c>
      <c r="V108" s="271" t="str">
        <f>IFERROR(VLOOKUP($A108,GeneratingCapabilityList!$E$7:$O$1673,6,FALSE),"UNKNOWN")</f>
        <v>HYDRO</v>
      </c>
      <c r="W108" s="271">
        <f>IFERROR(VLOOKUP($A108,GeneratingCapabilityList!$E$7:$O$1673,3,FALSE),"ID Not Found")</f>
        <v>1</v>
      </c>
      <c r="Y108" s="270"/>
    </row>
    <row r="109" spans="1:25">
      <c r="A109" s="241" t="s">
        <v>1477</v>
      </c>
      <c r="B109" s="241" t="s">
        <v>3327</v>
      </c>
      <c r="C109" s="241" t="s">
        <v>3408</v>
      </c>
      <c r="D109" s="242">
        <v>15.97</v>
      </c>
      <c r="E109" s="242">
        <v>17.91</v>
      </c>
      <c r="F109" s="242">
        <v>17.64</v>
      </c>
      <c r="G109" s="242">
        <v>18.170000000000002</v>
      </c>
      <c r="H109" s="242">
        <v>17.399999999999999</v>
      </c>
      <c r="I109" s="242">
        <v>18.940000000000001</v>
      </c>
      <c r="J109" s="242">
        <v>16.84</v>
      </c>
      <c r="K109" s="242">
        <v>18.97</v>
      </c>
      <c r="L109" s="242">
        <v>17.32</v>
      </c>
      <c r="M109" s="242">
        <v>17.8</v>
      </c>
      <c r="N109" s="242">
        <v>17.75</v>
      </c>
      <c r="O109" s="242">
        <v>18.690000000000001</v>
      </c>
      <c r="P109" s="241" t="s">
        <v>3352</v>
      </c>
      <c r="Q109" s="241" t="s">
        <v>3347</v>
      </c>
      <c r="R109" s="243" t="s">
        <v>4562</v>
      </c>
      <c r="S109" s="270">
        <f t="shared" si="4"/>
        <v>31778</v>
      </c>
      <c r="T109" s="270"/>
      <c r="U109" s="270">
        <f>IFERROR(VLOOKUP($A109,GeneratingCapabilityList!$E$7:$O$1673,11,FALSE),"ID Not Found")</f>
        <v>31778</v>
      </c>
      <c r="V109" s="271" t="str">
        <f>IFERROR(VLOOKUP($A109,GeneratingCapabilityList!$E$7:$O$1673,6,FALSE),"UNKNOWN")</f>
        <v>COGENERATION</v>
      </c>
      <c r="W109" s="271">
        <f>IFERROR(VLOOKUP($A109,GeneratingCapabilityList!$E$7:$O$1673,3,FALSE),"ID Not Found")</f>
        <v>31</v>
      </c>
      <c r="Y109" s="270"/>
    </row>
    <row r="110" spans="1:25">
      <c r="A110" s="241" t="s">
        <v>989</v>
      </c>
      <c r="B110" s="241" t="s">
        <v>3327</v>
      </c>
      <c r="C110" s="241" t="s">
        <v>3409</v>
      </c>
      <c r="D110" s="242">
        <v>1.91</v>
      </c>
      <c r="E110" s="242">
        <v>1.91</v>
      </c>
      <c r="F110" s="242">
        <v>1.91</v>
      </c>
      <c r="G110" s="242">
        <v>1.91</v>
      </c>
      <c r="H110" s="242">
        <v>1.91</v>
      </c>
      <c r="I110" s="242">
        <v>1.91</v>
      </c>
      <c r="J110" s="242">
        <v>1.91</v>
      </c>
      <c r="K110" s="242">
        <v>1.91</v>
      </c>
      <c r="L110" s="242">
        <v>1.91</v>
      </c>
      <c r="M110" s="242">
        <v>1.91</v>
      </c>
      <c r="N110" s="242">
        <v>1.91</v>
      </c>
      <c r="O110" s="242">
        <v>1.91</v>
      </c>
      <c r="P110" s="241" t="s">
        <v>3352</v>
      </c>
      <c r="Q110" s="241" t="s">
        <v>3347</v>
      </c>
      <c r="R110" s="243" t="s">
        <v>4561</v>
      </c>
      <c r="S110" s="270">
        <f t="shared" si="4"/>
        <v>30682</v>
      </c>
      <c r="T110" s="270"/>
      <c r="U110" s="270">
        <f>IFERROR(VLOOKUP($A110,GeneratingCapabilityList!$E$7:$O$1673,11,FALSE),"ID Not Found")</f>
        <v>30682</v>
      </c>
      <c r="V110" s="271" t="str">
        <f>IFERROR(VLOOKUP($A110,GeneratingCapabilityList!$E$7:$O$1673,6,FALSE),"UNKNOWN")</f>
        <v>HYDRO</v>
      </c>
      <c r="W110" s="271">
        <f>IFERROR(VLOOKUP($A110,GeneratingCapabilityList!$E$7:$O$1673,3,FALSE),"ID Not Found")</f>
        <v>1.91</v>
      </c>
      <c r="Y110" s="270"/>
    </row>
    <row r="111" spans="1:25">
      <c r="A111" s="241" t="s">
        <v>2855</v>
      </c>
      <c r="B111" s="241" t="s">
        <v>3327</v>
      </c>
      <c r="C111" s="241" t="s">
        <v>2856</v>
      </c>
      <c r="D111" s="242">
        <v>47</v>
      </c>
      <c r="E111" s="242">
        <v>47</v>
      </c>
      <c r="F111" s="242">
        <v>47</v>
      </c>
      <c r="G111" s="242">
        <v>47</v>
      </c>
      <c r="H111" s="242">
        <v>47</v>
      </c>
      <c r="I111" s="242">
        <v>47</v>
      </c>
      <c r="J111" s="242">
        <v>47</v>
      </c>
      <c r="K111" s="242">
        <v>47</v>
      </c>
      <c r="L111" s="242">
        <v>47</v>
      </c>
      <c r="M111" s="242">
        <v>47</v>
      </c>
      <c r="N111" s="242">
        <v>47</v>
      </c>
      <c r="O111" s="242">
        <v>47</v>
      </c>
      <c r="P111" s="241" t="s">
        <v>3352</v>
      </c>
      <c r="Q111" s="241" t="s">
        <v>3347</v>
      </c>
      <c r="R111" s="243" t="s">
        <v>4562</v>
      </c>
      <c r="S111" s="270">
        <f t="shared" si="4"/>
        <v>39345</v>
      </c>
      <c r="T111" s="270"/>
      <c r="U111" s="270">
        <f>IFERROR(VLOOKUP($A111,GeneratingCapabilityList!$E$7:$O$1673,11,FALSE),"ID Not Found")</f>
        <v>39345</v>
      </c>
      <c r="V111" s="271" t="str">
        <f>IFERROR(VLOOKUP($A111,GeneratingCapabilityList!$E$7:$O$1673,6,FALSE),"UNKNOWN")</f>
        <v>PEAKER</v>
      </c>
      <c r="W111" s="271">
        <f>IFERROR(VLOOKUP($A111,GeneratingCapabilityList!$E$7:$O$1673,3,FALSE),"ID Not Found")</f>
        <v>47</v>
      </c>
      <c r="Y111" s="270"/>
    </row>
    <row r="112" spans="1:25">
      <c r="A112" s="241" t="s">
        <v>2455</v>
      </c>
      <c r="B112" s="241" t="s">
        <v>3327</v>
      </c>
      <c r="C112" s="241" t="s">
        <v>3410</v>
      </c>
      <c r="D112" s="242">
        <v>36</v>
      </c>
      <c r="E112" s="242">
        <v>36</v>
      </c>
      <c r="F112" s="242">
        <v>36</v>
      </c>
      <c r="G112" s="242">
        <v>36</v>
      </c>
      <c r="H112" s="242">
        <v>36</v>
      </c>
      <c r="I112" s="242">
        <v>36</v>
      </c>
      <c r="J112" s="242">
        <v>36</v>
      </c>
      <c r="K112" s="242">
        <v>36</v>
      </c>
      <c r="L112" s="242">
        <v>36</v>
      </c>
      <c r="M112" s="242">
        <v>36</v>
      </c>
      <c r="N112" s="242">
        <v>36</v>
      </c>
      <c r="O112" s="242">
        <v>36</v>
      </c>
      <c r="P112" s="241" t="s">
        <v>3352</v>
      </c>
      <c r="Q112" s="241" t="s">
        <v>3347</v>
      </c>
      <c r="R112" s="243" t="s">
        <v>4561</v>
      </c>
      <c r="S112" s="270">
        <f t="shared" si="4"/>
        <v>37151</v>
      </c>
      <c r="T112" s="270"/>
      <c r="U112" s="270">
        <f>IFERROR(VLOOKUP($A112,GeneratingCapabilityList!$E$7:$O$1673,11,FALSE),"ID Not Found")</f>
        <v>37151</v>
      </c>
      <c r="V112" s="271" t="str">
        <f>IFERROR(VLOOKUP($A112,GeneratingCapabilityList!$E$7:$O$1673,6,FALSE),"UNKNOWN")</f>
        <v>PEAKER</v>
      </c>
      <c r="W112" s="271">
        <f>IFERROR(VLOOKUP($A112,GeneratingCapabilityList!$E$7:$O$1673,3,FALSE),"ID Not Found")</f>
        <v>41.4</v>
      </c>
      <c r="Y112" s="270"/>
    </row>
    <row r="113" spans="1:25">
      <c r="A113" s="241" t="s">
        <v>1990</v>
      </c>
      <c r="B113" s="241" t="s">
        <v>3370</v>
      </c>
      <c r="C113" s="241" t="s">
        <v>1991</v>
      </c>
      <c r="D113" s="242">
        <v>45.88</v>
      </c>
      <c r="E113" s="242">
        <v>46.4</v>
      </c>
      <c r="F113" s="242">
        <v>45.67</v>
      </c>
      <c r="G113" s="242">
        <v>40.04</v>
      </c>
      <c r="H113" s="242">
        <v>29.6</v>
      </c>
      <c r="I113" s="242">
        <v>34.590000000000003</v>
      </c>
      <c r="J113" s="242">
        <v>39.64</v>
      </c>
      <c r="K113" s="242">
        <v>40.340000000000003</v>
      </c>
      <c r="L113" s="242">
        <v>39.200000000000003</v>
      </c>
      <c r="M113" s="242">
        <v>37.93</v>
      </c>
      <c r="N113" s="242">
        <v>36.24</v>
      </c>
      <c r="O113" s="242">
        <v>41.03</v>
      </c>
      <c r="P113" s="241" t="s">
        <v>3345</v>
      </c>
      <c r="Q113" s="241" t="s">
        <v>3347</v>
      </c>
      <c r="R113" s="243" t="s">
        <v>4562</v>
      </c>
      <c r="S113" s="270">
        <f t="shared" si="4"/>
        <v>32952</v>
      </c>
      <c r="T113" s="270"/>
      <c r="U113" s="270">
        <f>IFERROR(VLOOKUP($A113,GeneratingCapabilityList!$E$7:$O$1673,11,FALSE),"ID Not Found")</f>
        <v>32952</v>
      </c>
      <c r="V113" s="271" t="str">
        <f>IFERROR(VLOOKUP($A113,GeneratingCapabilityList!$E$7:$O$1673,6,FALSE),"UNKNOWN")</f>
        <v>COGENERATION</v>
      </c>
      <c r="W113" s="271">
        <f>IFERROR(VLOOKUP($A113,GeneratingCapabilityList!$E$7:$O$1673,3,FALSE),"ID Not Found")</f>
        <v>55.1</v>
      </c>
      <c r="Y113" s="270"/>
    </row>
    <row r="114" spans="1:25">
      <c r="A114" s="241" t="s">
        <v>824</v>
      </c>
      <c r="B114" s="241" t="s">
        <v>3370</v>
      </c>
      <c r="C114" s="241" t="s">
        <v>825</v>
      </c>
      <c r="D114" s="242">
        <v>0.63</v>
      </c>
      <c r="E114" s="242">
        <v>1.98</v>
      </c>
      <c r="F114" s="242">
        <v>2.2400000000000002</v>
      </c>
      <c r="G114" s="242">
        <v>3.45</v>
      </c>
      <c r="H114" s="242">
        <v>2.92</v>
      </c>
      <c r="I114" s="242">
        <v>1.94</v>
      </c>
      <c r="J114" s="242">
        <v>1.87</v>
      </c>
      <c r="K114" s="242">
        <v>1.58</v>
      </c>
      <c r="L114" s="242">
        <v>2.25</v>
      </c>
      <c r="M114" s="242">
        <v>2.3199999999999998</v>
      </c>
      <c r="N114" s="242">
        <v>2.4900000000000002</v>
      </c>
      <c r="O114" s="242">
        <v>1.17</v>
      </c>
      <c r="P114" s="241" t="s">
        <v>3345</v>
      </c>
      <c r="Q114" s="241" t="s">
        <v>3347</v>
      </c>
      <c r="R114" s="243" t="s">
        <v>4562</v>
      </c>
      <c r="S114" s="270">
        <f t="shared" si="4"/>
        <v>30158</v>
      </c>
      <c r="T114" s="270"/>
      <c r="U114" s="270">
        <f>IFERROR(VLOOKUP($A114,GeneratingCapabilityList!$E$7:$O$1673,11,FALSE),"ID Not Found")</f>
        <v>30158</v>
      </c>
      <c r="V114" s="271" t="str">
        <f>IFERROR(VLOOKUP($A114,GeneratingCapabilityList!$E$7:$O$1673,6,FALSE),"UNKNOWN")</f>
        <v>COGENERATION</v>
      </c>
      <c r="W114" s="271">
        <f>IFERROR(VLOOKUP($A114,GeneratingCapabilityList!$E$7:$O$1673,3,FALSE),"ID Not Found")</f>
        <v>11.5</v>
      </c>
      <c r="Y114" s="270"/>
    </row>
    <row r="115" spans="1:25">
      <c r="A115" s="241" t="s">
        <v>1338</v>
      </c>
      <c r="B115" s="241" t="s">
        <v>3349</v>
      </c>
      <c r="C115" s="241" t="s">
        <v>1339</v>
      </c>
      <c r="D115" s="242">
        <v>6.26</v>
      </c>
      <c r="E115" s="242">
        <v>6.72</v>
      </c>
      <c r="F115" s="242">
        <v>6.87</v>
      </c>
      <c r="G115" s="242">
        <v>5.31</v>
      </c>
      <c r="H115" s="242">
        <v>5.29</v>
      </c>
      <c r="I115" s="242">
        <v>4.2</v>
      </c>
      <c r="J115" s="242">
        <v>3.06</v>
      </c>
      <c r="K115" s="242">
        <v>2.96</v>
      </c>
      <c r="L115" s="242">
        <v>4.2</v>
      </c>
      <c r="M115" s="242">
        <v>5.43</v>
      </c>
      <c r="N115" s="242">
        <v>4.4400000000000004</v>
      </c>
      <c r="O115" s="242">
        <v>5.36</v>
      </c>
      <c r="P115" s="241" t="s">
        <v>3345</v>
      </c>
      <c r="Q115" s="241" t="s">
        <v>3347</v>
      </c>
      <c r="R115" s="243" t="s">
        <v>4562</v>
      </c>
      <c r="S115" s="270">
        <f t="shared" si="4"/>
        <v>31429</v>
      </c>
      <c r="T115" s="270"/>
      <c r="U115" s="270">
        <f>IFERROR(VLOOKUP($A115,GeneratingCapabilityList!$E$7:$O$1673,11,FALSE),"ID Not Found")</f>
        <v>31429</v>
      </c>
      <c r="V115" s="271" t="str">
        <f>IFERROR(VLOOKUP($A115,GeneratingCapabilityList!$E$7:$O$1673,6,FALSE),"UNKNOWN")</f>
        <v>COGENERATION</v>
      </c>
      <c r="W115" s="271">
        <f>IFERROR(VLOOKUP($A115,GeneratingCapabilityList!$E$7:$O$1673,3,FALSE),"ID Not Found")</f>
        <v>19</v>
      </c>
      <c r="Y115" s="270"/>
    </row>
    <row r="116" spans="1:25">
      <c r="A116" s="241" t="s">
        <v>1690</v>
      </c>
      <c r="B116" s="241" t="s">
        <v>3349</v>
      </c>
      <c r="C116" s="241" t="s">
        <v>3411</v>
      </c>
      <c r="D116" s="242">
        <v>1.51</v>
      </c>
      <c r="E116" s="242">
        <v>1.49</v>
      </c>
      <c r="F116" s="242">
        <v>1.32</v>
      </c>
      <c r="G116" s="242">
        <v>1.37</v>
      </c>
      <c r="H116" s="242">
        <v>1.76</v>
      </c>
      <c r="I116" s="242">
        <v>1.59</v>
      </c>
      <c r="J116" s="242">
        <v>1.46</v>
      </c>
      <c r="K116" s="242">
        <v>1.1299999999999999</v>
      </c>
      <c r="L116" s="242">
        <v>1.58</v>
      </c>
      <c r="M116" s="242">
        <v>1.28</v>
      </c>
      <c r="N116" s="242">
        <v>1.26</v>
      </c>
      <c r="O116" s="242">
        <v>1.05</v>
      </c>
      <c r="P116" s="241" t="s">
        <v>3345</v>
      </c>
      <c r="Q116" s="241" t="s">
        <v>3347</v>
      </c>
      <c r="R116" s="243" t="s">
        <v>4562</v>
      </c>
      <c r="S116" s="270">
        <f t="shared" si="4"/>
        <v>32297</v>
      </c>
      <c r="T116" s="270"/>
      <c r="U116" s="270">
        <f>IFERROR(VLOOKUP($A116,GeneratingCapabilityList!$E$7:$O$1673,11,FALSE),"ID Not Found")</f>
        <v>32297</v>
      </c>
      <c r="V116" s="271" t="str">
        <f>IFERROR(VLOOKUP($A116,GeneratingCapabilityList!$E$7:$O$1673,6,FALSE),"UNKNOWN")</f>
        <v>COGENERATION</v>
      </c>
      <c r="W116" s="271">
        <f>IFERROR(VLOOKUP($A116,GeneratingCapabilityList!$E$7:$O$1673,3,FALSE),"ID Not Found")</f>
        <v>12.5</v>
      </c>
      <c r="Y116" s="270"/>
    </row>
    <row r="117" spans="1:25">
      <c r="A117" s="241" t="s">
        <v>832</v>
      </c>
      <c r="B117" s="241" t="s">
        <v>3370</v>
      </c>
      <c r="C117" s="241" t="s">
        <v>833</v>
      </c>
      <c r="D117" s="242">
        <v>5.0199999999999996</v>
      </c>
      <c r="E117" s="242">
        <v>4.0199999999999996</v>
      </c>
      <c r="F117" s="242">
        <v>5.19</v>
      </c>
      <c r="G117" s="242">
        <v>4.3499999999999996</v>
      </c>
      <c r="H117" s="242">
        <v>6.65</v>
      </c>
      <c r="I117" s="242">
        <v>6.78</v>
      </c>
      <c r="J117" s="242">
        <v>6.52</v>
      </c>
      <c r="K117" s="242">
        <v>6.78</v>
      </c>
      <c r="L117" s="242">
        <v>5.59</v>
      </c>
      <c r="M117" s="242">
        <v>5.85</v>
      </c>
      <c r="N117" s="242">
        <v>5.6</v>
      </c>
      <c r="O117" s="242">
        <v>7.3</v>
      </c>
      <c r="P117" s="241" t="s">
        <v>3345</v>
      </c>
      <c r="Q117" s="241" t="s">
        <v>3347</v>
      </c>
      <c r="R117" s="243" t="s">
        <v>4562</v>
      </c>
      <c r="S117" s="270">
        <f t="shared" si="4"/>
        <v>30239</v>
      </c>
      <c r="T117" s="270"/>
      <c r="U117" s="270">
        <f>IFERROR(VLOOKUP($A117,GeneratingCapabilityList!$E$7:$O$1673,11,FALSE),"ID Not Found")</f>
        <v>30239</v>
      </c>
      <c r="V117" s="271" t="str">
        <f>IFERROR(VLOOKUP($A117,GeneratingCapabilityList!$E$7:$O$1673,6,FALSE),"UNKNOWN")</f>
        <v>COGENERATION</v>
      </c>
      <c r="W117" s="271">
        <f>IFERROR(VLOOKUP($A117,GeneratingCapabilityList!$E$7:$O$1673,3,FALSE),"ID Not Found")</f>
        <v>24.3</v>
      </c>
      <c r="Y117" s="270"/>
    </row>
    <row r="118" spans="1:25">
      <c r="A118" s="241" t="s">
        <v>1624</v>
      </c>
      <c r="B118" s="241" t="s">
        <v>3327</v>
      </c>
      <c r="C118" s="241" t="s">
        <v>3412</v>
      </c>
      <c r="D118" s="242">
        <v>0.12</v>
      </c>
      <c r="E118" s="242">
        <v>0.28999999999999998</v>
      </c>
      <c r="F118" s="242">
        <v>0.13</v>
      </c>
      <c r="G118" s="242">
        <v>0.01</v>
      </c>
      <c r="H118" s="242">
        <v>0</v>
      </c>
      <c r="I118" s="242">
        <v>0</v>
      </c>
      <c r="J118" s="242">
        <v>0</v>
      </c>
      <c r="K118" s="242">
        <v>0</v>
      </c>
      <c r="L118" s="242">
        <v>0</v>
      </c>
      <c r="M118" s="242">
        <v>0.73</v>
      </c>
      <c r="N118" s="242">
        <v>1.1000000000000001</v>
      </c>
      <c r="O118" s="242">
        <v>2.14</v>
      </c>
      <c r="P118" s="241" t="s">
        <v>3352</v>
      </c>
      <c r="Q118" s="241" t="s">
        <v>3347</v>
      </c>
      <c r="R118" s="243" t="s">
        <v>4562</v>
      </c>
      <c r="S118" s="270">
        <f t="shared" si="4"/>
        <v>32140</v>
      </c>
      <c r="T118" s="270"/>
      <c r="U118" s="270">
        <f>IFERROR(VLOOKUP($A118,GeneratingCapabilityList!$E$7:$O$1673,11,FALSE),"ID Not Found")</f>
        <v>32140</v>
      </c>
      <c r="V118" s="271" t="str">
        <f>IFERROR(VLOOKUP($A118,GeneratingCapabilityList!$E$7:$O$1673,6,FALSE),"UNKNOWN")</f>
        <v>COGENERATION</v>
      </c>
      <c r="W118" s="271">
        <f>IFERROR(VLOOKUP($A118,GeneratingCapabilityList!$E$7:$O$1673,3,FALSE),"ID Not Found")</f>
        <v>85.31</v>
      </c>
      <c r="Y118" s="270"/>
    </row>
    <row r="119" spans="1:25">
      <c r="A119" s="241" t="s">
        <v>489</v>
      </c>
      <c r="B119" s="241" t="s">
        <v>3375</v>
      </c>
      <c r="C119" s="241" t="s">
        <v>3413</v>
      </c>
      <c r="D119" s="242">
        <v>38</v>
      </c>
      <c r="E119" s="242">
        <v>38</v>
      </c>
      <c r="F119" s="242">
        <v>38</v>
      </c>
      <c r="G119" s="242">
        <v>38</v>
      </c>
      <c r="H119" s="242">
        <v>38</v>
      </c>
      <c r="I119" s="242">
        <v>38</v>
      </c>
      <c r="J119" s="242">
        <v>38</v>
      </c>
      <c r="K119" s="242">
        <v>38</v>
      </c>
      <c r="L119" s="242">
        <v>38</v>
      </c>
      <c r="M119" s="242">
        <v>38</v>
      </c>
      <c r="N119" s="242">
        <v>38</v>
      </c>
      <c r="O119" s="242">
        <v>38</v>
      </c>
      <c r="P119" s="241" t="s">
        <v>3345</v>
      </c>
      <c r="Q119" s="241" t="s">
        <v>3347</v>
      </c>
      <c r="R119" s="243" t="s">
        <v>4561</v>
      </c>
      <c r="S119" s="270">
        <f t="shared" si="4"/>
        <v>23743</v>
      </c>
      <c r="T119" s="270"/>
      <c r="U119" s="270">
        <f>IFERROR(VLOOKUP($A119,GeneratingCapabilityList!$E$7:$O$1673,11,FALSE),"ID Not Found")</f>
        <v>23743</v>
      </c>
      <c r="V119" s="271" t="str">
        <f>IFERROR(VLOOKUP($A119,GeneratingCapabilityList!$E$7:$O$1673,6,FALSE),"UNKNOWN")</f>
        <v>HYDRO</v>
      </c>
      <c r="W119" s="271">
        <f>IFERROR(VLOOKUP($A119,GeneratingCapabilityList!$E$7:$O$1673,3,FALSE),"ID Not Found")</f>
        <v>42</v>
      </c>
      <c r="Y119" s="270"/>
    </row>
    <row r="120" spans="1:25">
      <c r="A120" s="241" t="s">
        <v>3000</v>
      </c>
      <c r="B120" s="241" t="s">
        <v>4579</v>
      </c>
      <c r="C120" s="241" t="s">
        <v>3001</v>
      </c>
      <c r="D120" s="242">
        <v>0.32</v>
      </c>
      <c r="E120" s="242">
        <v>0.65</v>
      </c>
      <c r="F120" s="242">
        <v>0.7</v>
      </c>
      <c r="G120" s="242">
        <v>0.87</v>
      </c>
      <c r="H120" s="242">
        <v>0.48</v>
      </c>
      <c r="I120" s="242">
        <v>0.39</v>
      </c>
      <c r="J120" s="242">
        <v>0.32</v>
      </c>
      <c r="K120" s="242">
        <v>0.34</v>
      </c>
      <c r="L120" s="242">
        <v>0.3</v>
      </c>
      <c r="M120" s="242">
        <v>0.17</v>
      </c>
      <c r="N120" s="242">
        <v>0.24</v>
      </c>
      <c r="O120" s="242">
        <v>0.31</v>
      </c>
      <c r="P120" s="241" t="s">
        <v>3352</v>
      </c>
      <c r="Q120" s="241" t="s">
        <v>3347</v>
      </c>
      <c r="R120" s="243" t="s">
        <v>4562</v>
      </c>
      <c r="S120" s="270">
        <f t="shared" si="4"/>
        <v>40682</v>
      </c>
      <c r="T120" s="270"/>
      <c r="U120" s="270">
        <f>IFERROR(VLOOKUP($A120,GeneratingCapabilityList!$E$7:$O$1673,11,FALSE),"ID Not Found")</f>
        <v>40682</v>
      </c>
      <c r="V120" s="271" t="str">
        <f>IFERROR(VLOOKUP($A120,GeneratingCapabilityList!$E$7:$O$1673,6,FALSE),"UNKNOWN")</f>
        <v>BIOMASS</v>
      </c>
      <c r="W120" s="271">
        <f>IFERROR(VLOOKUP($A120,GeneratingCapabilityList!$E$7:$O$1673,3,FALSE),"ID Not Found")</f>
        <v>1.5</v>
      </c>
      <c r="Y120" s="270"/>
    </row>
    <row r="121" spans="1:25">
      <c r="A121" s="244" t="s">
        <v>2686</v>
      </c>
      <c r="B121" s="241" t="s">
        <v>4579</v>
      </c>
      <c r="C121" s="241" t="s">
        <v>3414</v>
      </c>
      <c r="D121" s="242">
        <v>1.72</v>
      </c>
      <c r="E121" s="242">
        <v>2</v>
      </c>
      <c r="F121" s="242">
        <v>1.84</v>
      </c>
      <c r="G121" s="242">
        <v>1.84</v>
      </c>
      <c r="H121" s="242">
        <v>1.78</v>
      </c>
      <c r="I121" s="242">
        <v>1.77</v>
      </c>
      <c r="J121" s="242">
        <v>1.6</v>
      </c>
      <c r="K121" s="242">
        <v>1.59</v>
      </c>
      <c r="L121" s="242">
        <v>1.69</v>
      </c>
      <c r="M121" s="242">
        <v>1.75</v>
      </c>
      <c r="N121" s="242">
        <v>1.63</v>
      </c>
      <c r="O121" s="242">
        <v>1.49</v>
      </c>
      <c r="P121" s="241" t="s">
        <v>3352</v>
      </c>
      <c r="Q121" s="241" t="s">
        <v>3347</v>
      </c>
      <c r="R121" s="243" t="s">
        <v>4561</v>
      </c>
      <c r="S121" s="270">
        <f t="shared" si="4"/>
        <v>38182</v>
      </c>
      <c r="T121" s="270"/>
      <c r="U121" s="270">
        <f>IFERROR(VLOOKUP($A121,GeneratingCapabilityList!$E$7:$O$1673,11,FALSE),"ID Not Found")</f>
        <v>38182</v>
      </c>
      <c r="V121" s="271" t="str">
        <f>IFERROR(VLOOKUP($A121,GeneratingCapabilityList!$E$7:$O$1673,6,FALSE),"UNKNOWN")</f>
        <v>BIOMASS</v>
      </c>
      <c r="W121" s="271">
        <f>IFERROR(VLOOKUP($A121,GeneratingCapabilityList!$E$7:$O$1673,3,FALSE),"ID Not Found")</f>
        <v>2</v>
      </c>
      <c r="Y121" s="270"/>
    </row>
    <row r="122" spans="1:25">
      <c r="A122" s="241" t="s">
        <v>1481</v>
      </c>
      <c r="B122" s="241" t="s">
        <v>3327</v>
      </c>
      <c r="C122" s="241" t="s">
        <v>3415</v>
      </c>
      <c r="D122" s="242">
        <v>5.22</v>
      </c>
      <c r="E122" s="242">
        <v>5.28</v>
      </c>
      <c r="F122" s="242">
        <v>5.27</v>
      </c>
      <c r="G122" s="242">
        <v>5.74</v>
      </c>
      <c r="H122" s="242">
        <v>5.61</v>
      </c>
      <c r="I122" s="242">
        <v>5.96</v>
      </c>
      <c r="J122" s="242">
        <v>5.85</v>
      </c>
      <c r="K122" s="242">
        <v>5.99</v>
      </c>
      <c r="L122" s="242">
        <v>5.88</v>
      </c>
      <c r="M122" s="242">
        <v>4.6399999999999997</v>
      </c>
      <c r="N122" s="242">
        <v>4.91</v>
      </c>
      <c r="O122" s="242">
        <v>4.54</v>
      </c>
      <c r="P122" s="241" t="s">
        <v>3352</v>
      </c>
      <c r="Q122" s="241" t="s">
        <v>3347</v>
      </c>
      <c r="R122" s="243" t="s">
        <v>4562</v>
      </c>
      <c r="S122" s="270">
        <f t="shared" si="4"/>
        <v>31778</v>
      </c>
      <c r="T122" s="270"/>
      <c r="U122" s="270">
        <f>IFERROR(VLOOKUP($A122,GeneratingCapabilityList!$E$7:$O$1673,11,FALSE),"ID Not Found")</f>
        <v>31778</v>
      </c>
      <c r="V122" s="271" t="str">
        <f>IFERROR(VLOOKUP($A122,GeneratingCapabilityList!$E$7:$O$1673,6,FALSE),"UNKNOWN")</f>
        <v>VARIOUS</v>
      </c>
      <c r="W122" s="271">
        <f>IFERROR(VLOOKUP($A122,GeneratingCapabilityList!$E$7:$O$1673,3,FALSE),"ID Not Found")</f>
        <v>21.8</v>
      </c>
      <c r="Y122" s="270"/>
    </row>
    <row r="123" spans="1:25">
      <c r="A123" s="241" t="s">
        <v>2917</v>
      </c>
      <c r="B123" s="241" t="s">
        <v>3327</v>
      </c>
      <c r="C123" s="241" t="s">
        <v>3416</v>
      </c>
      <c r="D123" s="249" t="s">
        <v>4573</v>
      </c>
      <c r="E123" s="249" t="s">
        <v>4573</v>
      </c>
      <c r="F123" s="249" t="s">
        <v>4573</v>
      </c>
      <c r="G123" s="249" t="s">
        <v>4573</v>
      </c>
      <c r="H123" s="249" t="s">
        <v>4573</v>
      </c>
      <c r="I123" s="249" t="s">
        <v>4573</v>
      </c>
      <c r="J123" s="249" t="s">
        <v>4573</v>
      </c>
      <c r="K123" s="249" t="s">
        <v>4573</v>
      </c>
      <c r="L123" s="249" t="s">
        <v>4573</v>
      </c>
      <c r="M123" s="249" t="s">
        <v>4573</v>
      </c>
      <c r="N123" s="249" t="s">
        <v>4573</v>
      </c>
      <c r="O123" s="249" t="s">
        <v>4573</v>
      </c>
      <c r="P123" s="241" t="s">
        <v>3352</v>
      </c>
      <c r="Q123" s="241" t="s">
        <v>3385</v>
      </c>
      <c r="R123" s="246" t="s">
        <v>4562</v>
      </c>
      <c r="S123" s="270">
        <f t="shared" si="4"/>
        <v>40148</v>
      </c>
      <c r="T123" s="270"/>
      <c r="U123" s="270">
        <f>IFERROR(VLOOKUP($A123,GeneratingCapabilityList!$E$7:$O$1673,11,FALSE),"ID Not Found")</f>
        <v>40148</v>
      </c>
      <c r="V123" s="271" t="str">
        <f>IFERROR(VLOOKUP($A123,GeneratingCapabilityList!$E$7:$O$1673,6,FALSE),"UNKNOWN")</f>
        <v>SOLAR</v>
      </c>
      <c r="W123" s="271">
        <f>IFERROR(VLOOKUP($A123,GeneratingCapabilityList!$E$7:$O$1673,3,FALSE),"ID Not Found")</f>
        <v>2</v>
      </c>
      <c r="Y123" s="270"/>
    </row>
    <row r="124" spans="1:25">
      <c r="A124" s="241" t="s">
        <v>1620</v>
      </c>
      <c r="B124" s="241" t="s">
        <v>3327</v>
      </c>
      <c r="C124" s="241" t="s">
        <v>3417</v>
      </c>
      <c r="D124" s="242">
        <v>26.06</v>
      </c>
      <c r="E124" s="242">
        <v>26.12</v>
      </c>
      <c r="F124" s="242">
        <v>25.94</v>
      </c>
      <c r="G124" s="242">
        <v>25.85</v>
      </c>
      <c r="H124" s="242">
        <v>23.55</v>
      </c>
      <c r="I124" s="242">
        <v>26.32</v>
      </c>
      <c r="J124" s="242">
        <v>25.95</v>
      </c>
      <c r="K124" s="242">
        <v>26.1</v>
      </c>
      <c r="L124" s="242">
        <v>25.73</v>
      </c>
      <c r="M124" s="242">
        <v>17.100000000000001</v>
      </c>
      <c r="N124" s="242">
        <v>22.74</v>
      </c>
      <c r="O124" s="242">
        <v>25.93</v>
      </c>
      <c r="P124" s="241" t="s">
        <v>3352</v>
      </c>
      <c r="Q124" s="241" t="s">
        <v>3347</v>
      </c>
      <c r="R124" s="243" t="s">
        <v>4562</v>
      </c>
      <c r="S124" s="270">
        <f t="shared" si="4"/>
        <v>32135</v>
      </c>
      <c r="T124" s="270"/>
      <c r="U124" s="270">
        <f>IFERROR(VLOOKUP($A124,GeneratingCapabilityList!$E$7:$O$1673,11,FALSE),"ID Not Found")</f>
        <v>32135</v>
      </c>
      <c r="V124" s="271" t="str">
        <f>IFERROR(VLOOKUP($A124,GeneratingCapabilityList!$E$7:$O$1673,6,FALSE),"UNKNOWN")</f>
        <v>COGENERATION</v>
      </c>
      <c r="W124" s="271">
        <f>IFERROR(VLOOKUP($A124,GeneratingCapabilityList!$E$7:$O$1673,3,FALSE),"ID Not Found")</f>
        <v>31.6</v>
      </c>
      <c r="Y124" s="270"/>
    </row>
    <row r="125" spans="1:25">
      <c r="A125" s="241" t="s">
        <v>1233</v>
      </c>
      <c r="B125" s="241" t="s">
        <v>3327</v>
      </c>
      <c r="C125" s="241" t="s">
        <v>3418</v>
      </c>
      <c r="D125" s="242">
        <v>27.57</v>
      </c>
      <c r="E125" s="242">
        <v>23.83</v>
      </c>
      <c r="F125" s="242">
        <v>29.4</v>
      </c>
      <c r="G125" s="242">
        <v>28.36</v>
      </c>
      <c r="H125" s="242">
        <v>23.17</v>
      </c>
      <c r="I125" s="242">
        <v>32.130000000000003</v>
      </c>
      <c r="J125" s="242">
        <v>26.4</v>
      </c>
      <c r="K125" s="242">
        <v>29.34</v>
      </c>
      <c r="L125" s="242">
        <v>28.48</v>
      </c>
      <c r="M125" s="242">
        <v>27.91</v>
      </c>
      <c r="N125" s="242">
        <v>29.31</v>
      </c>
      <c r="O125" s="242">
        <v>26.87</v>
      </c>
      <c r="P125" s="241" t="s">
        <v>3352</v>
      </c>
      <c r="Q125" s="241" t="s">
        <v>3347</v>
      </c>
      <c r="R125" s="243" t="s">
        <v>4562</v>
      </c>
      <c r="S125" s="270">
        <f t="shared" si="4"/>
        <v>31369</v>
      </c>
      <c r="T125" s="270"/>
      <c r="U125" s="270">
        <f>IFERROR(VLOOKUP($A125,GeneratingCapabilityList!$E$7:$O$1673,11,FALSE),"ID Not Found")</f>
        <v>31369</v>
      </c>
      <c r="V125" s="271" t="str">
        <f>IFERROR(VLOOKUP($A125,GeneratingCapabilityList!$E$7:$O$1673,6,FALSE),"UNKNOWN")</f>
        <v>COGENERATION</v>
      </c>
      <c r="W125" s="271">
        <f>IFERROR(VLOOKUP($A125,GeneratingCapabilityList!$E$7:$O$1673,3,FALSE),"ID Not Found")</f>
        <v>44</v>
      </c>
      <c r="Y125" s="270"/>
    </row>
    <row r="126" spans="1:25">
      <c r="A126" s="241" t="s">
        <v>2631</v>
      </c>
      <c r="B126" s="241" t="s">
        <v>3327</v>
      </c>
      <c r="C126" s="241" t="s">
        <v>3419</v>
      </c>
      <c r="D126" s="242">
        <v>1.21</v>
      </c>
      <c r="E126" s="242">
        <v>1.1299999999999999</v>
      </c>
      <c r="F126" s="242">
        <v>1.32</v>
      </c>
      <c r="G126" s="242">
        <v>1.37</v>
      </c>
      <c r="H126" s="242">
        <v>1.38</v>
      </c>
      <c r="I126" s="242">
        <v>1.41</v>
      </c>
      <c r="J126" s="242">
        <v>1.41</v>
      </c>
      <c r="K126" s="242">
        <v>1.41</v>
      </c>
      <c r="L126" s="242">
        <v>1.33</v>
      </c>
      <c r="M126" s="242">
        <v>1.49</v>
      </c>
      <c r="N126" s="242">
        <v>1.55</v>
      </c>
      <c r="O126" s="242">
        <v>1.41</v>
      </c>
      <c r="P126" s="241" t="s">
        <v>3352</v>
      </c>
      <c r="Q126" s="241" t="s">
        <v>3347</v>
      </c>
      <c r="R126" s="243" t="s">
        <v>4561</v>
      </c>
      <c r="S126" s="270">
        <f t="shared" si="4"/>
        <v>37819</v>
      </c>
      <c r="T126" s="270"/>
      <c r="U126" s="270">
        <f>IFERROR(VLOOKUP($A126,GeneratingCapabilityList!$E$7:$O$1673,11,FALSE),"ID Not Found")</f>
        <v>37819</v>
      </c>
      <c r="V126" s="271" t="str">
        <f>IFERROR(VLOOKUP($A126,GeneratingCapabilityList!$E$7:$O$1673,6,FALSE),"UNKNOWN")</f>
        <v>BIOMASS</v>
      </c>
      <c r="W126" s="271">
        <f>IFERROR(VLOOKUP($A126,GeneratingCapabilityList!$E$7:$O$1673,3,FALSE),"ID Not Found")</f>
        <v>1.9</v>
      </c>
      <c r="Y126" s="270"/>
    </row>
    <row r="127" spans="1:25">
      <c r="A127" s="241" t="s">
        <v>2872</v>
      </c>
      <c r="B127" s="241" t="s">
        <v>3349</v>
      </c>
      <c r="C127" s="241" t="s">
        <v>2873</v>
      </c>
      <c r="D127" s="242">
        <v>6.99</v>
      </c>
      <c r="E127" s="242">
        <v>6.83</v>
      </c>
      <c r="F127" s="242">
        <v>6.89</v>
      </c>
      <c r="G127" s="242">
        <v>6.49</v>
      </c>
      <c r="H127" s="242">
        <v>5.85</v>
      </c>
      <c r="I127" s="242">
        <v>7.25</v>
      </c>
      <c r="J127" s="242">
        <v>7.93</v>
      </c>
      <c r="K127" s="242">
        <v>8.8699999999999992</v>
      </c>
      <c r="L127" s="242">
        <v>5.14</v>
      </c>
      <c r="M127" s="242">
        <v>6.41</v>
      </c>
      <c r="N127" s="242">
        <v>6.31</v>
      </c>
      <c r="O127" s="242">
        <v>7.48</v>
      </c>
      <c r="P127" s="241" t="s">
        <v>3345</v>
      </c>
      <c r="Q127" s="241" t="s">
        <v>3347</v>
      </c>
      <c r="R127" s="243" t="s">
        <v>4562</v>
      </c>
      <c r="S127" s="270">
        <f t="shared" si="4"/>
        <v>39576</v>
      </c>
      <c r="T127" s="270"/>
      <c r="U127" s="270">
        <f>IFERROR(VLOOKUP($A127,GeneratingCapabilityList!$E$7:$O$1673,11,FALSE),"ID Not Found")</f>
        <v>39576</v>
      </c>
      <c r="V127" s="271" t="str">
        <f>IFERROR(VLOOKUP($A127,GeneratingCapabilityList!$E$7:$O$1673,6,FALSE),"UNKNOWN")</f>
        <v>BIOMASS</v>
      </c>
      <c r="W127" s="271">
        <f>IFERROR(VLOOKUP($A127,GeneratingCapabilityList!$E$7:$O$1673,3,FALSE),"ID Not Found")</f>
        <v>10.8</v>
      </c>
      <c r="Y127" s="270"/>
    </row>
    <row r="128" spans="1:25">
      <c r="A128" s="241" t="s">
        <v>2339</v>
      </c>
      <c r="B128" s="241" t="s">
        <v>3349</v>
      </c>
      <c r="C128" s="241" t="s">
        <v>3420</v>
      </c>
      <c r="D128" s="242">
        <v>48</v>
      </c>
      <c r="E128" s="242">
        <v>48</v>
      </c>
      <c r="F128" s="242">
        <v>48</v>
      </c>
      <c r="G128" s="242">
        <v>48</v>
      </c>
      <c r="H128" s="242">
        <v>48</v>
      </c>
      <c r="I128" s="242">
        <v>48</v>
      </c>
      <c r="J128" s="242">
        <v>48</v>
      </c>
      <c r="K128" s="242">
        <v>48</v>
      </c>
      <c r="L128" s="242">
        <v>48</v>
      </c>
      <c r="M128" s="242">
        <v>48</v>
      </c>
      <c r="N128" s="242">
        <v>48</v>
      </c>
      <c r="O128" s="242">
        <v>48</v>
      </c>
      <c r="P128" s="241" t="s">
        <v>3345</v>
      </c>
      <c r="Q128" s="241" t="s">
        <v>3347</v>
      </c>
      <c r="R128" s="243" t="s">
        <v>4561</v>
      </c>
      <c r="S128" s="270">
        <f t="shared" si="4"/>
        <v>37055</v>
      </c>
      <c r="T128" s="270"/>
      <c r="U128" s="270">
        <f>IFERROR(VLOOKUP($A128,GeneratingCapabilityList!$E$7:$O$1673,11,FALSE),"ID Not Found")</f>
        <v>37055</v>
      </c>
      <c r="V128" s="271" t="str">
        <f>IFERROR(VLOOKUP($A128,GeneratingCapabilityList!$E$7:$O$1673,6,FALSE),"UNKNOWN")</f>
        <v>THERMAL</v>
      </c>
      <c r="W128" s="271">
        <f>IFERROR(VLOOKUP($A128,GeneratingCapabilityList!$E$7:$O$1673,3,FALSE),"ID Not Found")</f>
        <v>48.6</v>
      </c>
      <c r="Y128" s="270"/>
    </row>
    <row r="129" spans="1:26">
      <c r="A129" s="241" t="s">
        <v>1355</v>
      </c>
      <c r="B129" s="241" t="s">
        <v>3361</v>
      </c>
      <c r="C129" s="241" t="s">
        <v>1356</v>
      </c>
      <c r="D129" s="242">
        <v>0.62</v>
      </c>
      <c r="E129" s="242">
        <v>0.61</v>
      </c>
      <c r="F129" s="242">
        <v>0.78</v>
      </c>
      <c r="G129" s="242">
        <v>0.9</v>
      </c>
      <c r="H129" s="242">
        <v>0.85</v>
      </c>
      <c r="I129" s="242">
        <v>0.65</v>
      </c>
      <c r="J129" s="242">
        <v>0.35</v>
      </c>
      <c r="K129" s="242">
        <v>0.14000000000000001</v>
      </c>
      <c r="L129" s="242">
        <v>0.09</v>
      </c>
      <c r="M129" s="242">
        <v>0.1</v>
      </c>
      <c r="N129" s="242">
        <v>0.3</v>
      </c>
      <c r="O129" s="242">
        <v>0.63</v>
      </c>
      <c r="P129" s="241" t="s">
        <v>3345</v>
      </c>
      <c r="Q129" s="241" t="s">
        <v>3347</v>
      </c>
      <c r="R129" s="243" t="s">
        <v>4562</v>
      </c>
      <c r="S129" s="270">
        <f t="shared" si="4"/>
        <v>31464</v>
      </c>
      <c r="T129" s="270"/>
      <c r="U129" s="270">
        <f>IFERROR(VLOOKUP($A129,GeneratingCapabilityList!$E$7:$O$1673,11,FALSE),"ID Not Found")</f>
        <v>31464</v>
      </c>
      <c r="V129" s="271" t="str">
        <f>IFERROR(VLOOKUP($A129,GeneratingCapabilityList!$E$7:$O$1673,6,FALSE),"UNKNOWN")</f>
        <v>HYDRO</v>
      </c>
      <c r="W129" s="271">
        <f>IFERROR(VLOOKUP($A129,GeneratingCapabilityList!$E$7:$O$1673,3,FALSE),"ID Not Found")</f>
        <v>1.5</v>
      </c>
      <c r="Y129" s="270"/>
    </row>
    <row r="130" spans="1:26">
      <c r="A130" s="241" t="s">
        <v>63</v>
      </c>
      <c r="B130" s="241" t="s">
        <v>3361</v>
      </c>
      <c r="C130" s="241" t="s">
        <v>3421</v>
      </c>
      <c r="D130" s="242">
        <v>0.75</v>
      </c>
      <c r="E130" s="242">
        <v>0.73</v>
      </c>
      <c r="F130" s="242">
        <v>0.46</v>
      </c>
      <c r="G130" s="242">
        <v>0.57999999999999996</v>
      </c>
      <c r="H130" s="242">
        <v>0.76</v>
      </c>
      <c r="I130" s="242">
        <v>0.73</v>
      </c>
      <c r="J130" s="242">
        <v>0.71</v>
      </c>
      <c r="K130" s="242">
        <v>0.63</v>
      </c>
      <c r="L130" s="242">
        <v>0.66</v>
      </c>
      <c r="M130" s="242">
        <v>0.68</v>
      </c>
      <c r="N130" s="242">
        <v>0.55000000000000004</v>
      </c>
      <c r="O130" s="242">
        <v>0.55000000000000004</v>
      </c>
      <c r="P130" s="241" t="s">
        <v>3345</v>
      </c>
      <c r="Q130" s="241" t="s">
        <v>3347</v>
      </c>
      <c r="R130" s="243" t="s">
        <v>4561</v>
      </c>
      <c r="S130" s="270">
        <f t="shared" si="4"/>
        <v>2193</v>
      </c>
      <c r="T130" s="270"/>
      <c r="U130" s="270">
        <f>IFERROR(VLOOKUP($A130,GeneratingCapabilityList!$E$7:$O$1673,11,FALSE),"ID Not Found")</f>
        <v>2193</v>
      </c>
      <c r="V130" s="271" t="str">
        <f>IFERROR(VLOOKUP($A130,GeneratingCapabilityList!$E$7:$O$1673,6,FALSE),"UNKNOWN")</f>
        <v>HYDRO</v>
      </c>
      <c r="W130" s="271">
        <f>IFERROR(VLOOKUP($A130,GeneratingCapabilityList!$E$7:$O$1673,3,FALSE),"ID Not Found")</f>
        <v>2</v>
      </c>
      <c r="Y130" s="270"/>
    </row>
    <row r="131" spans="1:26">
      <c r="A131" s="241" t="s">
        <v>970</v>
      </c>
      <c r="B131" s="241" t="s">
        <v>3324</v>
      </c>
      <c r="C131" s="241" t="s">
        <v>3422</v>
      </c>
      <c r="D131" s="242">
        <v>0</v>
      </c>
      <c r="E131" s="242">
        <v>0</v>
      </c>
      <c r="F131" s="242">
        <v>0</v>
      </c>
      <c r="G131" s="242">
        <v>0</v>
      </c>
      <c r="H131" s="242">
        <v>0</v>
      </c>
      <c r="I131" s="242">
        <v>0</v>
      </c>
      <c r="J131" s="242">
        <v>0</v>
      </c>
      <c r="K131" s="242">
        <v>0</v>
      </c>
      <c r="L131" s="242">
        <v>0</v>
      </c>
      <c r="M131" s="242">
        <v>0</v>
      </c>
      <c r="N131" s="242">
        <v>0</v>
      </c>
      <c r="O131" s="242">
        <v>0</v>
      </c>
      <c r="P131" s="241" t="s">
        <v>3345</v>
      </c>
      <c r="Q131" s="241" t="s">
        <v>3347</v>
      </c>
      <c r="R131" s="243" t="s">
        <v>4562</v>
      </c>
      <c r="S131" s="270">
        <f t="shared" si="4"/>
        <v>30655</v>
      </c>
      <c r="T131" s="270"/>
      <c r="U131" s="270">
        <f>IFERROR(VLOOKUP($A131,GeneratingCapabilityList!$E$7:$O$1673,11,FALSE),"ID Not Found")</f>
        <v>30655</v>
      </c>
      <c r="V131" s="271" t="str">
        <f>IFERROR(VLOOKUP($A131,GeneratingCapabilityList!$E$7:$O$1673,6,FALSE),"UNKNOWN")</f>
        <v>COGENERATION</v>
      </c>
      <c r="W131" s="271">
        <f>IFERROR(VLOOKUP($A131,GeneratingCapabilityList!$E$7:$O$1673,3,FALSE),"ID Not Found")</f>
        <v>1.25</v>
      </c>
      <c r="Y131" s="270"/>
    </row>
    <row r="132" spans="1:26">
      <c r="A132" s="820" t="s">
        <v>4439</v>
      </c>
      <c r="B132" s="245" t="s">
        <v>4579</v>
      </c>
      <c r="C132" s="874" t="s">
        <v>4589</v>
      </c>
      <c r="D132" s="281">
        <v>1.07</v>
      </c>
      <c r="E132" s="281">
        <v>10.130000000000001</v>
      </c>
      <c r="F132" s="281">
        <v>23.64</v>
      </c>
      <c r="G132" s="281">
        <v>76.430000000000007</v>
      </c>
      <c r="H132" s="281">
        <v>93.27</v>
      </c>
      <c r="I132" s="281">
        <v>110.15</v>
      </c>
      <c r="J132" s="281">
        <v>107.71</v>
      </c>
      <c r="K132" s="281">
        <v>103.43</v>
      </c>
      <c r="L132" s="281">
        <v>94.13</v>
      </c>
      <c r="M132" s="281">
        <v>59.47</v>
      </c>
      <c r="N132" s="281">
        <v>8.2200000000000006</v>
      </c>
      <c r="O132" s="281">
        <v>3.44</v>
      </c>
      <c r="P132" s="245" t="s">
        <v>3352</v>
      </c>
      <c r="Q132" s="245" t="s">
        <v>3347</v>
      </c>
      <c r="R132" s="246" t="s">
        <v>4562</v>
      </c>
      <c r="S132" s="270">
        <f t="shared" si="4"/>
        <v>41563</v>
      </c>
      <c r="T132" s="270"/>
      <c r="U132" s="270">
        <f>IFERROR(VLOOKUP($A132,GeneratingCapabilityList!$E$7:$O$1673,11,FALSE),"ID Not Found")</f>
        <v>41563</v>
      </c>
      <c r="V132" s="271" t="str">
        <f>IFERROR(VLOOKUP($A132,GeneratingCapabilityList!$E$7:$O$1673,6,FALSE),"UNKNOWN")</f>
        <v>SOLAR</v>
      </c>
      <c r="W132" s="271">
        <f>IFERROR(VLOOKUP($A132,GeneratingCapabilityList!$E$7:$O$1673,3,FALSE),"ID Not Found")</f>
        <v>51.47</v>
      </c>
      <c r="Y132" s="270"/>
      <c r="Z132" s="271" t="b">
        <f>TRUE</f>
        <v>1</v>
      </c>
    </row>
    <row r="133" spans="1:26">
      <c r="A133" s="241" t="s">
        <v>22</v>
      </c>
      <c r="B133" s="241" t="s">
        <v>3361</v>
      </c>
      <c r="C133" s="241" t="s">
        <v>3423</v>
      </c>
      <c r="D133" s="242">
        <v>0.37</v>
      </c>
      <c r="E133" s="242">
        <v>0.56000000000000005</v>
      </c>
      <c r="F133" s="242">
        <v>0.31</v>
      </c>
      <c r="G133" s="242">
        <v>0.34</v>
      </c>
      <c r="H133" s="242">
        <v>0.33</v>
      </c>
      <c r="I133" s="242">
        <v>0.39</v>
      </c>
      <c r="J133" s="242">
        <v>0.44</v>
      </c>
      <c r="K133" s="242">
        <v>0.4</v>
      </c>
      <c r="L133" s="242">
        <v>0.35</v>
      </c>
      <c r="M133" s="242">
        <v>0.21</v>
      </c>
      <c r="N133" s="242">
        <v>0.17</v>
      </c>
      <c r="O133" s="242">
        <v>0</v>
      </c>
      <c r="P133" s="241" t="s">
        <v>3345</v>
      </c>
      <c r="Q133" s="241" t="s">
        <v>3347</v>
      </c>
      <c r="R133" s="243" t="s">
        <v>4561</v>
      </c>
      <c r="S133" s="270">
        <f t="shared" si="4"/>
        <v>1</v>
      </c>
      <c r="T133" s="270"/>
      <c r="U133" s="270">
        <f>IFERROR(VLOOKUP($A133,GeneratingCapabilityList!$E$7:$O$1673,11,FALSE),"ID Not Found")</f>
        <v>1</v>
      </c>
      <c r="V133" s="271" t="str">
        <f>IFERROR(VLOOKUP($A133,GeneratingCapabilityList!$E$7:$O$1673,6,FALSE),"UNKNOWN")</f>
        <v>HYDRO</v>
      </c>
      <c r="W133" s="271">
        <f>IFERROR(VLOOKUP($A133,GeneratingCapabilityList!$E$7:$O$1673,3,FALSE),"ID Not Found")</f>
        <v>6.4</v>
      </c>
      <c r="Y133" s="270"/>
    </row>
    <row r="134" spans="1:26">
      <c r="A134" s="245" t="s">
        <v>4454</v>
      </c>
      <c r="B134" s="245" t="s">
        <v>3324</v>
      </c>
      <c r="C134" s="245" t="s">
        <v>4455</v>
      </c>
      <c r="D134" s="249">
        <v>204.2</v>
      </c>
      <c r="E134" s="249">
        <v>204.2</v>
      </c>
      <c r="F134" s="249">
        <v>202.26</v>
      </c>
      <c r="G134" s="249">
        <v>199.2</v>
      </c>
      <c r="H134" s="249">
        <v>196.25</v>
      </c>
      <c r="I134" s="249">
        <v>193.39</v>
      </c>
      <c r="J134" s="249">
        <v>191.35</v>
      </c>
      <c r="K134" s="249">
        <v>191.35</v>
      </c>
      <c r="L134" s="249">
        <v>193.39</v>
      </c>
      <c r="M134" s="249">
        <v>196.25</v>
      </c>
      <c r="N134" s="249">
        <v>202.26</v>
      </c>
      <c r="O134" s="249">
        <v>203.28</v>
      </c>
      <c r="P134" s="245" t="s">
        <v>3345</v>
      </c>
      <c r="Q134" s="245" t="s">
        <v>4563</v>
      </c>
      <c r="R134" s="246" t="s">
        <v>4561</v>
      </c>
      <c r="S134" s="270">
        <f t="shared" si="4"/>
        <v>41395</v>
      </c>
      <c r="T134" s="270"/>
      <c r="U134" s="270">
        <f>IFERROR(VLOOKUP($A134,GeneratingCapabilityList!$E$7:$O$1673,11,FALSE),"ID Not Found")</f>
        <v>41395</v>
      </c>
      <c r="V134" s="271" t="str">
        <f>IFERROR(VLOOKUP($A134,GeneratingCapabilityList!$E$7:$O$1673,6,FALSE),"UNKNOWN")</f>
        <v>COGENERATION</v>
      </c>
      <c r="W134" s="271">
        <f>IFERROR(VLOOKUP($A134,GeneratingCapabilityList!$E$7:$O$1673,3,FALSE),"ID Not Found")</f>
        <v>200</v>
      </c>
      <c r="Y134" s="270"/>
    </row>
    <row r="135" spans="1:26">
      <c r="A135" s="252" t="s">
        <v>4457</v>
      </c>
      <c r="B135" s="248" t="s">
        <v>3324</v>
      </c>
      <c r="C135" s="248" t="s">
        <v>4458</v>
      </c>
      <c r="D135" s="249">
        <v>202.01</v>
      </c>
      <c r="E135" s="249">
        <v>202.01</v>
      </c>
      <c r="F135" s="249">
        <v>200.09</v>
      </c>
      <c r="G135" s="249">
        <v>197.07</v>
      </c>
      <c r="H135" s="249">
        <v>194.14</v>
      </c>
      <c r="I135" s="249">
        <v>191.32</v>
      </c>
      <c r="J135" s="249">
        <v>189.3</v>
      </c>
      <c r="K135" s="249">
        <v>189.3</v>
      </c>
      <c r="L135" s="249">
        <v>191.32</v>
      </c>
      <c r="M135" s="249">
        <v>194.14</v>
      </c>
      <c r="N135" s="249">
        <v>200.09</v>
      </c>
      <c r="O135" s="249">
        <v>201.1</v>
      </c>
      <c r="P135" s="245" t="s">
        <v>3345</v>
      </c>
      <c r="Q135" s="245" t="s">
        <v>4563</v>
      </c>
      <c r="R135" s="246" t="s">
        <v>4561</v>
      </c>
      <c r="S135" s="270">
        <f t="shared" si="4"/>
        <v>41395</v>
      </c>
      <c r="T135" s="270"/>
      <c r="U135" s="270">
        <f>IFERROR(VLOOKUP($A135,GeneratingCapabilityList!$E$7:$O$1673,11,FALSE),"ID Not Found")</f>
        <v>41395</v>
      </c>
      <c r="V135" s="271" t="str">
        <f>IFERROR(VLOOKUP($A135,GeneratingCapabilityList!$E$7:$O$1673,6,FALSE),"UNKNOWN")</f>
        <v>COGENERATION</v>
      </c>
      <c r="W135" s="271">
        <f>IFERROR(VLOOKUP($A135,GeneratingCapabilityList!$E$7:$O$1673,3,FALSE),"ID Not Found")</f>
        <v>200</v>
      </c>
      <c r="Y135" s="270"/>
    </row>
    <row r="136" spans="1:26">
      <c r="A136" s="245" t="s">
        <v>4459</v>
      </c>
      <c r="B136" s="245" t="s">
        <v>3324</v>
      </c>
      <c r="C136" s="245" t="s">
        <v>4460</v>
      </c>
      <c r="D136" s="249">
        <v>204.31</v>
      </c>
      <c r="E136" s="249">
        <v>204.31</v>
      </c>
      <c r="F136" s="249">
        <v>202.37</v>
      </c>
      <c r="G136" s="249">
        <v>199.31</v>
      </c>
      <c r="H136" s="249">
        <v>196.35</v>
      </c>
      <c r="I136" s="249">
        <v>193.49</v>
      </c>
      <c r="J136" s="249">
        <v>191.45</v>
      </c>
      <c r="K136" s="249">
        <v>191.45</v>
      </c>
      <c r="L136" s="249">
        <v>193.49</v>
      </c>
      <c r="M136" s="249">
        <v>196.35</v>
      </c>
      <c r="N136" s="249">
        <v>202.37</v>
      </c>
      <c r="O136" s="249">
        <v>203.39</v>
      </c>
      <c r="P136" s="245" t="s">
        <v>3345</v>
      </c>
      <c r="Q136" s="245" t="s">
        <v>4563</v>
      </c>
      <c r="R136" s="246" t="s">
        <v>4561</v>
      </c>
      <c r="S136" s="270">
        <f t="shared" si="4"/>
        <v>41395</v>
      </c>
      <c r="T136" s="270"/>
      <c r="U136" s="270">
        <f>IFERROR(VLOOKUP($A136,GeneratingCapabilityList!$E$7:$O$1673,11,FALSE),"ID Not Found")</f>
        <v>41395</v>
      </c>
      <c r="V136" s="271" t="str">
        <f>IFERROR(VLOOKUP($A136,GeneratingCapabilityList!$E$7:$O$1673,6,FALSE),"UNKNOWN")</f>
        <v>COGENERATION</v>
      </c>
      <c r="W136" s="271">
        <f>IFERROR(VLOOKUP($A136,GeneratingCapabilityList!$E$7:$O$1673,3,FALSE),"ID Not Found")</f>
        <v>200</v>
      </c>
      <c r="Y136" s="270"/>
    </row>
    <row r="137" spans="1:26">
      <c r="A137" s="245" t="s">
        <v>4461</v>
      </c>
      <c r="B137" s="245" t="s">
        <v>3324</v>
      </c>
      <c r="C137" s="245" t="s">
        <v>4462</v>
      </c>
      <c r="D137" s="249">
        <v>204.29</v>
      </c>
      <c r="E137" s="249">
        <v>204.29</v>
      </c>
      <c r="F137" s="249">
        <v>202.35</v>
      </c>
      <c r="G137" s="249">
        <v>199.29</v>
      </c>
      <c r="H137" s="249">
        <v>196.33</v>
      </c>
      <c r="I137" s="249">
        <v>193.48</v>
      </c>
      <c r="J137" s="249">
        <v>191.44</v>
      </c>
      <c r="K137" s="249">
        <v>191.44</v>
      </c>
      <c r="L137" s="249">
        <v>193.48</v>
      </c>
      <c r="M137" s="249">
        <v>196.33</v>
      </c>
      <c r="N137" s="249">
        <v>202.35</v>
      </c>
      <c r="O137" s="249">
        <v>203.37</v>
      </c>
      <c r="P137" s="245" t="s">
        <v>3345</v>
      </c>
      <c r="Q137" s="245" t="s">
        <v>4563</v>
      </c>
      <c r="R137" s="246" t="s">
        <v>4561</v>
      </c>
      <c r="S137" s="270">
        <f t="shared" si="4"/>
        <v>41395</v>
      </c>
      <c r="T137" s="270"/>
      <c r="U137" s="270">
        <f>IFERROR(VLOOKUP($A137,GeneratingCapabilityList!$E$7:$O$1673,11,FALSE),"ID Not Found")</f>
        <v>41395</v>
      </c>
      <c r="V137" s="271" t="str">
        <f>IFERROR(VLOOKUP($A137,GeneratingCapabilityList!$E$7:$O$1673,6,FALSE),"UNKNOWN")</f>
        <v>COGENERATION</v>
      </c>
      <c r="W137" s="271">
        <f>IFERROR(VLOOKUP($A137,GeneratingCapabilityList!$E$7:$O$1673,3,FALSE),"ID Not Found")</f>
        <v>200</v>
      </c>
      <c r="Y137" s="270"/>
    </row>
    <row r="138" spans="1:26">
      <c r="A138" s="241" t="s">
        <v>4590</v>
      </c>
      <c r="B138" s="245" t="s">
        <v>3373</v>
      </c>
      <c r="C138" s="241" t="s">
        <v>4591</v>
      </c>
      <c r="D138" s="242">
        <v>31.18</v>
      </c>
      <c r="E138" s="242">
        <v>23.44</v>
      </c>
      <c r="F138" s="242">
        <v>33.04</v>
      </c>
      <c r="G138" s="242">
        <v>17.46</v>
      </c>
      <c r="H138" s="242">
        <v>7.18</v>
      </c>
      <c r="I138" s="242">
        <v>22.54</v>
      </c>
      <c r="J138" s="242">
        <v>27.89</v>
      </c>
      <c r="K138" s="242">
        <v>25.46</v>
      </c>
      <c r="L138" s="242">
        <v>26.13</v>
      </c>
      <c r="M138" s="242">
        <v>26.47</v>
      </c>
      <c r="N138" s="242">
        <v>18.14</v>
      </c>
      <c r="O138" s="242">
        <v>25.66</v>
      </c>
      <c r="P138" s="245" t="s">
        <v>3345</v>
      </c>
      <c r="Q138" s="245" t="s">
        <v>3347</v>
      </c>
      <c r="R138" s="243" t="s">
        <v>4562</v>
      </c>
      <c r="S138" s="270">
        <f>Scenarios!$B$55</f>
        <v>36526</v>
      </c>
      <c r="T138" s="270" t="s">
        <v>4798</v>
      </c>
      <c r="U138" s="270" t="str">
        <f>IFERROR(VLOOKUP($A138,GeneratingCapabilityList!$E$7:$O$1673,11,FALSE),"ID Not Found")</f>
        <v>ID Not Found</v>
      </c>
      <c r="V138" s="271" t="str">
        <f>IFERROR(VLOOKUP($A138,GeneratingCapabilityList!$E$7:$O$1673,6,FALSE),"UNKNOWN")</f>
        <v>UNKNOWN</v>
      </c>
      <c r="W138" s="271" t="str">
        <f>IFERROR(VLOOKUP($A138,GeneratingCapabilityList!$E$7:$O$1673,3,FALSE),"ID Not Found")</f>
        <v>ID Not Found</v>
      </c>
      <c r="Y138" s="270"/>
    </row>
    <row r="139" spans="1:26">
      <c r="A139" s="241" t="s">
        <v>735</v>
      </c>
      <c r="B139" s="241" t="s">
        <v>3361</v>
      </c>
      <c r="C139" s="241" t="s">
        <v>3424</v>
      </c>
      <c r="D139" s="242">
        <v>6.07</v>
      </c>
      <c r="E139" s="242">
        <v>7.73</v>
      </c>
      <c r="F139" s="242">
        <v>10.02</v>
      </c>
      <c r="G139" s="242">
        <v>9.42</v>
      </c>
      <c r="H139" s="242">
        <v>9.16</v>
      </c>
      <c r="I139" s="242">
        <v>8.11</v>
      </c>
      <c r="J139" s="242">
        <v>5.77</v>
      </c>
      <c r="K139" s="242">
        <v>1.92</v>
      </c>
      <c r="L139" s="242">
        <v>2.61</v>
      </c>
      <c r="M139" s="242">
        <v>3.81</v>
      </c>
      <c r="N139" s="242">
        <v>3.91</v>
      </c>
      <c r="O139" s="242">
        <v>5.84</v>
      </c>
      <c r="P139" s="241" t="s">
        <v>3345</v>
      </c>
      <c r="Q139" s="241" t="s">
        <v>3347</v>
      </c>
      <c r="R139" s="243" t="s">
        <v>4561</v>
      </c>
      <c r="S139" s="270">
        <f t="shared" si="4"/>
        <v>28856</v>
      </c>
      <c r="T139" s="270"/>
      <c r="U139" s="270">
        <f>IFERROR(VLOOKUP($A139,GeneratingCapabilityList!$E$7:$O$1673,11,FALSE),"ID Not Found")</f>
        <v>28856</v>
      </c>
      <c r="V139" s="271" t="str">
        <f>IFERROR(VLOOKUP($A139,GeneratingCapabilityList!$E$7:$O$1673,6,FALSE),"UNKNOWN")</f>
        <v>HYDRO</v>
      </c>
      <c r="W139" s="271">
        <f>IFERROR(VLOOKUP($A139,GeneratingCapabilityList!$E$7:$O$1673,3,FALSE),"ID Not Found")</f>
        <v>13</v>
      </c>
      <c r="Y139" s="270"/>
    </row>
    <row r="140" spans="1:26">
      <c r="A140" s="241" t="s">
        <v>2095</v>
      </c>
      <c r="B140" s="241" t="s">
        <v>3349</v>
      </c>
      <c r="C140" s="241" t="s">
        <v>2096</v>
      </c>
      <c r="D140" s="242">
        <v>38.6</v>
      </c>
      <c r="E140" s="242">
        <v>39.090000000000003</v>
      </c>
      <c r="F140" s="242">
        <v>38.29</v>
      </c>
      <c r="G140" s="242">
        <v>37.51</v>
      </c>
      <c r="H140" s="242">
        <v>37.21</v>
      </c>
      <c r="I140" s="242">
        <v>35.93</v>
      </c>
      <c r="J140" s="242">
        <v>35.33</v>
      </c>
      <c r="K140" s="242">
        <v>35.25</v>
      </c>
      <c r="L140" s="242">
        <v>35.51</v>
      </c>
      <c r="M140" s="242">
        <v>35.270000000000003</v>
      </c>
      <c r="N140" s="242">
        <v>37.840000000000003</v>
      </c>
      <c r="O140" s="242">
        <v>38.89</v>
      </c>
      <c r="P140" s="241" t="s">
        <v>3345</v>
      </c>
      <c r="Q140" s="241" t="s">
        <v>3347</v>
      </c>
      <c r="R140" s="243" t="s">
        <v>4562</v>
      </c>
      <c r="S140" s="270">
        <f t="shared" si="4"/>
        <v>33528</v>
      </c>
      <c r="T140" s="270"/>
      <c r="U140" s="270">
        <f>IFERROR(VLOOKUP($A140,GeneratingCapabilityList!$E$7:$O$1673,11,FALSE),"ID Not Found")</f>
        <v>33528</v>
      </c>
      <c r="V140" s="271" t="str">
        <f>IFERROR(VLOOKUP($A140,GeneratingCapabilityList!$E$7:$O$1673,6,FALSE),"UNKNOWN")</f>
        <v>COGENERATION</v>
      </c>
      <c r="W140" s="271">
        <f>IFERROR(VLOOKUP($A140,GeneratingCapabilityList!$E$7:$O$1673,3,FALSE),"ID Not Found")</f>
        <v>52.9</v>
      </c>
      <c r="Y140" s="270"/>
    </row>
    <row r="141" spans="1:26">
      <c r="A141" s="241" t="s">
        <v>609</v>
      </c>
      <c r="B141" s="241" t="s">
        <v>3375</v>
      </c>
      <c r="C141" s="241" t="s">
        <v>3425</v>
      </c>
      <c r="D141" s="242">
        <v>149.85</v>
      </c>
      <c r="E141" s="242">
        <v>148.63999999999999</v>
      </c>
      <c r="F141" s="242">
        <v>153.29</v>
      </c>
      <c r="G141" s="242">
        <v>158.63</v>
      </c>
      <c r="H141" s="242">
        <v>162.79</v>
      </c>
      <c r="I141" s="242">
        <v>165.7</v>
      </c>
      <c r="J141" s="242">
        <v>165.1</v>
      </c>
      <c r="K141" s="242">
        <v>161.65</v>
      </c>
      <c r="L141" s="242">
        <v>156.74</v>
      </c>
      <c r="M141" s="242">
        <v>151.87</v>
      </c>
      <c r="N141" s="242">
        <v>149.94999999999999</v>
      </c>
      <c r="O141" s="242">
        <v>148.24</v>
      </c>
      <c r="P141" s="241" t="s">
        <v>3345</v>
      </c>
      <c r="Q141" s="241" t="s">
        <v>3347</v>
      </c>
      <c r="R141" s="243" t="s">
        <v>4561</v>
      </c>
      <c r="S141" s="270">
        <f t="shared" si="4"/>
        <v>25204</v>
      </c>
      <c r="T141" s="270"/>
      <c r="U141" s="270">
        <f>IFERROR(VLOOKUP($A141,GeneratingCapabilityList!$E$7:$O$1673,11,FALSE),"ID Not Found")</f>
        <v>25204</v>
      </c>
      <c r="V141" s="271" t="str">
        <f>IFERROR(VLOOKUP($A141,GeneratingCapabilityList!$E$7:$O$1673,6,FALSE),"UNKNOWN")</f>
        <v>HYDRO</v>
      </c>
      <c r="W141" s="271">
        <f>IFERROR(VLOOKUP($A141,GeneratingCapabilityList!$E$7:$O$1673,3,FALSE),"ID Not Found")</f>
        <v>176.72</v>
      </c>
      <c r="Y141" s="270"/>
    </row>
    <row r="142" spans="1:26">
      <c r="A142" s="241" t="s">
        <v>612</v>
      </c>
      <c r="B142" s="241" t="s">
        <v>3375</v>
      </c>
      <c r="C142" s="241" t="s">
        <v>3426</v>
      </c>
      <c r="D142" s="242">
        <v>149.80000000000001</v>
      </c>
      <c r="E142" s="242">
        <v>148.6</v>
      </c>
      <c r="F142" s="242">
        <v>153.24</v>
      </c>
      <c r="G142" s="242">
        <v>158.63</v>
      </c>
      <c r="H142" s="242">
        <v>162.83000000000001</v>
      </c>
      <c r="I142" s="242">
        <v>165.76</v>
      </c>
      <c r="J142" s="242">
        <v>165.16</v>
      </c>
      <c r="K142" s="242">
        <v>161.68</v>
      </c>
      <c r="L142" s="242">
        <v>156.71</v>
      </c>
      <c r="M142" s="242">
        <v>151.81</v>
      </c>
      <c r="N142" s="242">
        <v>149.91</v>
      </c>
      <c r="O142" s="242">
        <v>148.21</v>
      </c>
      <c r="P142" s="241" t="s">
        <v>3345</v>
      </c>
      <c r="Q142" s="241" t="s">
        <v>3347</v>
      </c>
      <c r="R142" s="243" t="s">
        <v>4561</v>
      </c>
      <c r="S142" s="270">
        <f t="shared" si="4"/>
        <v>25204</v>
      </c>
      <c r="T142" s="270"/>
      <c r="U142" s="270">
        <f>IFERROR(VLOOKUP($A142,GeneratingCapabilityList!$E$7:$O$1673,11,FALSE),"ID Not Found")</f>
        <v>25204</v>
      </c>
      <c r="V142" s="271" t="str">
        <f>IFERROR(VLOOKUP($A142,GeneratingCapabilityList!$E$7:$O$1673,6,FALSE),"UNKNOWN")</f>
        <v>HYDRO</v>
      </c>
      <c r="W142" s="271">
        <f>IFERROR(VLOOKUP($A142,GeneratingCapabilityList!$E$7:$O$1673,3,FALSE),"ID Not Found")</f>
        <v>175.67</v>
      </c>
      <c r="Y142" s="270"/>
    </row>
    <row r="143" spans="1:26">
      <c r="A143" s="241" t="s">
        <v>1050</v>
      </c>
      <c r="B143" s="241" t="s">
        <v>3361</v>
      </c>
      <c r="C143" s="241" t="s">
        <v>3427</v>
      </c>
      <c r="D143" s="242">
        <v>5.63</v>
      </c>
      <c r="E143" s="242">
        <v>5.68</v>
      </c>
      <c r="F143" s="242">
        <v>5.25</v>
      </c>
      <c r="G143" s="242">
        <v>4.13</v>
      </c>
      <c r="H143" s="242">
        <v>5.39</v>
      </c>
      <c r="I143" s="242">
        <v>5.03</v>
      </c>
      <c r="J143" s="242">
        <v>5.38</v>
      </c>
      <c r="K143" s="242">
        <v>5.13</v>
      </c>
      <c r="L143" s="242">
        <v>5.35</v>
      </c>
      <c r="M143" s="242">
        <v>5.26</v>
      </c>
      <c r="N143" s="242">
        <v>4.4000000000000004</v>
      </c>
      <c r="O143" s="242">
        <v>5.5</v>
      </c>
      <c r="P143" s="241" t="s">
        <v>3345</v>
      </c>
      <c r="Q143" s="241" t="s">
        <v>3347</v>
      </c>
      <c r="R143" s="243" t="s">
        <v>4562</v>
      </c>
      <c r="S143" s="270">
        <f t="shared" si="4"/>
        <v>30776</v>
      </c>
      <c r="T143" s="270"/>
      <c r="U143" s="270">
        <f>IFERROR(VLOOKUP($A143,GeneratingCapabilityList!$E$7:$O$1673,11,FALSE),"ID Not Found")</f>
        <v>30776</v>
      </c>
      <c r="V143" s="271" t="str">
        <f>IFERROR(VLOOKUP($A143,GeneratingCapabilityList!$E$7:$O$1673,6,FALSE),"UNKNOWN")</f>
        <v>BIOMASS</v>
      </c>
      <c r="W143" s="271">
        <f>IFERROR(VLOOKUP($A143,GeneratingCapabilityList!$E$7:$O$1673,3,FALSE),"ID Not Found")</f>
        <v>13.8</v>
      </c>
      <c r="Y143" s="270"/>
    </row>
    <row r="144" spans="1:26">
      <c r="A144" s="241" t="s">
        <v>2622</v>
      </c>
      <c r="B144" s="241" t="s">
        <v>3327</v>
      </c>
      <c r="C144" s="241" t="s">
        <v>3428</v>
      </c>
      <c r="D144" s="242">
        <v>43</v>
      </c>
      <c r="E144" s="242">
        <v>43</v>
      </c>
      <c r="F144" s="242">
        <v>43</v>
      </c>
      <c r="G144" s="242">
        <v>43</v>
      </c>
      <c r="H144" s="242">
        <v>43</v>
      </c>
      <c r="I144" s="242">
        <v>43</v>
      </c>
      <c r="J144" s="242">
        <v>43</v>
      </c>
      <c r="K144" s="242">
        <v>43</v>
      </c>
      <c r="L144" s="242">
        <v>43</v>
      </c>
      <c r="M144" s="242">
        <v>43</v>
      </c>
      <c r="N144" s="242">
        <v>43</v>
      </c>
      <c r="O144" s="242">
        <v>43</v>
      </c>
      <c r="P144" s="241" t="s">
        <v>3352</v>
      </c>
      <c r="Q144" s="241" t="s">
        <v>3347</v>
      </c>
      <c r="R144" s="243" t="s">
        <v>4562</v>
      </c>
      <c r="S144" s="270">
        <f t="shared" si="4"/>
        <v>37799</v>
      </c>
      <c r="T144" s="270"/>
      <c r="U144" s="270">
        <f>IFERROR(VLOOKUP($A144,GeneratingCapabilityList!$E$7:$O$1673,11,FALSE),"ID Not Found")</f>
        <v>37799</v>
      </c>
      <c r="V144" s="271" t="str">
        <f>IFERROR(VLOOKUP($A144,GeneratingCapabilityList!$E$7:$O$1673,6,FALSE),"UNKNOWN")</f>
        <v>PEAKER</v>
      </c>
      <c r="W144" s="271">
        <f>IFERROR(VLOOKUP($A144,GeneratingCapabilityList!$E$7:$O$1673,3,FALSE),"ID Not Found")</f>
        <v>43</v>
      </c>
      <c r="Y144" s="270"/>
    </row>
    <row r="145" spans="1:25">
      <c r="A145" s="241" t="s">
        <v>2970</v>
      </c>
      <c r="B145" s="241" t="s">
        <v>3361</v>
      </c>
      <c r="C145" s="241" t="s">
        <v>2971</v>
      </c>
      <c r="D145" s="242">
        <v>668</v>
      </c>
      <c r="E145" s="242">
        <v>662</v>
      </c>
      <c r="F145" s="242">
        <v>656</v>
      </c>
      <c r="G145" s="242">
        <v>650</v>
      </c>
      <c r="H145" s="242">
        <v>642</v>
      </c>
      <c r="I145" s="242">
        <v>635</v>
      </c>
      <c r="J145" s="242">
        <v>630</v>
      </c>
      <c r="K145" s="242">
        <v>630</v>
      </c>
      <c r="L145" s="242">
        <v>635</v>
      </c>
      <c r="M145" s="242">
        <v>642</v>
      </c>
      <c r="N145" s="242">
        <v>656</v>
      </c>
      <c r="O145" s="242">
        <v>668</v>
      </c>
      <c r="P145" s="241" t="s">
        <v>3345</v>
      </c>
      <c r="Q145" s="241" t="s">
        <v>3347</v>
      </c>
      <c r="R145" s="243" t="s">
        <v>4561</v>
      </c>
      <c r="S145" s="270">
        <f t="shared" si="4"/>
        <v>40534</v>
      </c>
      <c r="T145" s="270"/>
      <c r="U145" s="270">
        <f>IFERROR(VLOOKUP($A145,GeneratingCapabilityList!$E$7:$O$1673,11,FALSE),"ID Not Found")</f>
        <v>40534</v>
      </c>
      <c r="V145" s="271" t="str">
        <f>IFERROR(VLOOKUP($A145,GeneratingCapabilityList!$E$7:$O$1673,6,FALSE),"UNKNOWN")</f>
        <v>COGENERATION</v>
      </c>
      <c r="W145" s="271">
        <f>IFERROR(VLOOKUP($A145,GeneratingCapabilityList!$E$7:$O$1673,3,FALSE),"ID Not Found")</f>
        <v>668</v>
      </c>
      <c r="Y145" s="270"/>
    </row>
    <row r="146" spans="1:25">
      <c r="A146" s="241" t="s">
        <v>3120</v>
      </c>
      <c r="B146" s="241" t="s">
        <v>3361</v>
      </c>
      <c r="C146" s="241" t="s">
        <v>3429</v>
      </c>
      <c r="D146" s="242">
        <v>246.86</v>
      </c>
      <c r="E146" s="242">
        <v>246.86</v>
      </c>
      <c r="F146" s="242">
        <v>246.86</v>
      </c>
      <c r="G146" s="242">
        <v>246.86</v>
      </c>
      <c r="H146" s="242">
        <v>246.86</v>
      </c>
      <c r="I146" s="242">
        <v>246.86</v>
      </c>
      <c r="J146" s="242">
        <v>246.86</v>
      </c>
      <c r="K146" s="242">
        <v>246.86</v>
      </c>
      <c r="L146" s="242">
        <v>246.86</v>
      </c>
      <c r="M146" s="242">
        <v>246.86</v>
      </c>
      <c r="N146" s="242">
        <v>246.86</v>
      </c>
      <c r="O146" s="242">
        <v>246.86</v>
      </c>
      <c r="P146" s="241" t="s">
        <v>3345</v>
      </c>
      <c r="Q146" s="241" t="s">
        <v>3347</v>
      </c>
      <c r="R146" s="243" t="s">
        <v>4561</v>
      </c>
      <c r="S146" s="270">
        <v>32509</v>
      </c>
      <c r="T146" s="270" t="s">
        <v>4248</v>
      </c>
      <c r="U146" s="270" t="str">
        <f>IFERROR(VLOOKUP($A146,GeneratingCapabilityList!$E$7:$O$1673,11,FALSE),"ID Not Found")</f>
        <v>UNK</v>
      </c>
      <c r="V146" s="271" t="str">
        <f>IFERROR(VLOOKUP($A146,GeneratingCapabilityList!$E$7:$O$1673,6,FALSE),"UNKNOWN")</f>
        <v>HYDRO</v>
      </c>
      <c r="W146" s="271">
        <f>IFERROR(VLOOKUP($A146,GeneratingCapabilityList!$E$7:$O$1673,3,FALSE),"ID Not Found")</f>
        <v>246.86</v>
      </c>
      <c r="Y146" s="270"/>
    </row>
    <row r="147" spans="1:25">
      <c r="A147" s="241" t="s">
        <v>3126</v>
      </c>
      <c r="B147" s="241" t="s">
        <v>3324</v>
      </c>
      <c r="C147" s="241" t="s">
        <v>3430</v>
      </c>
      <c r="D147" s="242">
        <v>25.05</v>
      </c>
      <c r="E147" s="242">
        <v>23.37</v>
      </c>
      <c r="F147" s="242">
        <v>25.74</v>
      </c>
      <c r="G147" s="242">
        <v>25.32</v>
      </c>
      <c r="H147" s="242">
        <v>25.41</v>
      </c>
      <c r="I147" s="242">
        <v>24.85</v>
      </c>
      <c r="J147" s="242">
        <v>24.58</v>
      </c>
      <c r="K147" s="242">
        <v>18.010000000000002</v>
      </c>
      <c r="L147" s="242">
        <v>24.28</v>
      </c>
      <c r="M147" s="242">
        <v>24.73</v>
      </c>
      <c r="N147" s="242">
        <v>24.94</v>
      </c>
      <c r="O147" s="242">
        <v>24.36</v>
      </c>
      <c r="P147" s="241" t="s">
        <v>3345</v>
      </c>
      <c r="Q147" s="241" t="s">
        <v>3347</v>
      </c>
      <c r="R147" s="243" t="s">
        <v>4561</v>
      </c>
      <c r="S147" s="270">
        <f>Scenarios!$B$55</f>
        <v>36526</v>
      </c>
      <c r="T147" s="270" t="s">
        <v>4798</v>
      </c>
      <c r="U147" s="270" t="str">
        <f>IFERROR(VLOOKUP($A147,GeneratingCapabilityList!$E$7:$O$1673,11,FALSE),"ID Not Found")</f>
        <v>UNK</v>
      </c>
      <c r="V147" s="271" t="str">
        <f>IFERROR(VLOOKUP($A147,GeneratingCapabilityList!$E$7:$O$1673,6,FALSE),"UNKNOWN")</f>
        <v>COGENERATION</v>
      </c>
      <c r="W147" s="271">
        <f>IFERROR(VLOOKUP($A147,GeneratingCapabilityList!$E$7:$O$1673,3,FALSE),"ID Not Found")</f>
        <v>25.8</v>
      </c>
      <c r="Y147" s="270"/>
    </row>
    <row r="148" spans="1:25">
      <c r="A148" s="252" t="s">
        <v>4481</v>
      </c>
      <c r="B148" s="247" t="s">
        <v>3361</v>
      </c>
      <c r="C148" s="248" t="s">
        <v>4592</v>
      </c>
      <c r="D148" s="249">
        <v>9.93</v>
      </c>
      <c r="E148" s="249">
        <v>9.1199999999999992</v>
      </c>
      <c r="F148" s="249">
        <v>10.050000000000001</v>
      </c>
      <c r="G148" s="249">
        <v>9.34</v>
      </c>
      <c r="H148" s="249">
        <v>9.2100000000000009</v>
      </c>
      <c r="I148" s="249">
        <v>7.95</v>
      </c>
      <c r="J148" s="249">
        <v>7.9</v>
      </c>
      <c r="K148" s="249">
        <v>7.86</v>
      </c>
      <c r="L148" s="249">
        <v>8.14</v>
      </c>
      <c r="M148" s="249">
        <v>8.89</v>
      </c>
      <c r="N148" s="249">
        <v>9.02</v>
      </c>
      <c r="O148" s="249">
        <v>9.44</v>
      </c>
      <c r="P148" s="245" t="s">
        <v>3352</v>
      </c>
      <c r="Q148" s="245" t="s">
        <v>3347</v>
      </c>
      <c r="R148" s="246" t="s">
        <v>4562</v>
      </c>
      <c r="S148" s="270">
        <f t="shared" ref="S148:S179" si="5">U148</f>
        <v>41365</v>
      </c>
      <c r="T148" s="270"/>
      <c r="U148" s="270">
        <f>IFERROR(VLOOKUP($A148,GeneratingCapabilityList!$E$7:$O$1673,11,FALSE),"ID Not Found")</f>
        <v>41365</v>
      </c>
      <c r="V148" s="271" t="str">
        <f>IFERROR(VLOOKUP($A148,GeneratingCapabilityList!$E$7:$O$1673,6,FALSE),"UNKNOWN")</f>
        <v>GEOTHERMAL</v>
      </c>
      <c r="W148" s="271">
        <f>IFERROR(VLOOKUP($A148,GeneratingCapabilityList!$E$7:$O$1673,3,FALSE),"ID Not Found")</f>
        <v>14</v>
      </c>
      <c r="Y148" s="270"/>
    </row>
    <row r="149" spans="1:25">
      <c r="A149" s="241" t="s">
        <v>110</v>
      </c>
      <c r="B149" s="241" t="s">
        <v>3361</v>
      </c>
      <c r="C149" s="241" t="s">
        <v>3431</v>
      </c>
      <c r="D149" s="242">
        <v>0.85</v>
      </c>
      <c r="E149" s="242">
        <v>0.75</v>
      </c>
      <c r="F149" s="242">
        <v>0.6</v>
      </c>
      <c r="G149" s="242">
        <v>0.9</v>
      </c>
      <c r="H149" s="242">
        <v>1.65</v>
      </c>
      <c r="I149" s="242">
        <v>2.54</v>
      </c>
      <c r="J149" s="242">
        <v>2.82</v>
      </c>
      <c r="K149" s="242">
        <v>2.02</v>
      </c>
      <c r="L149" s="242">
        <v>0.93</v>
      </c>
      <c r="M149" s="242">
        <v>0.78</v>
      </c>
      <c r="N149" s="242">
        <v>0.65</v>
      </c>
      <c r="O149" s="242">
        <v>0.69</v>
      </c>
      <c r="P149" s="241" t="s">
        <v>3352</v>
      </c>
      <c r="Q149" s="241" t="s">
        <v>3347</v>
      </c>
      <c r="R149" s="243" t="s">
        <v>4562</v>
      </c>
      <c r="S149" s="270">
        <f t="shared" si="5"/>
        <v>4019</v>
      </c>
      <c r="T149" s="270"/>
      <c r="U149" s="270">
        <f>IFERROR(VLOOKUP($A149,GeneratingCapabilityList!$E$7:$O$1673,11,FALSE),"ID Not Found")</f>
        <v>4019</v>
      </c>
      <c r="V149" s="271" t="str">
        <f>IFERROR(VLOOKUP($A149,GeneratingCapabilityList!$E$7:$O$1673,6,FALSE),"UNKNOWN")</f>
        <v>HYDRO</v>
      </c>
      <c r="W149" s="271">
        <f>IFERROR(VLOOKUP($A149,GeneratingCapabilityList!$E$7:$O$1673,3,FALSE),"ID Not Found")</f>
        <v>3</v>
      </c>
      <c r="Y149" s="270"/>
    </row>
    <row r="150" spans="1:25">
      <c r="A150" s="241" t="s">
        <v>1696</v>
      </c>
      <c r="B150" s="241" t="s">
        <v>3361</v>
      </c>
      <c r="C150" s="241" t="s">
        <v>3432</v>
      </c>
      <c r="D150" s="242">
        <v>53.36</v>
      </c>
      <c r="E150" s="242">
        <v>53.89</v>
      </c>
      <c r="F150" s="242">
        <v>54.24</v>
      </c>
      <c r="G150" s="242">
        <v>53.83</v>
      </c>
      <c r="H150" s="242">
        <v>53.53</v>
      </c>
      <c r="I150" s="242">
        <v>53.84</v>
      </c>
      <c r="J150" s="242">
        <v>52.65</v>
      </c>
      <c r="K150" s="242">
        <v>52.41</v>
      </c>
      <c r="L150" s="242">
        <v>54</v>
      </c>
      <c r="M150" s="242">
        <v>49.79</v>
      </c>
      <c r="N150" s="242">
        <v>54.84</v>
      </c>
      <c r="O150" s="242">
        <v>53.06</v>
      </c>
      <c r="P150" s="241" t="s">
        <v>3352</v>
      </c>
      <c r="Q150" s="241" t="s">
        <v>3347</v>
      </c>
      <c r="R150" s="243" t="s">
        <v>4562</v>
      </c>
      <c r="S150" s="270">
        <f t="shared" si="5"/>
        <v>32308</v>
      </c>
      <c r="T150" s="270"/>
      <c r="U150" s="270">
        <f>IFERROR(VLOOKUP($A150,GeneratingCapabilityList!$E$7:$O$1673,11,FALSE),"ID Not Found")</f>
        <v>32308</v>
      </c>
      <c r="V150" s="271" t="str">
        <f>IFERROR(VLOOKUP($A150,GeneratingCapabilityList!$E$7:$O$1673,6,FALSE),"UNKNOWN")</f>
        <v>GEOTHERMAL</v>
      </c>
      <c r="W150" s="271">
        <f>IFERROR(VLOOKUP($A150,GeneratingCapabilityList!$E$7:$O$1673,3,FALSE),"ID Not Found")</f>
        <v>64.7</v>
      </c>
      <c r="Y150" s="270"/>
    </row>
    <row r="151" spans="1:25">
      <c r="A151" s="241" t="s">
        <v>224</v>
      </c>
      <c r="B151" s="241" t="s">
        <v>3361</v>
      </c>
      <c r="C151" s="241" t="s">
        <v>3433</v>
      </c>
      <c r="D151" s="242">
        <v>0.89</v>
      </c>
      <c r="E151" s="242">
        <v>0.76</v>
      </c>
      <c r="F151" s="242">
        <v>0.94</v>
      </c>
      <c r="G151" s="242">
        <v>1.94</v>
      </c>
      <c r="H151" s="242">
        <v>5.62</v>
      </c>
      <c r="I151" s="242">
        <v>7.97</v>
      </c>
      <c r="J151" s="242">
        <v>9.82</v>
      </c>
      <c r="K151" s="242">
        <v>5.42</v>
      </c>
      <c r="L151" s="242">
        <v>2.41</v>
      </c>
      <c r="M151" s="242">
        <v>4.0599999999999996</v>
      </c>
      <c r="N151" s="242">
        <v>2.16</v>
      </c>
      <c r="O151" s="242">
        <v>1.01</v>
      </c>
      <c r="P151" s="241" t="s">
        <v>3352</v>
      </c>
      <c r="Q151" s="241" t="s">
        <v>3347</v>
      </c>
      <c r="R151" s="243" t="s">
        <v>4562</v>
      </c>
      <c r="S151" s="270">
        <f t="shared" si="5"/>
        <v>8767</v>
      </c>
      <c r="T151" s="270"/>
      <c r="U151" s="270">
        <f>IFERROR(VLOOKUP($A151,GeneratingCapabilityList!$E$7:$O$1673,11,FALSE),"ID Not Found")</f>
        <v>8767</v>
      </c>
      <c r="V151" s="271" t="str">
        <f>IFERROR(VLOOKUP($A151,GeneratingCapabilityList!$E$7:$O$1673,6,FALSE),"UNKNOWN")</f>
        <v>HYDRO</v>
      </c>
      <c r="W151" s="271">
        <f>IFERROR(VLOOKUP($A151,GeneratingCapabilityList!$E$7:$O$1673,3,FALSE),"ID Not Found")</f>
        <v>10.9</v>
      </c>
      <c r="Y151" s="270"/>
    </row>
    <row r="152" spans="1:25">
      <c r="A152" s="241" t="s">
        <v>806</v>
      </c>
      <c r="B152" s="241" t="s">
        <v>3361</v>
      </c>
      <c r="C152" s="241" t="s">
        <v>3434</v>
      </c>
      <c r="D152" s="242">
        <v>31.4</v>
      </c>
      <c r="E152" s="242">
        <v>31.4</v>
      </c>
      <c r="F152" s="242">
        <v>30.72</v>
      </c>
      <c r="G152" s="242">
        <v>27.53</v>
      </c>
      <c r="H152" s="242">
        <v>24.66</v>
      </c>
      <c r="I152" s="242">
        <v>18.559999999999999</v>
      </c>
      <c r="J152" s="242">
        <v>16.920000000000002</v>
      </c>
      <c r="K152" s="242">
        <v>16.47</v>
      </c>
      <c r="L152" s="242">
        <v>18.66</v>
      </c>
      <c r="M152" s="242">
        <v>22.09</v>
      </c>
      <c r="N152" s="242">
        <v>28.43</v>
      </c>
      <c r="O152" s="242">
        <v>29.19</v>
      </c>
      <c r="P152" s="241" t="s">
        <v>3352</v>
      </c>
      <c r="Q152" s="241" t="s">
        <v>3347</v>
      </c>
      <c r="R152" s="243" t="s">
        <v>4562</v>
      </c>
      <c r="S152" s="270">
        <f t="shared" si="5"/>
        <v>29952</v>
      </c>
      <c r="T152" s="270"/>
      <c r="U152" s="270">
        <f>IFERROR(VLOOKUP($A152,GeneratingCapabilityList!$E$7:$O$1673,11,FALSE),"ID Not Found")</f>
        <v>29952</v>
      </c>
      <c r="V152" s="271" t="str">
        <f>IFERROR(VLOOKUP($A152,GeneratingCapabilityList!$E$7:$O$1673,6,FALSE),"UNKNOWN")</f>
        <v>VARIOUS</v>
      </c>
      <c r="W152" s="271">
        <f>IFERROR(VLOOKUP($A152,GeneratingCapabilityList!$E$7:$O$1673,3,FALSE),"ID Not Found")</f>
        <v>41.8</v>
      </c>
      <c r="Y152" s="270"/>
    </row>
    <row r="153" spans="1:25">
      <c r="A153" s="241" t="s">
        <v>147</v>
      </c>
      <c r="B153" s="241" t="s">
        <v>3361</v>
      </c>
      <c r="C153" s="241" t="s">
        <v>3435</v>
      </c>
      <c r="D153" s="242">
        <v>6.1</v>
      </c>
      <c r="E153" s="242">
        <v>6.36</v>
      </c>
      <c r="F153" s="242">
        <v>6.26</v>
      </c>
      <c r="G153" s="242">
        <v>6</v>
      </c>
      <c r="H153" s="242">
        <v>9.33</v>
      </c>
      <c r="I153" s="242">
        <v>10.06</v>
      </c>
      <c r="J153" s="242">
        <v>10.81</v>
      </c>
      <c r="K153" s="242">
        <v>2.94</v>
      </c>
      <c r="L153" s="242">
        <v>3.02</v>
      </c>
      <c r="M153" s="242">
        <v>6.52</v>
      </c>
      <c r="N153" s="242">
        <v>7.41</v>
      </c>
      <c r="O153" s="242">
        <v>5.64</v>
      </c>
      <c r="P153" s="241" t="s">
        <v>3352</v>
      </c>
      <c r="Q153" s="241" t="s">
        <v>3347</v>
      </c>
      <c r="R153" s="243" t="s">
        <v>4562</v>
      </c>
      <c r="S153" s="270">
        <f t="shared" si="5"/>
        <v>5845</v>
      </c>
      <c r="T153" s="270"/>
      <c r="U153" s="270">
        <f>IFERROR(VLOOKUP($A153,GeneratingCapabilityList!$E$7:$O$1673,11,FALSE),"ID Not Found")</f>
        <v>5845</v>
      </c>
      <c r="V153" s="271" t="str">
        <f>IFERROR(VLOOKUP($A153,GeneratingCapabilityList!$E$7:$O$1673,6,FALSE),"UNKNOWN")</f>
        <v>HYDRO</v>
      </c>
      <c r="W153" s="271">
        <f>IFERROR(VLOOKUP($A153,GeneratingCapabilityList!$E$7:$O$1673,3,FALSE),"ID Not Found")</f>
        <v>11.94</v>
      </c>
      <c r="Y153" s="270"/>
    </row>
    <row r="154" spans="1:25">
      <c r="A154" s="241" t="s">
        <v>4442</v>
      </c>
      <c r="B154" s="245" t="s">
        <v>3361</v>
      </c>
      <c r="C154" s="241" t="s">
        <v>4593</v>
      </c>
      <c r="D154" s="249" t="s">
        <v>4573</v>
      </c>
      <c r="E154" s="249" t="s">
        <v>4573</v>
      </c>
      <c r="F154" s="249" t="s">
        <v>4573</v>
      </c>
      <c r="G154" s="249" t="s">
        <v>4573</v>
      </c>
      <c r="H154" s="249" t="s">
        <v>4573</v>
      </c>
      <c r="I154" s="249" t="s">
        <v>4573</v>
      </c>
      <c r="J154" s="249" t="s">
        <v>4573</v>
      </c>
      <c r="K154" s="249" t="s">
        <v>4573</v>
      </c>
      <c r="L154" s="249" t="s">
        <v>4573</v>
      </c>
      <c r="M154" s="249" t="s">
        <v>4573</v>
      </c>
      <c r="N154" s="249" t="s">
        <v>4573</v>
      </c>
      <c r="O154" s="249" t="s">
        <v>4573</v>
      </c>
      <c r="P154" s="245" t="s">
        <v>3352</v>
      </c>
      <c r="Q154" s="256" t="s">
        <v>3385</v>
      </c>
      <c r="R154" s="243" t="s">
        <v>4562</v>
      </c>
      <c r="S154" s="270">
        <f t="shared" si="5"/>
        <v>41124</v>
      </c>
      <c r="T154" s="270"/>
      <c r="U154" s="270">
        <f>IFERROR(VLOOKUP($A154,GeneratingCapabilityList!$E$7:$O$1673,11,FALSE),"ID Not Found")</f>
        <v>41124</v>
      </c>
      <c r="V154" s="271" t="str">
        <f>IFERROR(VLOOKUP($A154,GeneratingCapabilityList!$E$7:$O$1673,6,FALSE),"UNKNOWN")</f>
        <v>SOLAR</v>
      </c>
      <c r="W154" s="271">
        <f>IFERROR(VLOOKUP($A154,GeneratingCapabilityList!$E$7:$O$1673,3,FALSE),"ID Not Found")</f>
        <v>92</v>
      </c>
      <c r="Y154" s="270"/>
    </row>
    <row r="155" spans="1:25">
      <c r="A155" s="241" t="s">
        <v>3042</v>
      </c>
      <c r="B155" s="241" t="s">
        <v>3361</v>
      </c>
      <c r="C155" s="241" t="s">
        <v>4594</v>
      </c>
      <c r="D155" s="242">
        <v>0.03</v>
      </c>
      <c r="E155" s="242">
        <v>0.16</v>
      </c>
      <c r="F155" s="242">
        <v>0.56000000000000005</v>
      </c>
      <c r="G155" s="242">
        <v>6.2</v>
      </c>
      <c r="H155" s="242">
        <v>6.24</v>
      </c>
      <c r="I155" s="242">
        <v>6.62</v>
      </c>
      <c r="J155" s="242">
        <v>5.16</v>
      </c>
      <c r="K155" s="242">
        <v>5.65</v>
      </c>
      <c r="L155" s="242">
        <v>5.63</v>
      </c>
      <c r="M155" s="242">
        <v>4.2699999999999996</v>
      </c>
      <c r="N155" s="242">
        <v>0.03</v>
      </c>
      <c r="O155" s="242">
        <v>0.01</v>
      </c>
      <c r="P155" s="241" t="s">
        <v>3352</v>
      </c>
      <c r="Q155" s="241" t="s">
        <v>4595</v>
      </c>
      <c r="R155" s="243" t="s">
        <v>4562</v>
      </c>
      <c r="S155" s="270">
        <f t="shared" si="5"/>
        <v>40819</v>
      </c>
      <c r="T155" s="270"/>
      <c r="U155" s="270">
        <f>IFERROR(VLOOKUP($A155,GeneratingCapabilityList!$E$7:$O$1673,11,FALSE),"ID Not Found")</f>
        <v>40819</v>
      </c>
      <c r="V155" s="271" t="str">
        <f>IFERROR(VLOOKUP($A155,GeneratingCapabilityList!$E$7:$O$1673,6,FALSE),"UNKNOWN")</f>
        <v>SOLAR</v>
      </c>
      <c r="W155" s="271">
        <f>IFERROR(VLOOKUP($A155,GeneratingCapabilityList!$E$7:$O$1673,3,FALSE),"ID Not Found")</f>
        <v>10</v>
      </c>
      <c r="Y155" s="270"/>
    </row>
    <row r="156" spans="1:25">
      <c r="A156" s="241" t="s">
        <v>2935</v>
      </c>
      <c r="B156" s="241" t="s">
        <v>3361</v>
      </c>
      <c r="C156" s="241" t="s">
        <v>3436</v>
      </c>
      <c r="D156" s="242">
        <v>0.1</v>
      </c>
      <c r="E156" s="242">
        <v>0.55000000000000004</v>
      </c>
      <c r="F156" s="242">
        <v>1.9</v>
      </c>
      <c r="G156" s="242">
        <v>16.5</v>
      </c>
      <c r="H156" s="242">
        <v>16.5</v>
      </c>
      <c r="I156" s="242">
        <v>16.5</v>
      </c>
      <c r="J156" s="242">
        <v>16.5</v>
      </c>
      <c r="K156" s="242">
        <v>16.5</v>
      </c>
      <c r="L156" s="242">
        <v>16.5</v>
      </c>
      <c r="M156" s="242">
        <v>16.5</v>
      </c>
      <c r="N156" s="242">
        <v>0.24</v>
      </c>
      <c r="O156" s="242">
        <v>0.01</v>
      </c>
      <c r="P156" s="241" t="s">
        <v>3352</v>
      </c>
      <c r="Q156" s="245" t="s">
        <v>3438</v>
      </c>
      <c r="R156" s="243" t="s">
        <v>4562</v>
      </c>
      <c r="S156" s="270">
        <f t="shared" si="5"/>
        <v>40344</v>
      </c>
      <c r="T156" s="270"/>
      <c r="U156" s="270">
        <f>IFERROR(VLOOKUP($A156,GeneratingCapabilityList!$E$7:$O$1673,11,FALSE),"ID Not Found")</f>
        <v>40344</v>
      </c>
      <c r="V156" s="271" t="str">
        <f>IFERROR(VLOOKUP($A156,GeneratingCapabilityList!$E$7:$O$1673,6,FALSE),"UNKNOWN")</f>
        <v>SOLAR</v>
      </c>
      <c r="W156" s="271">
        <f>IFERROR(VLOOKUP($A156,GeneratingCapabilityList!$E$7:$O$1673,3,FALSE),"ID Not Found")</f>
        <v>48</v>
      </c>
      <c r="Y156" s="270"/>
    </row>
    <row r="157" spans="1:25">
      <c r="A157" s="241" t="s">
        <v>4517</v>
      </c>
      <c r="B157" s="245" t="s">
        <v>3327</v>
      </c>
      <c r="C157" s="241" t="s">
        <v>4596</v>
      </c>
      <c r="D157" s="249" t="s">
        <v>4573</v>
      </c>
      <c r="E157" s="249" t="s">
        <v>4573</v>
      </c>
      <c r="F157" s="249" t="s">
        <v>4573</v>
      </c>
      <c r="G157" s="249" t="s">
        <v>4573</v>
      </c>
      <c r="H157" s="249" t="s">
        <v>4573</v>
      </c>
      <c r="I157" s="249" t="s">
        <v>4573</v>
      </c>
      <c r="J157" s="249" t="s">
        <v>4573</v>
      </c>
      <c r="K157" s="249" t="s">
        <v>4573</v>
      </c>
      <c r="L157" s="249" t="s">
        <v>4573</v>
      </c>
      <c r="M157" s="249" t="s">
        <v>4573</v>
      </c>
      <c r="N157" s="249" t="s">
        <v>4573</v>
      </c>
      <c r="O157" s="249" t="s">
        <v>4573</v>
      </c>
      <c r="P157" s="245" t="s">
        <v>3352</v>
      </c>
      <c r="Q157" s="256" t="s">
        <v>3385</v>
      </c>
      <c r="R157" s="243" t="s">
        <v>4562</v>
      </c>
      <c r="S157" s="270">
        <f t="shared" si="5"/>
        <v>41388</v>
      </c>
      <c r="T157" s="270"/>
      <c r="U157" s="270">
        <f>IFERROR(VLOOKUP($A157,GeneratingCapabilityList!$E$7:$O$1673,11,FALSE),"ID Not Found")</f>
        <v>41388</v>
      </c>
      <c r="V157" s="271" t="str">
        <f>IFERROR(VLOOKUP($A157,GeneratingCapabilityList!$E$7:$O$1673,6,FALSE),"UNKNOWN")</f>
        <v>SOLAR</v>
      </c>
      <c r="W157" s="271">
        <f>IFERROR(VLOOKUP($A157,GeneratingCapabilityList!$E$7:$O$1673,3,FALSE),"ID Not Found")</f>
        <v>1</v>
      </c>
      <c r="Y157" s="270"/>
    </row>
    <row r="158" spans="1:25">
      <c r="A158" s="241" t="s">
        <v>2689</v>
      </c>
      <c r="B158" s="241" t="s">
        <v>3327</v>
      </c>
      <c r="C158" s="241" t="s">
        <v>2690</v>
      </c>
      <c r="D158" s="242">
        <v>28</v>
      </c>
      <c r="E158" s="242">
        <v>28</v>
      </c>
      <c r="F158" s="242">
        <v>28</v>
      </c>
      <c r="G158" s="242">
        <v>28</v>
      </c>
      <c r="H158" s="242">
        <v>28</v>
      </c>
      <c r="I158" s="242">
        <v>28</v>
      </c>
      <c r="J158" s="242">
        <v>28</v>
      </c>
      <c r="K158" s="242">
        <v>28</v>
      </c>
      <c r="L158" s="242">
        <v>28</v>
      </c>
      <c r="M158" s="242">
        <v>28</v>
      </c>
      <c r="N158" s="242">
        <v>28</v>
      </c>
      <c r="O158" s="242">
        <v>28</v>
      </c>
      <c r="P158" s="241" t="s">
        <v>3352</v>
      </c>
      <c r="Q158" s="241" t="s">
        <v>3347</v>
      </c>
      <c r="R158" s="243" t="s">
        <v>4561</v>
      </c>
      <c r="S158" s="270">
        <f t="shared" si="5"/>
        <v>38411</v>
      </c>
      <c r="T158" s="270"/>
      <c r="U158" s="270">
        <f>IFERROR(VLOOKUP($A158,GeneratingCapabilityList!$E$7:$O$1673,11,FALSE),"ID Not Found")</f>
        <v>38411</v>
      </c>
      <c r="V158" s="271" t="str">
        <f>IFERROR(VLOOKUP($A158,GeneratingCapabilityList!$E$7:$O$1673,6,FALSE),"UNKNOWN")</f>
        <v>THERMAL</v>
      </c>
      <c r="W158" s="271">
        <f>IFERROR(VLOOKUP($A158,GeneratingCapabilityList!$E$7:$O$1673,3,FALSE),"ID Not Found")</f>
        <v>28</v>
      </c>
      <c r="Y158" s="270"/>
    </row>
    <row r="159" spans="1:25">
      <c r="A159" s="241" t="s">
        <v>923</v>
      </c>
      <c r="B159" s="241" t="s">
        <v>3361</v>
      </c>
      <c r="C159" s="241" t="s">
        <v>3439</v>
      </c>
      <c r="D159" s="242">
        <v>0.22</v>
      </c>
      <c r="E159" s="242">
        <v>0</v>
      </c>
      <c r="F159" s="242">
        <v>1.43</v>
      </c>
      <c r="G159" s="242">
        <v>2.23</v>
      </c>
      <c r="H159" s="242">
        <v>2.81</v>
      </c>
      <c r="I159" s="242">
        <v>2.81</v>
      </c>
      <c r="J159" s="242">
        <v>3.28</v>
      </c>
      <c r="K159" s="242">
        <v>3.24</v>
      </c>
      <c r="L159" s="242">
        <v>2.44</v>
      </c>
      <c r="M159" s="242">
        <v>0.46</v>
      </c>
      <c r="N159" s="242">
        <v>0</v>
      </c>
      <c r="O159" s="242">
        <v>0</v>
      </c>
      <c r="P159" s="241" t="s">
        <v>3345</v>
      </c>
      <c r="Q159" s="241" t="s">
        <v>3347</v>
      </c>
      <c r="R159" s="243" t="s">
        <v>4562</v>
      </c>
      <c r="S159" s="270">
        <f t="shared" si="5"/>
        <v>30359</v>
      </c>
      <c r="T159" s="270"/>
      <c r="U159" s="270">
        <f>IFERROR(VLOOKUP($A159,GeneratingCapabilityList!$E$7:$O$1673,11,FALSE),"ID Not Found")</f>
        <v>30359</v>
      </c>
      <c r="V159" s="271" t="str">
        <f>IFERROR(VLOOKUP($A159,GeneratingCapabilityList!$E$7:$O$1673,6,FALSE),"UNKNOWN")</f>
        <v>HYDRO</v>
      </c>
      <c r="W159" s="271">
        <f>IFERROR(VLOOKUP($A159,GeneratingCapabilityList!$E$7:$O$1673,3,FALSE),"ID Not Found")</f>
        <v>5.04</v>
      </c>
      <c r="Y159" s="270"/>
    </row>
    <row r="160" spans="1:25">
      <c r="A160" s="241" t="s">
        <v>1518</v>
      </c>
      <c r="B160" s="241" t="s">
        <v>3361</v>
      </c>
      <c r="C160" s="241" t="s">
        <v>3440</v>
      </c>
      <c r="D160" s="242">
        <v>6.95</v>
      </c>
      <c r="E160" s="242">
        <v>8.73</v>
      </c>
      <c r="F160" s="242">
        <v>12.22</v>
      </c>
      <c r="G160" s="242">
        <v>16.34</v>
      </c>
      <c r="H160" s="242">
        <v>13.25</v>
      </c>
      <c r="I160" s="242">
        <v>7.94</v>
      </c>
      <c r="J160" s="242">
        <v>1.55</v>
      </c>
      <c r="K160" s="242">
        <v>0.17</v>
      </c>
      <c r="L160" s="242">
        <v>0</v>
      </c>
      <c r="M160" s="242">
        <v>0.2</v>
      </c>
      <c r="N160" s="242">
        <v>0.74</v>
      </c>
      <c r="O160" s="242">
        <v>7.36</v>
      </c>
      <c r="P160" s="241" t="s">
        <v>3345</v>
      </c>
      <c r="Q160" s="241" t="s">
        <v>3347</v>
      </c>
      <c r="R160" s="243" t="s">
        <v>4562</v>
      </c>
      <c r="S160" s="270">
        <f t="shared" si="5"/>
        <v>31782</v>
      </c>
      <c r="T160" s="270"/>
      <c r="U160" s="270">
        <f>IFERROR(VLOOKUP($A160,GeneratingCapabilityList!$E$7:$O$1673,11,FALSE),"ID Not Found")</f>
        <v>31782</v>
      </c>
      <c r="V160" s="271" t="str">
        <f>IFERROR(VLOOKUP($A160,GeneratingCapabilityList!$E$7:$O$1673,6,FALSE),"UNKNOWN")</f>
        <v>HYDRO</v>
      </c>
      <c r="W160" s="271">
        <f>IFERROR(VLOOKUP($A160,GeneratingCapabilityList!$E$7:$O$1673,3,FALSE),"ID Not Found")</f>
        <v>20.260000000000002</v>
      </c>
      <c r="Y160" s="270"/>
    </row>
    <row r="161" spans="1:26">
      <c r="A161" s="241" t="s">
        <v>69</v>
      </c>
      <c r="B161" s="241" t="s">
        <v>3361</v>
      </c>
      <c r="C161" s="241" t="s">
        <v>3441</v>
      </c>
      <c r="D161" s="242">
        <v>0.62</v>
      </c>
      <c r="E161" s="242">
        <v>0.67</v>
      </c>
      <c r="F161" s="242">
        <v>0.68</v>
      </c>
      <c r="G161" s="242">
        <v>0.66</v>
      </c>
      <c r="H161" s="242">
        <v>0.68</v>
      </c>
      <c r="I161" s="242">
        <v>0.6</v>
      </c>
      <c r="J161" s="242">
        <v>0.39</v>
      </c>
      <c r="K161" s="242">
        <v>0.19</v>
      </c>
      <c r="L161" s="242">
        <v>0.09</v>
      </c>
      <c r="M161" s="242">
        <v>0.17</v>
      </c>
      <c r="N161" s="242">
        <v>0.31</v>
      </c>
      <c r="O161" s="242">
        <v>0.52</v>
      </c>
      <c r="P161" s="241" t="s">
        <v>3345</v>
      </c>
      <c r="Q161" s="241" t="s">
        <v>3347</v>
      </c>
      <c r="R161" s="243" t="s">
        <v>4561</v>
      </c>
      <c r="S161" s="270">
        <f t="shared" si="5"/>
        <v>2558</v>
      </c>
      <c r="T161" s="270"/>
      <c r="U161" s="270">
        <f>IFERROR(VLOOKUP($A161,GeneratingCapabilityList!$E$7:$O$1673,11,FALSE),"ID Not Found")</f>
        <v>2558</v>
      </c>
      <c r="V161" s="271" t="str">
        <f>IFERROR(VLOOKUP($A161,GeneratingCapabilityList!$E$7:$O$1673,6,FALSE),"UNKNOWN")</f>
        <v>HYDRO</v>
      </c>
      <c r="W161" s="271">
        <f>IFERROR(VLOOKUP($A161,GeneratingCapabilityList!$E$7:$O$1673,3,FALSE),"ID Not Found")</f>
        <v>2</v>
      </c>
      <c r="Y161" s="270"/>
    </row>
    <row r="162" spans="1:26">
      <c r="A162" s="241" t="s">
        <v>2245</v>
      </c>
      <c r="B162" s="241" t="s">
        <v>4579</v>
      </c>
      <c r="C162" s="241" t="s">
        <v>3442</v>
      </c>
      <c r="D162" s="242">
        <v>4.53</v>
      </c>
      <c r="E162" s="242">
        <v>4.1500000000000004</v>
      </c>
      <c r="F162" s="242">
        <v>3.98</v>
      </c>
      <c r="G162" s="242">
        <v>4.78</v>
      </c>
      <c r="H162" s="242">
        <v>4.68</v>
      </c>
      <c r="I162" s="242">
        <v>5.61</v>
      </c>
      <c r="J162" s="242">
        <v>5.51</v>
      </c>
      <c r="K162" s="242">
        <v>5.26</v>
      </c>
      <c r="L162" s="242">
        <v>5.37</v>
      </c>
      <c r="M162" s="242">
        <v>4.66</v>
      </c>
      <c r="N162" s="242">
        <v>4.67</v>
      </c>
      <c r="O162" s="242">
        <v>4.4000000000000004</v>
      </c>
      <c r="P162" s="241" t="s">
        <v>3352</v>
      </c>
      <c r="Q162" s="241" t="s">
        <v>3347</v>
      </c>
      <c r="R162" s="243" t="s">
        <v>4562</v>
      </c>
      <c r="S162" s="270">
        <f t="shared" si="5"/>
        <v>36161</v>
      </c>
      <c r="T162" s="270"/>
      <c r="U162" s="270">
        <f>IFERROR(VLOOKUP($A162,GeneratingCapabilityList!$E$7:$O$1673,11,FALSE),"ID Not Found")</f>
        <v>36161</v>
      </c>
      <c r="V162" s="271" t="str">
        <f>IFERROR(VLOOKUP($A162,GeneratingCapabilityList!$E$7:$O$1673,6,FALSE),"UNKNOWN")</f>
        <v>BIOMASS</v>
      </c>
      <c r="W162" s="271">
        <f>IFERROR(VLOOKUP($A162,GeneratingCapabilityList!$E$7:$O$1673,3,FALSE),"ID Not Found")</f>
        <v>6.1</v>
      </c>
      <c r="Y162" s="270"/>
    </row>
    <row r="163" spans="1:26">
      <c r="A163" s="244" t="s">
        <v>4430</v>
      </c>
      <c r="B163" s="241" t="s">
        <v>4579</v>
      </c>
      <c r="C163" s="876" t="s">
        <v>4431</v>
      </c>
      <c r="D163" s="242">
        <v>1.1729635759001753</v>
      </c>
      <c r="E163" s="242">
        <v>11.094148860703479</v>
      </c>
      <c r="F163" s="242">
        <v>25.874245768268448</v>
      </c>
      <c r="G163" s="242">
        <v>83.658462186962979</v>
      </c>
      <c r="H163" s="242">
        <v>102.09291370632681</v>
      </c>
      <c r="I163" s="242">
        <v>120.56260131168618</v>
      </c>
      <c r="J163" s="242">
        <v>117.88799158179503</v>
      </c>
      <c r="K163" s="242">
        <v>113.20911919728232</v>
      </c>
      <c r="L163" s="242">
        <v>103.02545162199692</v>
      </c>
      <c r="M163" s="242">
        <v>65.095873886062492</v>
      </c>
      <c r="N163" s="242">
        <v>9.0045429194469193</v>
      </c>
      <c r="O163" s="241">
        <v>3.77</v>
      </c>
      <c r="P163" s="241" t="s">
        <v>3352</v>
      </c>
      <c r="Q163" s="241" t="s">
        <v>3347</v>
      </c>
      <c r="R163" s="243" t="s">
        <v>4562</v>
      </c>
      <c r="S163" s="270">
        <f t="shared" si="5"/>
        <v>41569</v>
      </c>
      <c r="T163" s="270"/>
      <c r="U163" s="270">
        <f>IFERROR(VLOOKUP($A163,GeneratingCapabilityList!$E$7:$O$1673,11,FALSE),"ID Not Found")</f>
        <v>41569</v>
      </c>
      <c r="V163" s="271" t="str">
        <f>IFERROR(VLOOKUP($A163,GeneratingCapabilityList!$E$7:$O$1673,6,FALSE),"UNKNOWN")</f>
        <v>SOLAR</v>
      </c>
      <c r="W163" s="271">
        <f>IFERROR(VLOOKUP($A163,GeneratingCapabilityList!$E$7:$O$1673,3,FALSE),"ID Not Found")</f>
        <v>150</v>
      </c>
      <c r="Y163" s="270"/>
      <c r="Z163" s="271" t="b">
        <f>TRUE</f>
        <v>1</v>
      </c>
    </row>
    <row r="164" spans="1:26">
      <c r="A164" s="241" t="s">
        <v>782</v>
      </c>
      <c r="B164" s="241" t="s">
        <v>3349</v>
      </c>
      <c r="C164" s="241" t="s">
        <v>4597</v>
      </c>
      <c r="D164" s="242">
        <v>0</v>
      </c>
      <c r="E164" s="242">
        <v>0</v>
      </c>
      <c r="F164" s="242">
        <v>0.22</v>
      </c>
      <c r="G164" s="242">
        <v>0.67</v>
      </c>
      <c r="H164" s="242">
        <v>1.53</v>
      </c>
      <c r="I164" s="242">
        <v>1.76</v>
      </c>
      <c r="J164" s="242">
        <v>1.26</v>
      </c>
      <c r="K164" s="242">
        <v>1.6</v>
      </c>
      <c r="L164" s="242">
        <v>1.29</v>
      </c>
      <c r="M164" s="242">
        <v>0.69</v>
      </c>
      <c r="N164" s="242">
        <v>0</v>
      </c>
      <c r="O164" s="242">
        <v>0</v>
      </c>
      <c r="P164" s="241" t="s">
        <v>3345</v>
      </c>
      <c r="Q164" s="241" t="s">
        <v>3347</v>
      </c>
      <c r="R164" s="243" t="s">
        <v>4562</v>
      </c>
      <c r="S164" s="270">
        <f t="shared" si="5"/>
        <v>29852</v>
      </c>
      <c r="T164" s="270"/>
      <c r="U164" s="270">
        <f>IFERROR(VLOOKUP($A164,GeneratingCapabilityList!$E$7:$O$1673,11,FALSE),"ID Not Found")</f>
        <v>29852</v>
      </c>
      <c r="V164" s="271" t="str">
        <f>IFERROR(VLOOKUP($A164,GeneratingCapabilityList!$E$7:$O$1673,6,FALSE),"UNKNOWN")</f>
        <v>HYDRO</v>
      </c>
      <c r="W164" s="271">
        <f>IFERROR(VLOOKUP($A164,GeneratingCapabilityList!$E$7:$O$1673,3,FALSE),"ID Not Found")</f>
        <v>3.75</v>
      </c>
      <c r="Y164" s="270"/>
    </row>
    <row r="165" spans="1:26">
      <c r="A165" s="241" t="s">
        <v>343</v>
      </c>
      <c r="B165" s="241" t="s">
        <v>3375</v>
      </c>
      <c r="C165" s="241" t="s">
        <v>3443</v>
      </c>
      <c r="D165" s="242">
        <v>70</v>
      </c>
      <c r="E165" s="242">
        <v>70</v>
      </c>
      <c r="F165" s="242">
        <v>70</v>
      </c>
      <c r="G165" s="242">
        <v>70</v>
      </c>
      <c r="H165" s="242">
        <v>70</v>
      </c>
      <c r="I165" s="242">
        <v>70</v>
      </c>
      <c r="J165" s="242">
        <v>70</v>
      </c>
      <c r="K165" s="242">
        <v>70</v>
      </c>
      <c r="L165" s="242">
        <v>70</v>
      </c>
      <c r="M165" s="242">
        <v>70</v>
      </c>
      <c r="N165" s="242">
        <v>70</v>
      </c>
      <c r="O165" s="242">
        <v>70</v>
      </c>
      <c r="P165" s="241" t="s">
        <v>3345</v>
      </c>
      <c r="Q165" s="241" t="s">
        <v>3347</v>
      </c>
      <c r="R165" s="243" t="s">
        <v>4561</v>
      </c>
      <c r="S165" s="270">
        <f t="shared" si="5"/>
        <v>17899</v>
      </c>
      <c r="T165" s="270"/>
      <c r="U165" s="270">
        <f>IFERROR(VLOOKUP($A165,GeneratingCapabilityList!$E$7:$O$1673,11,FALSE),"ID Not Found")</f>
        <v>17899</v>
      </c>
      <c r="V165" s="271" t="str">
        <f>IFERROR(VLOOKUP($A165,GeneratingCapabilityList!$E$7:$O$1673,6,FALSE),"UNKNOWN")</f>
        <v>HYDRO</v>
      </c>
      <c r="W165" s="271">
        <f>IFERROR(VLOOKUP($A165,GeneratingCapabilityList!$E$7:$O$1673,3,FALSE),"ID Not Found")</f>
        <v>70.400000000000006</v>
      </c>
      <c r="Y165" s="270"/>
    </row>
    <row r="166" spans="1:26">
      <c r="A166" s="241" t="s">
        <v>161</v>
      </c>
      <c r="B166" s="241" t="s">
        <v>3349</v>
      </c>
      <c r="C166" s="241" t="s">
        <v>3444</v>
      </c>
      <c r="D166" s="242">
        <v>0.65</v>
      </c>
      <c r="E166" s="242">
        <v>0.65</v>
      </c>
      <c r="F166" s="242">
        <v>0.69</v>
      </c>
      <c r="G166" s="242">
        <v>0.75</v>
      </c>
      <c r="H166" s="242">
        <v>0.83</v>
      </c>
      <c r="I166" s="242">
        <v>0.84</v>
      </c>
      <c r="J166" s="242">
        <v>0.78</v>
      </c>
      <c r="K166" s="242">
        <v>0.71</v>
      </c>
      <c r="L166" s="242">
        <v>0.7</v>
      </c>
      <c r="M166" s="242">
        <v>0.69</v>
      </c>
      <c r="N166" s="242">
        <v>0.65</v>
      </c>
      <c r="O166" s="242">
        <v>0.62</v>
      </c>
      <c r="P166" s="241" t="s">
        <v>3345</v>
      </c>
      <c r="Q166" s="241" t="s">
        <v>3347</v>
      </c>
      <c r="R166" s="243" t="s">
        <v>4561</v>
      </c>
      <c r="S166" s="270">
        <f t="shared" si="5"/>
        <v>6941</v>
      </c>
      <c r="T166" s="270"/>
      <c r="U166" s="270">
        <f>IFERROR(VLOOKUP($A166,GeneratingCapabilityList!$E$7:$O$1673,11,FALSE),"ID Not Found")</f>
        <v>6941</v>
      </c>
      <c r="V166" s="271" t="str">
        <f>IFERROR(VLOOKUP($A166,GeneratingCapabilityList!$E$7:$O$1673,6,FALSE),"UNKNOWN")</f>
        <v>HYDRO</v>
      </c>
      <c r="W166" s="271">
        <f>IFERROR(VLOOKUP($A166,GeneratingCapabilityList!$E$7:$O$1673,3,FALSE),"ID Not Found")</f>
        <v>0.9</v>
      </c>
      <c r="Y166" s="270"/>
    </row>
    <row r="167" spans="1:26">
      <c r="A167" s="241" t="s">
        <v>155</v>
      </c>
      <c r="B167" s="241" t="s">
        <v>3349</v>
      </c>
      <c r="C167" s="241" t="s">
        <v>3445</v>
      </c>
      <c r="D167" s="242">
        <v>3.2</v>
      </c>
      <c r="E167" s="242">
        <v>3.2</v>
      </c>
      <c r="F167" s="242">
        <v>3.2</v>
      </c>
      <c r="G167" s="242">
        <v>3.2</v>
      </c>
      <c r="H167" s="242">
        <v>3.2</v>
      </c>
      <c r="I167" s="242">
        <v>3.2</v>
      </c>
      <c r="J167" s="242">
        <v>3.2</v>
      </c>
      <c r="K167" s="242">
        <v>3.2</v>
      </c>
      <c r="L167" s="242">
        <v>3.2</v>
      </c>
      <c r="M167" s="242">
        <v>3.2</v>
      </c>
      <c r="N167" s="242">
        <v>3.2</v>
      </c>
      <c r="O167" s="242">
        <v>3.2</v>
      </c>
      <c r="P167" s="241" t="s">
        <v>3345</v>
      </c>
      <c r="Q167" s="241" t="s">
        <v>3347</v>
      </c>
      <c r="R167" s="243" t="s">
        <v>4561</v>
      </c>
      <c r="S167" s="270">
        <f t="shared" si="5"/>
        <v>6211</v>
      </c>
      <c r="T167" s="270"/>
      <c r="U167" s="270">
        <f>IFERROR(VLOOKUP($A167,GeneratingCapabilityList!$E$7:$O$1673,11,FALSE),"ID Not Found")</f>
        <v>6211</v>
      </c>
      <c r="V167" s="271" t="str">
        <f>IFERROR(VLOOKUP($A167,GeneratingCapabilityList!$E$7:$O$1673,6,FALSE),"UNKNOWN")</f>
        <v>HYDRO</v>
      </c>
      <c r="W167" s="271">
        <f>IFERROR(VLOOKUP($A167,GeneratingCapabilityList!$E$7:$O$1673,3,FALSE),"ID Not Found")</f>
        <v>3.2</v>
      </c>
      <c r="Y167" s="270"/>
    </row>
    <row r="168" spans="1:26">
      <c r="A168" s="241" t="s">
        <v>220</v>
      </c>
      <c r="B168" s="241" t="s">
        <v>3349</v>
      </c>
      <c r="C168" s="241" t="s">
        <v>3446</v>
      </c>
      <c r="D168" s="242">
        <v>4.2</v>
      </c>
      <c r="E168" s="242">
        <v>4.2</v>
      </c>
      <c r="F168" s="242">
        <v>4.2</v>
      </c>
      <c r="G168" s="242">
        <v>4.2</v>
      </c>
      <c r="H168" s="242">
        <v>4.2</v>
      </c>
      <c r="I168" s="242">
        <v>4.2</v>
      </c>
      <c r="J168" s="242">
        <v>4.2</v>
      </c>
      <c r="K168" s="242">
        <v>4.2</v>
      </c>
      <c r="L168" s="242">
        <v>4.2</v>
      </c>
      <c r="M168" s="242">
        <v>4.2</v>
      </c>
      <c r="N168" s="242">
        <v>4.2</v>
      </c>
      <c r="O168" s="242">
        <v>4.2</v>
      </c>
      <c r="P168" s="241" t="s">
        <v>3345</v>
      </c>
      <c r="Q168" s="241" t="s">
        <v>3347</v>
      </c>
      <c r="R168" s="243" t="s">
        <v>4561</v>
      </c>
      <c r="S168" s="270">
        <f t="shared" si="5"/>
        <v>8402</v>
      </c>
      <c r="T168" s="270"/>
      <c r="U168" s="270">
        <f>IFERROR(VLOOKUP($A168,GeneratingCapabilityList!$E$7:$O$1673,11,FALSE),"ID Not Found")</f>
        <v>8402</v>
      </c>
      <c r="V168" s="271" t="str">
        <f>IFERROR(VLOOKUP($A168,GeneratingCapabilityList!$E$7:$O$1673,6,FALSE),"UNKNOWN")</f>
        <v>HYDRO</v>
      </c>
      <c r="W168" s="271">
        <f>IFERROR(VLOOKUP($A168,GeneratingCapabilityList!$E$7:$O$1673,3,FALSE),"ID Not Found")</f>
        <v>4.2</v>
      </c>
      <c r="Y168" s="270"/>
    </row>
    <row r="169" spans="1:26">
      <c r="A169" s="241" t="s">
        <v>2197</v>
      </c>
      <c r="B169" s="241" t="s">
        <v>3324</v>
      </c>
      <c r="C169" s="241" t="s">
        <v>2198</v>
      </c>
      <c r="D169" s="242">
        <v>227.9</v>
      </c>
      <c r="E169" s="242">
        <v>198.8</v>
      </c>
      <c r="F169" s="242">
        <v>163.38999999999999</v>
      </c>
      <c r="G169" s="242">
        <v>226.15</v>
      </c>
      <c r="H169" s="242">
        <v>212.21</v>
      </c>
      <c r="I169" s="242">
        <v>222.17</v>
      </c>
      <c r="J169" s="242">
        <v>225.86</v>
      </c>
      <c r="K169" s="242">
        <v>225.24</v>
      </c>
      <c r="L169" s="242">
        <v>204.09</v>
      </c>
      <c r="M169" s="242">
        <v>192.44</v>
      </c>
      <c r="N169" s="242">
        <v>207.94</v>
      </c>
      <c r="O169" s="242">
        <v>210.51</v>
      </c>
      <c r="P169" s="241" t="s">
        <v>3345</v>
      </c>
      <c r="Q169" s="241" t="s">
        <v>3347</v>
      </c>
      <c r="R169" s="243" t="s">
        <v>4562</v>
      </c>
      <c r="S169" s="270">
        <f t="shared" si="5"/>
        <v>35053</v>
      </c>
      <c r="T169" s="270"/>
      <c r="U169" s="270">
        <f>IFERROR(VLOOKUP($A169,GeneratingCapabilityList!$E$7:$O$1673,11,FALSE),"ID Not Found")</f>
        <v>35053</v>
      </c>
      <c r="V169" s="271" t="str">
        <f>IFERROR(VLOOKUP($A169,GeneratingCapabilityList!$E$7:$O$1673,6,FALSE),"UNKNOWN")</f>
        <v>COGENERATION</v>
      </c>
      <c r="W169" s="271">
        <f>IFERROR(VLOOKUP($A169,GeneratingCapabilityList!$E$7:$O$1673,3,FALSE),"ID Not Found")</f>
        <v>240</v>
      </c>
      <c r="Y169" s="270"/>
    </row>
    <row r="170" spans="1:26">
      <c r="A170" s="241" t="s">
        <v>2782</v>
      </c>
      <c r="B170" s="241" t="s">
        <v>4579</v>
      </c>
      <c r="C170" s="241" t="s">
        <v>3447</v>
      </c>
      <c r="D170" s="242">
        <v>6.53</v>
      </c>
      <c r="E170" s="242">
        <v>8.1300000000000008</v>
      </c>
      <c r="F170" s="242">
        <v>13.95</v>
      </c>
      <c r="G170" s="242">
        <v>26.96</v>
      </c>
      <c r="H170" s="242">
        <v>18.95</v>
      </c>
      <c r="I170" s="242">
        <v>15.83</v>
      </c>
      <c r="J170" s="242">
        <v>9.5399999999999991</v>
      </c>
      <c r="K170" s="242">
        <v>8.7200000000000006</v>
      </c>
      <c r="L170" s="242">
        <v>7.04</v>
      </c>
      <c r="M170" s="242">
        <v>7.25</v>
      </c>
      <c r="N170" s="242">
        <v>15.03</v>
      </c>
      <c r="O170" s="242">
        <v>8.5</v>
      </c>
      <c r="P170" s="241" t="s">
        <v>3352</v>
      </c>
      <c r="Q170" s="241" t="s">
        <v>3347</v>
      </c>
      <c r="R170" s="243" t="s">
        <v>4562</v>
      </c>
      <c r="S170" s="270">
        <f t="shared" si="5"/>
        <v>38707</v>
      </c>
      <c r="T170" s="270"/>
      <c r="U170" s="270">
        <f>IFERROR(VLOOKUP($A170,GeneratingCapabilityList!$E$7:$O$1673,11,FALSE),"ID Not Found")</f>
        <v>38707</v>
      </c>
      <c r="V170" s="271" t="str">
        <f>IFERROR(VLOOKUP($A170,GeneratingCapabilityList!$E$7:$O$1673,6,FALSE),"UNKNOWN")</f>
        <v>WIND</v>
      </c>
      <c r="W170" s="271">
        <f>IFERROR(VLOOKUP($A170,GeneratingCapabilityList!$E$7:$O$1673,3,FALSE),"ID Not Found")</f>
        <v>50</v>
      </c>
      <c r="Y170" s="270"/>
    </row>
    <row r="171" spans="1:26">
      <c r="A171" s="241" t="s">
        <v>771</v>
      </c>
      <c r="B171" s="241" t="s">
        <v>3324</v>
      </c>
      <c r="C171" s="241" t="s">
        <v>3448</v>
      </c>
      <c r="D171" s="242">
        <v>6</v>
      </c>
      <c r="E171" s="242">
        <v>6</v>
      </c>
      <c r="F171" s="242">
        <v>6</v>
      </c>
      <c r="G171" s="242">
        <v>6</v>
      </c>
      <c r="H171" s="242">
        <v>6</v>
      </c>
      <c r="I171" s="242">
        <v>6</v>
      </c>
      <c r="J171" s="242">
        <v>6</v>
      </c>
      <c r="K171" s="242">
        <v>6</v>
      </c>
      <c r="L171" s="242">
        <v>6</v>
      </c>
      <c r="M171" s="242">
        <v>6</v>
      </c>
      <c r="N171" s="242">
        <v>6</v>
      </c>
      <c r="O171" s="242">
        <v>6</v>
      </c>
      <c r="P171" s="241" t="s">
        <v>3345</v>
      </c>
      <c r="Q171" s="241" t="s">
        <v>3347</v>
      </c>
      <c r="R171" s="243" t="s">
        <v>4561</v>
      </c>
      <c r="S171" s="270">
        <f t="shared" si="5"/>
        <v>29587</v>
      </c>
      <c r="T171" s="270"/>
      <c r="U171" s="270">
        <f>IFERROR(VLOOKUP($A171,GeneratingCapabilityList!$E$7:$O$1673,11,FALSE),"ID Not Found")</f>
        <v>29587</v>
      </c>
      <c r="V171" s="271" t="str">
        <f>IFERROR(VLOOKUP($A171,GeneratingCapabilityList!$E$7:$O$1673,6,FALSE),"UNKNOWN")</f>
        <v>COGENERATION</v>
      </c>
      <c r="W171" s="271">
        <f>IFERROR(VLOOKUP($A171,GeneratingCapabilityList!$E$7:$O$1673,3,FALSE),"ID Not Found")</f>
        <v>7</v>
      </c>
      <c r="Y171" s="270"/>
    </row>
    <row r="172" spans="1:26">
      <c r="A172" s="241" t="s">
        <v>1467</v>
      </c>
      <c r="B172" s="241" t="s">
        <v>3324</v>
      </c>
      <c r="C172" s="241" t="s">
        <v>3449</v>
      </c>
      <c r="D172" s="242">
        <v>24</v>
      </c>
      <c r="E172" s="242">
        <v>24</v>
      </c>
      <c r="F172" s="242">
        <v>24</v>
      </c>
      <c r="G172" s="242">
        <v>24</v>
      </c>
      <c r="H172" s="242">
        <v>24</v>
      </c>
      <c r="I172" s="242">
        <v>24</v>
      </c>
      <c r="J172" s="242">
        <v>24</v>
      </c>
      <c r="K172" s="242">
        <v>24</v>
      </c>
      <c r="L172" s="242">
        <v>24</v>
      </c>
      <c r="M172" s="242">
        <v>24</v>
      </c>
      <c r="N172" s="242">
        <v>24</v>
      </c>
      <c r="O172" s="242">
        <v>24</v>
      </c>
      <c r="P172" s="241" t="s">
        <v>3345</v>
      </c>
      <c r="Q172" s="241" t="s">
        <v>3347</v>
      </c>
      <c r="R172" s="243" t="s">
        <v>4561</v>
      </c>
      <c r="S172" s="270">
        <f t="shared" si="5"/>
        <v>31778</v>
      </c>
      <c r="T172" s="270"/>
      <c r="U172" s="270">
        <f>IFERROR(VLOOKUP($A172,GeneratingCapabilityList!$E$7:$O$1673,11,FALSE),"ID Not Found")</f>
        <v>31778</v>
      </c>
      <c r="V172" s="271" t="str">
        <f>IFERROR(VLOOKUP($A172,GeneratingCapabilityList!$E$7:$O$1673,6,FALSE),"UNKNOWN")</f>
        <v>PEAKER</v>
      </c>
      <c r="W172" s="271">
        <f>IFERROR(VLOOKUP($A172,GeneratingCapabilityList!$E$7:$O$1673,3,FALSE),"ID Not Found")</f>
        <v>24.75</v>
      </c>
      <c r="Y172" s="270"/>
    </row>
    <row r="173" spans="1:26">
      <c r="A173" s="241" t="s">
        <v>1277</v>
      </c>
      <c r="B173" s="241" t="s">
        <v>3324</v>
      </c>
      <c r="C173" s="241" t="s">
        <v>3450</v>
      </c>
      <c r="D173" s="242">
        <v>24</v>
      </c>
      <c r="E173" s="242">
        <v>24</v>
      </c>
      <c r="F173" s="242">
        <v>24</v>
      </c>
      <c r="G173" s="242">
        <v>24</v>
      </c>
      <c r="H173" s="242">
        <v>24</v>
      </c>
      <c r="I173" s="242">
        <v>24</v>
      </c>
      <c r="J173" s="242">
        <v>24</v>
      </c>
      <c r="K173" s="242">
        <v>24</v>
      </c>
      <c r="L173" s="242">
        <v>24</v>
      </c>
      <c r="M173" s="242">
        <v>24</v>
      </c>
      <c r="N173" s="242">
        <v>24</v>
      </c>
      <c r="O173" s="242">
        <v>24</v>
      </c>
      <c r="P173" s="241" t="s">
        <v>3345</v>
      </c>
      <c r="Q173" s="241" t="s">
        <v>3347</v>
      </c>
      <c r="R173" s="243" t="s">
        <v>4561</v>
      </c>
      <c r="S173" s="270">
        <f t="shared" si="5"/>
        <v>31413</v>
      </c>
      <c r="T173" s="270"/>
      <c r="U173" s="270">
        <f>IFERROR(VLOOKUP($A173,GeneratingCapabilityList!$E$7:$O$1673,11,FALSE),"ID Not Found")</f>
        <v>31413</v>
      </c>
      <c r="V173" s="271" t="str">
        <f>IFERROR(VLOOKUP($A173,GeneratingCapabilityList!$E$7:$O$1673,6,FALSE),"UNKNOWN")</f>
        <v>PEAKER</v>
      </c>
      <c r="W173" s="271">
        <f>IFERROR(VLOOKUP($A173,GeneratingCapabilityList!$E$7:$O$1673,3,FALSE),"ID Not Found")</f>
        <v>24.75</v>
      </c>
      <c r="Y173" s="270"/>
    </row>
    <row r="174" spans="1:26">
      <c r="A174" s="822" t="s">
        <v>4470</v>
      </c>
      <c r="B174" s="823" t="s">
        <v>4579</v>
      </c>
      <c r="C174" s="877" t="s">
        <v>4786</v>
      </c>
      <c r="D174" s="824">
        <v>1.097016294007358</v>
      </c>
      <c r="E174" s="824">
        <v>10.375822675478073</v>
      </c>
      <c r="F174" s="824">
        <v>24.198934891186319</v>
      </c>
      <c r="G174" s="824">
        <v>78.241727225217176</v>
      </c>
      <c r="H174" s="824">
        <v>95.482581164190549</v>
      </c>
      <c r="I174" s="824">
        <v>112.75638971596548</v>
      </c>
      <c r="J174" s="824">
        <v>110.25495615563564</v>
      </c>
      <c r="K174" s="824">
        <v>105.87903234278203</v>
      </c>
      <c r="L174" s="824">
        <v>96.354738927047478</v>
      </c>
      <c r="M174" s="824">
        <v>60.881033130849815</v>
      </c>
      <c r="N174" s="824">
        <v>8.4215149606338091</v>
      </c>
      <c r="O174" s="824">
        <v>3.5270442860495494</v>
      </c>
      <c r="P174" s="245" t="s">
        <v>3352</v>
      </c>
      <c r="Q174" s="823"/>
      <c r="R174" s="823"/>
      <c r="S174" s="270">
        <f t="shared" si="5"/>
        <v>41558</v>
      </c>
      <c r="T174" s="270"/>
      <c r="U174" s="270">
        <f>IFERROR(VLOOKUP($A174,GeneratingCapabilityList!$E$7:$O$1673,11,FALSE),"ID Not Found")</f>
        <v>41558</v>
      </c>
      <c r="V174" s="271" t="str">
        <f>IFERROR(VLOOKUP($A174,GeneratingCapabilityList!$E$7:$O$1673,6,FALSE),"UNKNOWN")</f>
        <v>SOLAR</v>
      </c>
      <c r="W174" s="271">
        <f>IFERROR(VLOOKUP($A174,GeneratingCapabilityList!$E$7:$O$1673,3,FALSE),"ID Not Found")</f>
        <v>130</v>
      </c>
      <c r="Y174" s="270"/>
      <c r="Z174" s="271" t="b">
        <f>TRUE</f>
        <v>1</v>
      </c>
    </row>
    <row r="175" spans="1:26">
      <c r="A175" s="241" t="s">
        <v>2850</v>
      </c>
      <c r="B175" s="241" t="s">
        <v>3361</v>
      </c>
      <c r="C175" s="241" t="s">
        <v>3451</v>
      </c>
      <c r="D175" s="242">
        <v>2.7</v>
      </c>
      <c r="E175" s="242">
        <v>2.14</v>
      </c>
      <c r="F175" s="242">
        <v>2.17</v>
      </c>
      <c r="G175" s="242">
        <v>2.63</v>
      </c>
      <c r="H175" s="242">
        <v>2.37</v>
      </c>
      <c r="I175" s="242">
        <v>2.62</v>
      </c>
      <c r="J175" s="242">
        <v>2.68</v>
      </c>
      <c r="K175" s="242">
        <v>2.5099999999999998</v>
      </c>
      <c r="L175" s="242">
        <v>2.64</v>
      </c>
      <c r="M175" s="242">
        <v>2.4300000000000002</v>
      </c>
      <c r="N175" s="242">
        <v>2.56</v>
      </c>
      <c r="O175" s="242">
        <v>2.4300000000000002</v>
      </c>
      <c r="P175" s="241" t="s">
        <v>3345</v>
      </c>
      <c r="Q175" s="241" t="s">
        <v>3347</v>
      </c>
      <c r="R175" s="243" t="s">
        <v>4561</v>
      </c>
      <c r="S175" s="270">
        <f t="shared" si="5"/>
        <v>39326</v>
      </c>
      <c r="T175" s="270"/>
      <c r="U175" s="270">
        <f>IFERROR(VLOOKUP($A175,GeneratingCapabilityList!$E$7:$O$1673,11,FALSE),"ID Not Found")</f>
        <v>39326</v>
      </c>
      <c r="V175" s="271" t="str">
        <f>IFERROR(VLOOKUP($A175,GeneratingCapabilityList!$E$7:$O$1673,6,FALSE),"UNKNOWN")</f>
        <v>BIOMASS</v>
      </c>
      <c r="W175" s="271">
        <f>IFERROR(VLOOKUP($A175,GeneratingCapabilityList!$E$7:$O$1673,3,FALSE),"ID Not Found")</f>
        <v>3.03</v>
      </c>
      <c r="Y175" s="270"/>
    </row>
    <row r="176" spans="1:26">
      <c r="A176" s="241" t="s">
        <v>2808</v>
      </c>
      <c r="B176" s="241" t="s">
        <v>3361</v>
      </c>
      <c r="C176" s="241" t="s">
        <v>2809</v>
      </c>
      <c r="D176" s="242">
        <v>1.43</v>
      </c>
      <c r="E176" s="242">
        <v>1.37</v>
      </c>
      <c r="F176" s="242">
        <v>1.52</v>
      </c>
      <c r="G176" s="242">
        <v>1.38</v>
      </c>
      <c r="H176" s="242">
        <v>1.26</v>
      </c>
      <c r="I176" s="242">
        <v>1.33</v>
      </c>
      <c r="J176" s="242">
        <v>1.48</v>
      </c>
      <c r="K176" s="242">
        <v>1.63</v>
      </c>
      <c r="L176" s="242">
        <v>1.53</v>
      </c>
      <c r="M176" s="242">
        <v>1.43</v>
      </c>
      <c r="N176" s="242">
        <v>1.42</v>
      </c>
      <c r="O176" s="242">
        <v>1.3</v>
      </c>
      <c r="P176" s="241" t="s">
        <v>3345</v>
      </c>
      <c r="Q176" s="241" t="s">
        <v>3347</v>
      </c>
      <c r="R176" s="243" t="s">
        <v>4562</v>
      </c>
      <c r="S176" s="270">
        <f t="shared" si="5"/>
        <v>38869</v>
      </c>
      <c r="T176" s="270"/>
      <c r="U176" s="270">
        <f>IFERROR(VLOOKUP($A176,GeneratingCapabilityList!$E$7:$O$1673,11,FALSE),"ID Not Found")</f>
        <v>38869</v>
      </c>
      <c r="V176" s="271" t="str">
        <f>IFERROR(VLOOKUP($A176,GeneratingCapabilityList!$E$7:$O$1673,6,FALSE),"UNKNOWN")</f>
        <v>THERMAL</v>
      </c>
      <c r="W176" s="271">
        <f>IFERROR(VLOOKUP($A176,GeneratingCapabilityList!$E$7:$O$1673,3,FALSE),"ID Not Found")</f>
        <v>4.5999999999999996</v>
      </c>
      <c r="Y176" s="270"/>
    </row>
    <row r="177" spans="1:25">
      <c r="A177" s="241" t="s">
        <v>808</v>
      </c>
      <c r="B177" s="241" t="s">
        <v>3361</v>
      </c>
      <c r="C177" s="241" t="s">
        <v>3452</v>
      </c>
      <c r="D177" s="242">
        <v>0.05</v>
      </c>
      <c r="E177" s="242">
        <v>0.05</v>
      </c>
      <c r="F177" s="242">
        <v>7.0000000000000007E-2</v>
      </c>
      <c r="G177" s="242">
        <v>0.06</v>
      </c>
      <c r="H177" s="242">
        <v>0.13</v>
      </c>
      <c r="I177" s="242">
        <v>0.17</v>
      </c>
      <c r="J177" s="242">
        <v>0.17</v>
      </c>
      <c r="K177" s="242">
        <v>0.12</v>
      </c>
      <c r="L177" s="242">
        <v>0.05</v>
      </c>
      <c r="M177" s="242">
        <v>0.04</v>
      </c>
      <c r="N177" s="242">
        <v>0.03</v>
      </c>
      <c r="O177" s="242">
        <v>0.04</v>
      </c>
      <c r="P177" s="241" t="s">
        <v>3345</v>
      </c>
      <c r="Q177" s="241" t="s">
        <v>3347</v>
      </c>
      <c r="R177" s="243" t="s">
        <v>4562</v>
      </c>
      <c r="S177" s="270">
        <f t="shared" si="5"/>
        <v>29952</v>
      </c>
      <c r="T177" s="270"/>
      <c r="U177" s="270">
        <f>IFERROR(VLOOKUP($A177,GeneratingCapabilityList!$E$7:$O$1673,11,FALSE),"ID Not Found")</f>
        <v>29952</v>
      </c>
      <c r="V177" s="271" t="str">
        <f>IFERROR(VLOOKUP($A177,GeneratingCapabilityList!$E$7:$O$1673,6,FALSE),"UNKNOWN")</f>
        <v>HYDRO</v>
      </c>
      <c r="W177" s="271">
        <f>IFERROR(VLOOKUP($A177,GeneratingCapabilityList!$E$7:$O$1673,3,FALSE),"ID Not Found")</f>
        <v>1</v>
      </c>
      <c r="Y177" s="270"/>
    </row>
    <row r="178" spans="1:25">
      <c r="A178" s="241" t="s">
        <v>879</v>
      </c>
      <c r="B178" s="241" t="s">
        <v>3373</v>
      </c>
      <c r="C178" s="241" t="s">
        <v>3453</v>
      </c>
      <c r="D178" s="242">
        <v>0</v>
      </c>
      <c r="E178" s="242">
        <v>0</v>
      </c>
      <c r="F178" s="242">
        <v>0.01</v>
      </c>
      <c r="G178" s="242">
        <v>0.21</v>
      </c>
      <c r="H178" s="242">
        <v>0.93</v>
      </c>
      <c r="I178" s="242">
        <v>1.23</v>
      </c>
      <c r="J178" s="242">
        <v>1.18</v>
      </c>
      <c r="K178" s="242">
        <v>0.94</v>
      </c>
      <c r="L178" s="242">
        <v>0.52</v>
      </c>
      <c r="M178" s="242">
        <v>0.09</v>
      </c>
      <c r="N178" s="242">
        <v>0</v>
      </c>
      <c r="O178" s="242">
        <v>0</v>
      </c>
      <c r="P178" s="241" t="s">
        <v>3345</v>
      </c>
      <c r="Q178" s="241" t="s">
        <v>3347</v>
      </c>
      <c r="R178" s="243" t="s">
        <v>4562</v>
      </c>
      <c r="S178" s="270">
        <f t="shared" si="5"/>
        <v>30317</v>
      </c>
      <c r="T178" s="270"/>
      <c r="U178" s="270">
        <f>IFERROR(VLOOKUP($A178,GeneratingCapabilityList!$E$7:$O$1673,11,FALSE),"ID Not Found")</f>
        <v>30317</v>
      </c>
      <c r="V178" s="271" t="str">
        <f>IFERROR(VLOOKUP($A178,GeneratingCapabilityList!$E$7:$O$1673,6,FALSE),"UNKNOWN")</f>
        <v>HYDRO</v>
      </c>
      <c r="W178" s="271">
        <f>IFERROR(VLOOKUP($A178,GeneratingCapabilityList!$E$7:$O$1673,3,FALSE),"ID Not Found")</f>
        <v>2</v>
      </c>
      <c r="Y178" s="270"/>
    </row>
    <row r="179" spans="1:25">
      <c r="A179" s="241" t="s">
        <v>443</v>
      </c>
      <c r="B179" s="241" t="s">
        <v>3361</v>
      </c>
      <c r="C179" s="241" t="s">
        <v>3454</v>
      </c>
      <c r="D179" s="242">
        <v>63</v>
      </c>
      <c r="E179" s="242">
        <v>63</v>
      </c>
      <c r="F179" s="242">
        <v>63</v>
      </c>
      <c r="G179" s="242">
        <v>63</v>
      </c>
      <c r="H179" s="242">
        <v>63</v>
      </c>
      <c r="I179" s="242">
        <v>63</v>
      </c>
      <c r="J179" s="242">
        <v>63</v>
      </c>
      <c r="K179" s="242">
        <v>63</v>
      </c>
      <c r="L179" s="242">
        <v>63</v>
      </c>
      <c r="M179" s="242">
        <v>63</v>
      </c>
      <c r="N179" s="242">
        <v>63</v>
      </c>
      <c r="O179" s="242">
        <v>63</v>
      </c>
      <c r="P179" s="241" t="s">
        <v>3352</v>
      </c>
      <c r="Q179" s="241" t="s">
        <v>3347</v>
      </c>
      <c r="R179" s="243" t="s">
        <v>4561</v>
      </c>
      <c r="S179" s="270">
        <f t="shared" si="5"/>
        <v>22282</v>
      </c>
      <c r="T179" s="270"/>
      <c r="U179" s="270">
        <f>IFERROR(VLOOKUP($A179,GeneratingCapabilityList!$E$7:$O$1673,11,FALSE),"ID Not Found")</f>
        <v>22282</v>
      </c>
      <c r="V179" s="271" t="str">
        <f>IFERROR(VLOOKUP($A179,GeneratingCapabilityList!$E$7:$O$1673,6,FALSE),"UNKNOWN")</f>
        <v>THERMAL</v>
      </c>
      <c r="W179" s="271">
        <f>IFERROR(VLOOKUP($A179,GeneratingCapabilityList!$E$7:$O$1673,3,FALSE),"ID Not Found")</f>
        <v>63</v>
      </c>
      <c r="Y179" s="270"/>
    </row>
    <row r="180" spans="1:25">
      <c r="A180" s="241" t="s">
        <v>475</v>
      </c>
      <c r="B180" s="241" t="s">
        <v>3361</v>
      </c>
      <c r="C180" s="241" t="s">
        <v>3455</v>
      </c>
      <c r="D180" s="242">
        <v>81.5</v>
      </c>
      <c r="E180" s="242">
        <v>81.5</v>
      </c>
      <c r="F180" s="242">
        <v>81.5</v>
      </c>
      <c r="G180" s="242">
        <v>81.5</v>
      </c>
      <c r="H180" s="242">
        <v>81.5</v>
      </c>
      <c r="I180" s="242">
        <v>81.5</v>
      </c>
      <c r="J180" s="242">
        <v>81.5</v>
      </c>
      <c r="K180" s="242">
        <v>81.5</v>
      </c>
      <c r="L180" s="242">
        <v>81.5</v>
      </c>
      <c r="M180" s="242">
        <v>81.5</v>
      </c>
      <c r="N180" s="242">
        <v>81.5</v>
      </c>
      <c r="O180" s="242">
        <v>81.5</v>
      </c>
      <c r="P180" s="241" t="s">
        <v>3352</v>
      </c>
      <c r="Q180" s="241" t="s">
        <v>3347</v>
      </c>
      <c r="R180" s="243" t="s">
        <v>4561</v>
      </c>
      <c r="S180" s="270">
        <f t="shared" ref="S180:S199" si="6">U180</f>
        <v>23377</v>
      </c>
      <c r="T180" s="270"/>
      <c r="U180" s="270">
        <f>IFERROR(VLOOKUP($A180,GeneratingCapabilityList!$E$7:$O$1673,11,FALSE),"ID Not Found")</f>
        <v>23377</v>
      </c>
      <c r="V180" s="271" t="str">
        <f>IFERROR(VLOOKUP($A180,GeneratingCapabilityList!$E$7:$O$1673,6,FALSE),"UNKNOWN")</f>
        <v>THERMAL</v>
      </c>
      <c r="W180" s="271">
        <f>IFERROR(VLOOKUP($A180,GeneratingCapabilityList!$E$7:$O$1673,3,FALSE),"ID Not Found")</f>
        <v>81.5</v>
      </c>
      <c r="Y180" s="270"/>
    </row>
    <row r="181" spans="1:25">
      <c r="A181" s="241" t="s">
        <v>702</v>
      </c>
      <c r="B181" s="241" t="s">
        <v>3361</v>
      </c>
      <c r="C181" s="241" t="s">
        <v>3456</v>
      </c>
      <c r="D181" s="242">
        <v>245.3</v>
      </c>
      <c r="E181" s="242">
        <v>245.3</v>
      </c>
      <c r="F181" s="242">
        <v>245.3</v>
      </c>
      <c r="G181" s="242">
        <v>245.3</v>
      </c>
      <c r="H181" s="242">
        <v>245.3</v>
      </c>
      <c r="I181" s="242">
        <v>245.3</v>
      </c>
      <c r="J181" s="242">
        <v>245.3</v>
      </c>
      <c r="K181" s="242">
        <v>245.3</v>
      </c>
      <c r="L181" s="242">
        <v>245.3</v>
      </c>
      <c r="M181" s="242">
        <v>245.3</v>
      </c>
      <c r="N181" s="242">
        <v>245.3</v>
      </c>
      <c r="O181" s="242">
        <v>245.3</v>
      </c>
      <c r="P181" s="241" t="s">
        <v>3352</v>
      </c>
      <c r="Q181" s="241" t="s">
        <v>3347</v>
      </c>
      <c r="R181" s="243" t="s">
        <v>4561</v>
      </c>
      <c r="S181" s="270">
        <f t="shared" si="6"/>
        <v>28491</v>
      </c>
      <c r="T181" s="270"/>
      <c r="U181" s="270">
        <f>IFERROR(VLOOKUP($A181,GeneratingCapabilityList!$E$7:$O$1673,11,FALSE),"ID Not Found")</f>
        <v>28491</v>
      </c>
      <c r="V181" s="271" t="str">
        <f>IFERROR(VLOOKUP($A181,GeneratingCapabilityList!$E$7:$O$1673,6,FALSE),"UNKNOWN")</f>
        <v>THERMAL</v>
      </c>
      <c r="W181" s="271">
        <f>IFERROR(VLOOKUP($A181,GeneratingCapabilityList!$E$7:$O$1673,3,FALSE),"ID Not Found")</f>
        <v>245.3</v>
      </c>
      <c r="Y181" s="270"/>
    </row>
    <row r="182" spans="1:25">
      <c r="A182" s="241" t="s">
        <v>713</v>
      </c>
      <c r="B182" s="241" t="s">
        <v>3361</v>
      </c>
      <c r="C182" s="241" t="s">
        <v>3457</v>
      </c>
      <c r="D182" s="242">
        <v>245.9</v>
      </c>
      <c r="E182" s="242">
        <v>245.9</v>
      </c>
      <c r="F182" s="242">
        <v>245.9</v>
      </c>
      <c r="G182" s="242">
        <v>245.9</v>
      </c>
      <c r="H182" s="242">
        <v>245.9</v>
      </c>
      <c r="I182" s="242">
        <v>245.9</v>
      </c>
      <c r="J182" s="242">
        <v>245.9</v>
      </c>
      <c r="K182" s="242">
        <v>245.9</v>
      </c>
      <c r="L182" s="242">
        <v>245.9</v>
      </c>
      <c r="M182" s="242">
        <v>245.9</v>
      </c>
      <c r="N182" s="242">
        <v>245.9</v>
      </c>
      <c r="O182" s="242">
        <v>245.9</v>
      </c>
      <c r="P182" s="241" t="s">
        <v>3352</v>
      </c>
      <c r="Q182" s="241" t="s">
        <v>3347</v>
      </c>
      <c r="R182" s="243" t="s">
        <v>4561</v>
      </c>
      <c r="S182" s="270">
        <f t="shared" si="6"/>
        <v>28491</v>
      </c>
      <c r="T182" s="270"/>
      <c r="U182" s="270">
        <f>IFERROR(VLOOKUP($A182,GeneratingCapabilityList!$E$7:$O$1673,11,FALSE),"ID Not Found")</f>
        <v>28491</v>
      </c>
      <c r="V182" s="271" t="str">
        <f>IFERROR(VLOOKUP($A182,GeneratingCapabilityList!$E$7:$O$1673,6,FALSE),"UNKNOWN")</f>
        <v>THERMAL</v>
      </c>
      <c r="W182" s="271">
        <f>IFERROR(VLOOKUP($A182,GeneratingCapabilityList!$E$7:$O$1673,3,FALSE),"ID Not Found")</f>
        <v>245.9</v>
      </c>
      <c r="Y182" s="270"/>
    </row>
    <row r="183" spans="1:25">
      <c r="A183" s="820" t="s">
        <v>4598</v>
      </c>
      <c r="B183" s="245" t="s">
        <v>3375</v>
      </c>
      <c r="C183" s="245" t="s">
        <v>4599</v>
      </c>
      <c r="D183" s="281">
        <v>8.4385868769796778E-3</v>
      </c>
      <c r="E183" s="281">
        <v>7.9814020580600567E-2</v>
      </c>
      <c r="F183" s="281">
        <v>0.18614565300912553</v>
      </c>
      <c r="G183" s="281">
        <v>0.6018594401939783</v>
      </c>
      <c r="H183" s="281">
        <v>0.73448139357069653</v>
      </c>
      <c r="I183" s="281">
        <v>0.86735684396896529</v>
      </c>
      <c r="J183" s="281">
        <v>0.84811504735104337</v>
      </c>
      <c r="K183" s="281">
        <v>0.81445409494447707</v>
      </c>
      <c r="L183" s="281">
        <v>0.74119029943882675</v>
      </c>
      <c r="M183" s="281">
        <v>0.46831563946807547</v>
      </c>
      <c r="N183" s="281">
        <v>6.478088431256776E-2</v>
      </c>
      <c r="O183" s="281">
        <v>2.7131109892688843E-2</v>
      </c>
      <c r="P183" s="245" t="s">
        <v>3345</v>
      </c>
      <c r="Q183" s="825"/>
      <c r="R183" s="826"/>
      <c r="S183" s="270">
        <f t="shared" si="6"/>
        <v>41456</v>
      </c>
      <c r="T183" s="270"/>
      <c r="U183" s="270">
        <f>IFERROR(VLOOKUP($A183,GeneratingCapabilityList!$E$7:$O$1673,11,FALSE),"ID Not Found")</f>
        <v>41456</v>
      </c>
      <c r="V183" s="271" t="str">
        <f>IFERROR(VLOOKUP($A183,GeneratingCapabilityList!$E$7:$O$1673,6,FALSE),"UNKNOWN")</f>
        <v>SOLAR</v>
      </c>
      <c r="W183" s="271">
        <f>IFERROR(VLOOKUP($A183,GeneratingCapabilityList!$E$7:$O$1673,3,FALSE),"ID Not Found")</f>
        <v>1</v>
      </c>
      <c r="Y183" s="270"/>
    </row>
    <row r="184" spans="1:25">
      <c r="A184" s="241" t="s">
        <v>2225</v>
      </c>
      <c r="B184" s="241" t="s">
        <v>3375</v>
      </c>
      <c r="C184" s="241" t="s">
        <v>3458</v>
      </c>
      <c r="D184" s="242">
        <v>1.83</v>
      </c>
      <c r="E184" s="242">
        <v>2.08</v>
      </c>
      <c r="F184" s="242">
        <v>2.1800000000000002</v>
      </c>
      <c r="G184" s="242">
        <v>2.25</v>
      </c>
      <c r="H184" s="242">
        <v>2.11</v>
      </c>
      <c r="I184" s="242">
        <v>1.97</v>
      </c>
      <c r="J184" s="242">
        <v>1.86</v>
      </c>
      <c r="K184" s="242">
        <v>1.95</v>
      </c>
      <c r="L184" s="242">
        <v>1.81</v>
      </c>
      <c r="M184" s="242">
        <v>2.04</v>
      </c>
      <c r="N184" s="242">
        <v>2.13</v>
      </c>
      <c r="O184" s="242">
        <v>2.0099999999999998</v>
      </c>
      <c r="P184" s="241" t="s">
        <v>3345</v>
      </c>
      <c r="Q184" s="241" t="s">
        <v>3347</v>
      </c>
      <c r="R184" s="243" t="s">
        <v>4562</v>
      </c>
      <c r="S184" s="270">
        <f t="shared" si="6"/>
        <v>35431</v>
      </c>
      <c r="T184" s="270"/>
      <c r="U184" s="270">
        <f>IFERROR(VLOOKUP($A184,GeneratingCapabilityList!$E$7:$O$1673,11,FALSE),"ID Not Found")</f>
        <v>35431</v>
      </c>
      <c r="V184" s="271" t="str">
        <f>IFERROR(VLOOKUP($A184,GeneratingCapabilityList!$E$7:$O$1673,6,FALSE),"UNKNOWN")</f>
        <v>BIOMASS</v>
      </c>
      <c r="W184" s="271">
        <f>IFERROR(VLOOKUP($A184,GeneratingCapabilityList!$E$7:$O$1673,3,FALSE),"ID Not Found")</f>
        <v>4</v>
      </c>
      <c r="Y184" s="270"/>
    </row>
    <row r="185" spans="1:25">
      <c r="A185" s="241" t="s">
        <v>1969</v>
      </c>
      <c r="B185" s="241" t="s">
        <v>3375</v>
      </c>
      <c r="C185" s="241" t="s">
        <v>1969</v>
      </c>
      <c r="D185" s="242">
        <v>0.43</v>
      </c>
      <c r="E185" s="242">
        <v>0.45</v>
      </c>
      <c r="F185" s="242">
        <v>0.89</v>
      </c>
      <c r="G185" s="242">
        <v>1.32</v>
      </c>
      <c r="H185" s="242">
        <v>0.88</v>
      </c>
      <c r="I185" s="242">
        <v>0.44</v>
      </c>
      <c r="J185" s="242">
        <v>0.17</v>
      </c>
      <c r="K185" s="242">
        <v>0</v>
      </c>
      <c r="L185" s="242">
        <v>0</v>
      </c>
      <c r="M185" s="242">
        <v>0</v>
      </c>
      <c r="N185" s="242">
        <v>0</v>
      </c>
      <c r="O185" s="242">
        <v>0.46</v>
      </c>
      <c r="P185" s="241" t="s">
        <v>3345</v>
      </c>
      <c r="Q185" s="241" t="s">
        <v>3347</v>
      </c>
      <c r="R185" s="243" t="s">
        <v>4562</v>
      </c>
      <c r="S185" s="270">
        <f t="shared" si="6"/>
        <v>32902</v>
      </c>
      <c r="T185" s="270"/>
      <c r="U185" s="270">
        <f>IFERROR(VLOOKUP($A185,GeneratingCapabilityList!$E$7:$O$1673,11,FALSE),"ID Not Found")</f>
        <v>32902</v>
      </c>
      <c r="V185" s="271" t="str">
        <f>IFERROR(VLOOKUP($A185,GeneratingCapabilityList!$E$7:$O$1673,6,FALSE),"UNKNOWN")</f>
        <v>HYDRO</v>
      </c>
      <c r="W185" s="271">
        <f>IFERROR(VLOOKUP($A185,GeneratingCapabilityList!$E$7:$O$1673,3,FALSE),"ID Not Found")</f>
        <v>2</v>
      </c>
      <c r="Y185" s="270"/>
    </row>
    <row r="186" spans="1:25">
      <c r="A186" s="241" t="s">
        <v>82</v>
      </c>
      <c r="B186" s="241" t="s">
        <v>3375</v>
      </c>
      <c r="C186" s="241" t="s">
        <v>83</v>
      </c>
      <c r="D186" s="242">
        <v>1.6</v>
      </c>
      <c r="E186" s="242">
        <v>1.81</v>
      </c>
      <c r="F186" s="242">
        <v>1.68</v>
      </c>
      <c r="G186" s="242">
        <v>1.05</v>
      </c>
      <c r="H186" s="242">
        <v>2.09</v>
      </c>
      <c r="I186" s="242">
        <v>2.2999999999999998</v>
      </c>
      <c r="J186" s="242">
        <v>3.51</v>
      </c>
      <c r="K186" s="242">
        <v>3.48</v>
      </c>
      <c r="L186" s="242">
        <v>3.51</v>
      </c>
      <c r="M186" s="242">
        <v>2.86</v>
      </c>
      <c r="N186" s="242">
        <v>1.6</v>
      </c>
      <c r="O186" s="242">
        <v>1.03</v>
      </c>
      <c r="P186" s="241" t="s">
        <v>3345</v>
      </c>
      <c r="Q186" s="241" t="s">
        <v>3347</v>
      </c>
      <c r="R186" s="243" t="s">
        <v>4561</v>
      </c>
      <c r="S186" s="270">
        <f t="shared" si="6"/>
        <v>2923</v>
      </c>
      <c r="T186" s="270"/>
      <c r="U186" s="270">
        <f>IFERROR(VLOOKUP($A186,GeneratingCapabilityList!$E$7:$O$1673,11,FALSE),"ID Not Found")</f>
        <v>2923</v>
      </c>
      <c r="V186" s="271" t="str">
        <f>IFERROR(VLOOKUP($A186,GeneratingCapabilityList!$E$7:$O$1673,6,FALSE),"UNKNOWN")</f>
        <v>HYDRO</v>
      </c>
      <c r="W186" s="271">
        <f>IFERROR(VLOOKUP($A186,GeneratingCapabilityList!$E$7:$O$1673,3,FALSE),"ID Not Found")</f>
        <v>7</v>
      </c>
      <c r="Y186" s="270"/>
    </row>
    <row r="187" spans="1:25">
      <c r="A187" s="241" t="s">
        <v>3082</v>
      </c>
      <c r="B187" s="245" t="s">
        <v>3327</v>
      </c>
      <c r="C187" s="241" t="s">
        <v>3083</v>
      </c>
      <c r="D187" s="249" t="s">
        <v>4573</v>
      </c>
      <c r="E187" s="249" t="s">
        <v>4573</v>
      </c>
      <c r="F187" s="249" t="s">
        <v>4573</v>
      </c>
      <c r="G187" s="249" t="s">
        <v>4573</v>
      </c>
      <c r="H187" s="249" t="s">
        <v>4573</v>
      </c>
      <c r="I187" s="249" t="s">
        <v>4573</v>
      </c>
      <c r="J187" s="249" t="s">
        <v>4573</v>
      </c>
      <c r="K187" s="249" t="s">
        <v>4573</v>
      </c>
      <c r="L187" s="249" t="s">
        <v>4573</v>
      </c>
      <c r="M187" s="249" t="s">
        <v>4573</v>
      </c>
      <c r="N187" s="249" t="s">
        <v>4573</v>
      </c>
      <c r="O187" s="249" t="s">
        <v>4573</v>
      </c>
      <c r="P187" s="245" t="s">
        <v>3352</v>
      </c>
      <c r="Q187" s="245" t="s">
        <v>3385</v>
      </c>
      <c r="R187" s="243" t="s">
        <v>4562</v>
      </c>
      <c r="S187" s="270">
        <f t="shared" si="6"/>
        <v>40949</v>
      </c>
      <c r="T187" s="270"/>
      <c r="U187" s="270">
        <f>IFERROR(VLOOKUP($A187,GeneratingCapabilityList!$E$7:$O$1673,11,FALSE),"ID Not Found")</f>
        <v>40949</v>
      </c>
      <c r="V187" s="271" t="str">
        <f>IFERROR(VLOOKUP($A187,GeneratingCapabilityList!$E$7:$O$1673,6,FALSE),"UNKNOWN")</f>
        <v>SOLAR</v>
      </c>
      <c r="W187" s="271">
        <f>IFERROR(VLOOKUP($A187,GeneratingCapabilityList!$E$7:$O$1673,3,FALSE),"ID Not Found")</f>
        <v>1.1599999999999999</v>
      </c>
      <c r="Y187" s="270"/>
    </row>
    <row r="188" spans="1:25">
      <c r="A188" s="241" t="s">
        <v>3088</v>
      </c>
      <c r="B188" s="245" t="s">
        <v>3327</v>
      </c>
      <c r="C188" s="241" t="s">
        <v>3089</v>
      </c>
      <c r="D188" s="249" t="s">
        <v>4573</v>
      </c>
      <c r="E188" s="249" t="s">
        <v>4573</v>
      </c>
      <c r="F188" s="249" t="s">
        <v>4573</v>
      </c>
      <c r="G188" s="249" t="s">
        <v>4573</v>
      </c>
      <c r="H188" s="249" t="s">
        <v>4573</v>
      </c>
      <c r="I188" s="249" t="s">
        <v>4573</v>
      </c>
      <c r="J188" s="249" t="s">
        <v>4573</v>
      </c>
      <c r="K188" s="249" t="s">
        <v>4573</v>
      </c>
      <c r="L188" s="249" t="s">
        <v>4573</v>
      </c>
      <c r="M188" s="249" t="s">
        <v>4573</v>
      </c>
      <c r="N188" s="249" t="s">
        <v>4573</v>
      </c>
      <c r="O188" s="249" t="s">
        <v>4573</v>
      </c>
      <c r="P188" s="245" t="s">
        <v>3352</v>
      </c>
      <c r="Q188" s="245" t="s">
        <v>3385</v>
      </c>
      <c r="R188" s="243" t="s">
        <v>4562</v>
      </c>
      <c r="S188" s="270">
        <f t="shared" si="6"/>
        <v>41001</v>
      </c>
      <c r="T188" s="270"/>
      <c r="U188" s="270">
        <f>IFERROR(VLOOKUP($A188,GeneratingCapabilityList!$E$7:$O$1673,11,FALSE),"ID Not Found")</f>
        <v>41001</v>
      </c>
      <c r="V188" s="271" t="str">
        <f>IFERROR(VLOOKUP($A188,GeneratingCapabilityList!$E$7:$O$1673,6,FALSE),"UNKNOWN")</f>
        <v>SOLAR</v>
      </c>
      <c r="W188" s="271">
        <f>IFERROR(VLOOKUP($A188,GeneratingCapabilityList!$E$7:$O$1673,3,FALSE),"ID Not Found")</f>
        <v>1.25</v>
      </c>
      <c r="Y188" s="270"/>
    </row>
    <row r="189" spans="1:25">
      <c r="A189" s="241" t="s">
        <v>2511</v>
      </c>
      <c r="B189" s="241" t="s">
        <v>3324</v>
      </c>
      <c r="C189" s="241" t="s">
        <v>3459</v>
      </c>
      <c r="D189" s="242">
        <v>861.29</v>
      </c>
      <c r="E189" s="242">
        <v>861.29</v>
      </c>
      <c r="F189" s="242">
        <v>855</v>
      </c>
      <c r="G189" s="242">
        <v>845</v>
      </c>
      <c r="H189" s="242">
        <v>835</v>
      </c>
      <c r="I189" s="242">
        <v>820</v>
      </c>
      <c r="J189" s="242">
        <v>813</v>
      </c>
      <c r="K189" s="242">
        <v>813</v>
      </c>
      <c r="L189" s="242">
        <v>813</v>
      </c>
      <c r="M189" s="242">
        <v>835</v>
      </c>
      <c r="N189" s="242">
        <v>850</v>
      </c>
      <c r="O189" s="242">
        <v>861.29</v>
      </c>
      <c r="P189" s="241" t="s">
        <v>3345</v>
      </c>
      <c r="Q189" s="241" t="s">
        <v>3347</v>
      </c>
      <c r="R189" s="243" t="s">
        <v>4561</v>
      </c>
      <c r="S189" s="270">
        <f t="shared" si="6"/>
        <v>37424</v>
      </c>
      <c r="T189" s="270"/>
      <c r="U189" s="270">
        <f>IFERROR(VLOOKUP($A189,GeneratingCapabilityList!$E$7:$O$1673,11,FALSE),"ID Not Found")</f>
        <v>37424</v>
      </c>
      <c r="V189" s="271" t="str">
        <f>IFERROR(VLOOKUP($A189,GeneratingCapabilityList!$E$7:$O$1673,6,FALSE),"UNKNOWN")</f>
        <v>THERMAL</v>
      </c>
      <c r="W189" s="271">
        <f>IFERROR(VLOOKUP($A189,GeneratingCapabilityList!$E$7:$O$1673,3,FALSE),"ID Not Found")</f>
        <v>880</v>
      </c>
      <c r="Y189" s="270"/>
    </row>
    <row r="190" spans="1:25">
      <c r="A190" s="241" t="s">
        <v>881</v>
      </c>
      <c r="B190" s="241" t="s">
        <v>3327</v>
      </c>
      <c r="C190" s="241" t="s">
        <v>3460</v>
      </c>
      <c r="D190" s="242">
        <v>8.91</v>
      </c>
      <c r="E190" s="242">
        <v>29.96</v>
      </c>
      <c r="F190" s="242">
        <v>76.959999999999994</v>
      </c>
      <c r="G190" s="242">
        <v>58.67</v>
      </c>
      <c r="H190" s="242">
        <v>101.02</v>
      </c>
      <c r="I190" s="242">
        <v>123.62</v>
      </c>
      <c r="J190" s="242">
        <v>55.93</v>
      </c>
      <c r="K190" s="242">
        <v>36.82</v>
      </c>
      <c r="L190" s="242">
        <v>13.49</v>
      </c>
      <c r="M190" s="242">
        <v>22.11</v>
      </c>
      <c r="N190" s="242">
        <v>23.21</v>
      </c>
      <c r="O190" s="242">
        <v>12.14</v>
      </c>
      <c r="P190" s="241" t="s">
        <v>3352</v>
      </c>
      <c r="Q190" s="241" t="s">
        <v>3347</v>
      </c>
      <c r="R190" s="243" t="s">
        <v>4562</v>
      </c>
      <c r="S190" s="270">
        <f t="shared" si="6"/>
        <v>30317</v>
      </c>
      <c r="T190" s="270"/>
      <c r="U190" s="270">
        <f>IFERROR(VLOOKUP($A190,GeneratingCapabilityList!$E$7:$O$1673,11,FALSE),"ID Not Found")</f>
        <v>30317</v>
      </c>
      <c r="V190" s="271" t="str">
        <f>IFERROR(VLOOKUP($A190,GeneratingCapabilityList!$E$7:$O$1673,6,FALSE),"UNKNOWN")</f>
        <v>WIND</v>
      </c>
      <c r="W190" s="271">
        <f>IFERROR(VLOOKUP($A190,GeneratingCapabilityList!$E$7:$O$1673,3,FALSE),"ID Not Found")</f>
        <v>362.34</v>
      </c>
      <c r="Y190" s="270"/>
    </row>
    <row r="191" spans="1:25">
      <c r="A191" s="241" t="s">
        <v>4600</v>
      </c>
      <c r="B191" s="245" t="s">
        <v>3327</v>
      </c>
      <c r="C191" s="241" t="s">
        <v>4601</v>
      </c>
      <c r="D191" s="249" t="s">
        <v>4573</v>
      </c>
      <c r="E191" s="249" t="s">
        <v>4573</v>
      </c>
      <c r="F191" s="249" t="s">
        <v>4573</v>
      </c>
      <c r="G191" s="249" t="s">
        <v>4573</v>
      </c>
      <c r="H191" s="249" t="s">
        <v>4573</v>
      </c>
      <c r="I191" s="249" t="s">
        <v>4573</v>
      </c>
      <c r="J191" s="249" t="s">
        <v>4573</v>
      </c>
      <c r="K191" s="249" t="s">
        <v>4573</v>
      </c>
      <c r="L191" s="249" t="s">
        <v>4573</v>
      </c>
      <c r="M191" s="249" t="s">
        <v>4573</v>
      </c>
      <c r="N191" s="249" t="s">
        <v>4573</v>
      </c>
      <c r="O191" s="249" t="s">
        <v>4573</v>
      </c>
      <c r="P191" s="245" t="s">
        <v>3352</v>
      </c>
      <c r="Q191" s="245" t="s">
        <v>3385</v>
      </c>
      <c r="R191" s="243" t="s">
        <v>4562</v>
      </c>
      <c r="S191" s="270">
        <f>Scenarios!$B$55</f>
        <v>36526</v>
      </c>
      <c r="T191" s="270" t="s">
        <v>4798</v>
      </c>
      <c r="U191" s="270" t="str">
        <f>IFERROR(VLOOKUP($A191,GeneratingCapabilityList!$E$7:$O$1673,11,FALSE),"ID Not Found")</f>
        <v>ID Not Found</v>
      </c>
      <c r="V191" s="271" t="str">
        <f>IFERROR(VLOOKUP($A191,GeneratingCapabilityList!$E$7:$O$1673,6,FALSE),"UNKNOWN")</f>
        <v>UNKNOWN</v>
      </c>
      <c r="W191" s="271" t="str">
        <f>IFERROR(VLOOKUP($A191,GeneratingCapabilityList!$E$7:$O$1673,3,FALSE),"ID Not Found")</f>
        <v>ID Not Found</v>
      </c>
      <c r="Y191" s="270"/>
    </row>
    <row r="192" spans="1:25">
      <c r="A192" s="241" t="s">
        <v>1889</v>
      </c>
      <c r="B192" s="241" t="s">
        <v>3370</v>
      </c>
      <c r="C192" s="241" t="s">
        <v>3461</v>
      </c>
      <c r="D192" s="242">
        <v>28.84</v>
      </c>
      <c r="E192" s="242">
        <v>28.7</v>
      </c>
      <c r="F192" s="242">
        <v>24.42</v>
      </c>
      <c r="G192" s="242">
        <v>19.850000000000001</v>
      </c>
      <c r="H192" s="242">
        <v>27.28</v>
      </c>
      <c r="I192" s="242">
        <v>28.35</v>
      </c>
      <c r="J192" s="242">
        <v>26.8</v>
      </c>
      <c r="K192" s="242">
        <v>27.89</v>
      </c>
      <c r="L192" s="242">
        <v>26.68</v>
      </c>
      <c r="M192" s="242">
        <v>26.38</v>
      </c>
      <c r="N192" s="242">
        <v>24.81</v>
      </c>
      <c r="O192" s="242">
        <v>26.88</v>
      </c>
      <c r="P192" s="241" t="s">
        <v>3345</v>
      </c>
      <c r="Q192" s="241" t="s">
        <v>3347</v>
      </c>
      <c r="R192" s="243" t="s">
        <v>4562</v>
      </c>
      <c r="S192" s="270">
        <f t="shared" si="6"/>
        <v>32842</v>
      </c>
      <c r="T192" s="270"/>
      <c r="U192" s="270">
        <f>IFERROR(VLOOKUP($A192,GeneratingCapabilityList!$E$7:$O$1673,11,FALSE),"ID Not Found")</f>
        <v>32842</v>
      </c>
      <c r="V192" s="271" t="str">
        <f>IFERROR(VLOOKUP($A192,GeneratingCapabilityList!$E$7:$O$1673,6,FALSE),"UNKNOWN")</f>
        <v>COGENERATION</v>
      </c>
      <c r="W192" s="271">
        <f>IFERROR(VLOOKUP($A192,GeneratingCapabilityList!$E$7:$O$1673,3,FALSE),"ID Not Found")</f>
        <v>36.799999999999997</v>
      </c>
      <c r="Y192" s="270"/>
    </row>
    <row r="193" spans="1:26">
      <c r="A193" s="241" t="s">
        <v>1126</v>
      </c>
      <c r="B193" s="241" t="s">
        <v>3361</v>
      </c>
      <c r="C193" s="241" t="s">
        <v>1127</v>
      </c>
      <c r="D193" s="242">
        <v>1122</v>
      </c>
      <c r="E193" s="242">
        <v>1122</v>
      </c>
      <c r="F193" s="242">
        <v>1122</v>
      </c>
      <c r="G193" s="242">
        <v>1122</v>
      </c>
      <c r="H193" s="242">
        <v>1122</v>
      </c>
      <c r="I193" s="242">
        <v>1122</v>
      </c>
      <c r="J193" s="242">
        <v>1122</v>
      </c>
      <c r="K193" s="242">
        <v>1122</v>
      </c>
      <c r="L193" s="242">
        <v>1122</v>
      </c>
      <c r="M193" s="242">
        <v>1122</v>
      </c>
      <c r="N193" s="242">
        <v>1122</v>
      </c>
      <c r="O193" s="242">
        <v>1122</v>
      </c>
      <c r="P193" s="241" t="s">
        <v>3345</v>
      </c>
      <c r="Q193" s="241" t="s">
        <v>3347</v>
      </c>
      <c r="R193" s="243" t="s">
        <v>4561</v>
      </c>
      <c r="S193" s="270">
        <f t="shared" si="6"/>
        <v>31048</v>
      </c>
      <c r="T193" s="270"/>
      <c r="U193" s="270">
        <f>IFERROR(VLOOKUP($A193,GeneratingCapabilityList!$E$7:$O$1673,11,FALSE),"ID Not Found")</f>
        <v>31048</v>
      </c>
      <c r="V193" s="271" t="str">
        <f>IFERROR(VLOOKUP($A193,GeneratingCapabilityList!$E$7:$O$1673,6,FALSE),"UNKNOWN")</f>
        <v>NUCLEAR</v>
      </c>
      <c r="W193" s="271">
        <f>IFERROR(VLOOKUP($A193,GeneratingCapabilityList!$E$7:$O$1673,3,FALSE),"ID Not Found")</f>
        <v>1150</v>
      </c>
      <c r="X193" s="271" t="s">
        <v>12</v>
      </c>
      <c r="Y193" s="270">
        <v>45291</v>
      </c>
    </row>
    <row r="194" spans="1:26">
      <c r="A194" s="241" t="s">
        <v>1273</v>
      </c>
      <c r="B194" s="241" t="s">
        <v>3361</v>
      </c>
      <c r="C194" s="241" t="s">
        <v>1274</v>
      </c>
      <c r="D194" s="242">
        <v>1118</v>
      </c>
      <c r="E194" s="242">
        <v>1118</v>
      </c>
      <c r="F194" s="242">
        <v>1118</v>
      </c>
      <c r="G194" s="242">
        <v>1118</v>
      </c>
      <c r="H194" s="242">
        <v>1118</v>
      </c>
      <c r="I194" s="242">
        <v>1118</v>
      </c>
      <c r="J194" s="242">
        <v>1118</v>
      </c>
      <c r="K194" s="242">
        <v>1118</v>
      </c>
      <c r="L194" s="242">
        <v>1118</v>
      </c>
      <c r="M194" s="242">
        <v>1118</v>
      </c>
      <c r="N194" s="242">
        <v>1118</v>
      </c>
      <c r="O194" s="242">
        <v>1118</v>
      </c>
      <c r="P194" s="241" t="s">
        <v>3345</v>
      </c>
      <c r="Q194" s="241" t="s">
        <v>3347</v>
      </c>
      <c r="R194" s="243" t="s">
        <v>4561</v>
      </c>
      <c r="S194" s="270">
        <f t="shared" si="6"/>
        <v>31413</v>
      </c>
      <c r="T194" s="270"/>
      <c r="U194" s="270">
        <f>IFERROR(VLOOKUP($A194,GeneratingCapabilityList!$E$7:$O$1673,11,FALSE),"ID Not Found")</f>
        <v>31413</v>
      </c>
      <c r="V194" s="271" t="str">
        <f>IFERROR(VLOOKUP($A194,GeneratingCapabilityList!$E$7:$O$1673,6,FALSE),"UNKNOWN")</f>
        <v>NUCLEAR</v>
      </c>
      <c r="W194" s="271">
        <f>IFERROR(VLOOKUP($A194,GeneratingCapabilityList!$E$7:$O$1673,3,FALSE),"ID Not Found")</f>
        <v>1150</v>
      </c>
      <c r="X194" s="271" t="s">
        <v>12</v>
      </c>
      <c r="Y194" s="270">
        <v>45291</v>
      </c>
    </row>
    <row r="195" spans="1:26">
      <c r="A195" s="241" t="s">
        <v>2381</v>
      </c>
      <c r="B195" s="241" t="s">
        <v>3349</v>
      </c>
      <c r="C195" s="241" t="s">
        <v>3462</v>
      </c>
      <c r="D195" s="242">
        <v>9.8699999999999992</v>
      </c>
      <c r="E195" s="242">
        <v>9.8699999999999992</v>
      </c>
      <c r="F195" s="242">
        <v>9.8699999999999992</v>
      </c>
      <c r="G195" s="242">
        <v>9.8699999999999992</v>
      </c>
      <c r="H195" s="242">
        <v>9.8699999999999992</v>
      </c>
      <c r="I195" s="242">
        <v>9.8699999999999992</v>
      </c>
      <c r="J195" s="242">
        <v>9.8699999999999992</v>
      </c>
      <c r="K195" s="242">
        <v>9.8699999999999992</v>
      </c>
      <c r="L195" s="242">
        <v>9.8699999999999992</v>
      </c>
      <c r="M195" s="242">
        <v>9.8699999999999992</v>
      </c>
      <c r="N195" s="242">
        <v>9.8699999999999992</v>
      </c>
      <c r="O195" s="242">
        <v>9.8699999999999992</v>
      </c>
      <c r="P195" s="241" t="s">
        <v>3345</v>
      </c>
      <c r="Q195" s="241" t="s">
        <v>3347</v>
      </c>
      <c r="R195" s="243" t="s">
        <v>4562</v>
      </c>
      <c r="S195" s="270">
        <f t="shared" si="6"/>
        <v>37077</v>
      </c>
      <c r="T195" s="270"/>
      <c r="U195" s="270">
        <f>IFERROR(VLOOKUP($A195,GeneratingCapabilityList!$E$7:$O$1673,11,FALSE),"ID Not Found")</f>
        <v>37077</v>
      </c>
      <c r="V195" s="271" t="str">
        <f>IFERROR(VLOOKUP($A195,GeneratingCapabilityList!$E$7:$O$1673,6,FALSE),"UNKNOWN")</f>
        <v>THERMAL</v>
      </c>
      <c r="W195" s="271">
        <f>IFERROR(VLOOKUP($A195,GeneratingCapabilityList!$E$7:$O$1673,3,FALSE),"ID Not Found")</f>
        <v>12</v>
      </c>
      <c r="Y195" s="270"/>
    </row>
    <row r="196" spans="1:26">
      <c r="A196" s="241" t="s">
        <v>1693</v>
      </c>
      <c r="B196" s="241" t="s">
        <v>3370</v>
      </c>
      <c r="C196" s="241" t="s">
        <v>1694</v>
      </c>
      <c r="D196" s="242">
        <v>3.93</v>
      </c>
      <c r="E196" s="242">
        <v>3.64</v>
      </c>
      <c r="F196" s="242">
        <v>5.05</v>
      </c>
      <c r="G196" s="242">
        <v>3.26</v>
      </c>
      <c r="H196" s="242">
        <v>2.12</v>
      </c>
      <c r="I196" s="242">
        <v>3.95</v>
      </c>
      <c r="J196" s="242">
        <v>1.0900000000000001</v>
      </c>
      <c r="K196" s="242">
        <v>3.01</v>
      </c>
      <c r="L196" s="242">
        <v>5.61</v>
      </c>
      <c r="M196" s="242">
        <v>4.1100000000000003</v>
      </c>
      <c r="N196" s="242">
        <v>6.81</v>
      </c>
      <c r="O196" s="242">
        <v>4.82</v>
      </c>
      <c r="P196" s="241" t="s">
        <v>3345</v>
      </c>
      <c r="Q196" s="241" t="s">
        <v>3347</v>
      </c>
      <c r="R196" s="243" t="s">
        <v>4562</v>
      </c>
      <c r="S196" s="270">
        <f t="shared" si="6"/>
        <v>32307</v>
      </c>
      <c r="T196" s="270"/>
      <c r="U196" s="270">
        <f>IFERROR(VLOOKUP($A196,GeneratingCapabilityList!$E$7:$O$1673,11,FALSE),"ID Not Found")</f>
        <v>32307</v>
      </c>
      <c r="V196" s="271" t="str">
        <f>IFERROR(VLOOKUP($A196,GeneratingCapabilityList!$E$7:$O$1673,6,FALSE),"UNKNOWN")</f>
        <v>COGENERATION</v>
      </c>
      <c r="W196" s="271">
        <f>IFERROR(VLOOKUP($A196,GeneratingCapabilityList!$E$7:$O$1673,3,FALSE),"ID Not Found")</f>
        <v>56.2</v>
      </c>
      <c r="Y196" s="270"/>
    </row>
    <row r="197" spans="1:26">
      <c r="A197" s="241" t="s">
        <v>1769</v>
      </c>
      <c r="B197" s="241" t="s">
        <v>4579</v>
      </c>
      <c r="C197" s="241" t="s">
        <v>3463</v>
      </c>
      <c r="D197" s="242">
        <v>43.76</v>
      </c>
      <c r="E197" s="242">
        <v>42.67</v>
      </c>
      <c r="F197" s="242">
        <v>45.34</v>
      </c>
      <c r="G197" s="242">
        <v>39.51</v>
      </c>
      <c r="H197" s="242">
        <v>37.51</v>
      </c>
      <c r="I197" s="242">
        <v>37.950000000000003</v>
      </c>
      <c r="J197" s="242">
        <v>36.270000000000003</v>
      </c>
      <c r="K197" s="242">
        <v>41.73</v>
      </c>
      <c r="L197" s="242">
        <v>37.11</v>
      </c>
      <c r="M197" s="242">
        <v>36.090000000000003</v>
      </c>
      <c r="N197" s="242">
        <v>35.770000000000003</v>
      </c>
      <c r="O197" s="242">
        <v>43.05</v>
      </c>
      <c r="P197" s="241" t="s">
        <v>3352</v>
      </c>
      <c r="Q197" s="241" t="s">
        <v>3347</v>
      </c>
      <c r="R197" s="243" t="s">
        <v>4562</v>
      </c>
      <c r="S197" s="270">
        <v>29190</v>
      </c>
      <c r="T197" s="270" t="s">
        <v>5357</v>
      </c>
      <c r="U197" s="270">
        <f>IFERROR(VLOOKUP($A197,GeneratingCapabilityList!$E$7:$O$1673,11,FALSE),"ID Not Found")</f>
        <v>32509</v>
      </c>
      <c r="V197" s="271" t="str">
        <f>IFERROR(VLOOKUP($A197,GeneratingCapabilityList!$E$7:$O$1673,6,FALSE),"UNKNOWN")</f>
        <v>COGENERATION</v>
      </c>
      <c r="W197" s="271">
        <f>IFERROR(VLOOKUP($A197,GeneratingCapabilityList!$E$7:$O$1673,3,FALSE),"ID Not Found")</f>
        <v>47</v>
      </c>
      <c r="Y197" s="270"/>
    </row>
    <row r="198" spans="1:26">
      <c r="A198" s="241" t="s">
        <v>2264</v>
      </c>
      <c r="B198" s="241" t="s">
        <v>3327</v>
      </c>
      <c r="C198" s="241" t="s">
        <v>3464</v>
      </c>
      <c r="D198" s="242">
        <v>1.72</v>
      </c>
      <c r="E198" s="242">
        <v>3.55</v>
      </c>
      <c r="F198" s="242">
        <v>2.2400000000000002</v>
      </c>
      <c r="G198" s="242">
        <v>2.75</v>
      </c>
      <c r="H198" s="242">
        <v>1.22</v>
      </c>
      <c r="I198" s="242">
        <v>6.47</v>
      </c>
      <c r="J198" s="242">
        <v>5.47</v>
      </c>
      <c r="K198" s="242">
        <v>7.25</v>
      </c>
      <c r="L198" s="242">
        <v>7.58</v>
      </c>
      <c r="M198" s="242">
        <v>4.63</v>
      </c>
      <c r="N198" s="242">
        <v>4.5</v>
      </c>
      <c r="O198" s="242">
        <v>4.2699999999999996</v>
      </c>
      <c r="P198" s="241" t="s">
        <v>3352</v>
      </c>
      <c r="Q198" s="241" t="s">
        <v>3347</v>
      </c>
      <c r="R198" s="243" t="s">
        <v>4561</v>
      </c>
      <c r="S198" s="270">
        <f t="shared" si="6"/>
        <v>36892</v>
      </c>
      <c r="T198" s="270"/>
      <c r="U198" s="270">
        <f>IFERROR(VLOOKUP($A198,GeneratingCapabilityList!$E$7:$O$1673,11,FALSE),"ID Not Found")</f>
        <v>36892</v>
      </c>
      <c r="V198" s="271" t="str">
        <f>IFERROR(VLOOKUP($A198,GeneratingCapabilityList!$E$7:$O$1673,6,FALSE),"UNKNOWN")</f>
        <v>HYDRO</v>
      </c>
      <c r="W198" s="271">
        <f>IFERROR(VLOOKUP($A198,GeneratingCapabilityList!$E$7:$O$1673,3,FALSE),"ID Not Found")</f>
        <v>21</v>
      </c>
      <c r="Y198" s="270"/>
    </row>
    <row r="199" spans="1:26">
      <c r="A199" s="241" t="s">
        <v>390</v>
      </c>
      <c r="B199" s="241" t="s">
        <v>3373</v>
      </c>
      <c r="C199" s="241" t="s">
        <v>3465</v>
      </c>
      <c r="D199" s="242">
        <v>65.95</v>
      </c>
      <c r="E199" s="242">
        <v>66.319999999999993</v>
      </c>
      <c r="F199" s="242">
        <v>67.86</v>
      </c>
      <c r="G199" s="242">
        <v>65.209999999999994</v>
      </c>
      <c r="H199" s="242">
        <v>70.099999999999994</v>
      </c>
      <c r="I199" s="242">
        <v>72</v>
      </c>
      <c r="J199" s="242">
        <v>72</v>
      </c>
      <c r="K199" s="242">
        <v>72</v>
      </c>
      <c r="L199" s="242">
        <v>72</v>
      </c>
      <c r="M199" s="242">
        <v>70.02</v>
      </c>
      <c r="N199" s="242">
        <v>67.92</v>
      </c>
      <c r="O199" s="242">
        <v>66.81</v>
      </c>
      <c r="P199" s="241" t="s">
        <v>3345</v>
      </c>
      <c r="Q199" s="241" t="s">
        <v>3347</v>
      </c>
      <c r="R199" s="243" t="s">
        <v>4561</v>
      </c>
      <c r="S199" s="270">
        <f t="shared" si="6"/>
        <v>20821</v>
      </c>
      <c r="T199" s="270"/>
      <c r="U199" s="270">
        <f>IFERROR(VLOOKUP($A199,GeneratingCapabilityList!$E$7:$O$1673,11,FALSE),"ID Not Found")</f>
        <v>20821</v>
      </c>
      <c r="V199" s="271" t="str">
        <f>IFERROR(VLOOKUP($A199,GeneratingCapabilityList!$E$7:$O$1673,6,FALSE),"UNKNOWN")</f>
        <v>HYDRO</v>
      </c>
      <c r="W199" s="271">
        <f>IFERROR(VLOOKUP($A199,GeneratingCapabilityList!$E$7:$O$1673,3,FALSE),"ID Not Found")</f>
        <v>72</v>
      </c>
      <c r="Y199" s="270"/>
    </row>
    <row r="200" spans="1:26">
      <c r="A200" s="245" t="s">
        <v>3466</v>
      </c>
      <c r="B200" s="245" t="s">
        <v>3361</v>
      </c>
      <c r="C200" s="245" t="s">
        <v>3466</v>
      </c>
      <c r="D200" s="249">
        <v>16.260000000000002</v>
      </c>
      <c r="E200" s="249">
        <v>15.176000000000002</v>
      </c>
      <c r="F200" s="249">
        <v>16.260000000000002</v>
      </c>
      <c r="G200" s="249">
        <v>30.894000000000002</v>
      </c>
      <c r="H200" s="249">
        <v>47.696000000000005</v>
      </c>
      <c r="I200" s="249">
        <v>48.238000000000007</v>
      </c>
      <c r="J200" s="249">
        <v>58</v>
      </c>
      <c r="K200" s="249">
        <v>58</v>
      </c>
      <c r="L200" s="249">
        <v>31.978000000000002</v>
      </c>
      <c r="M200" s="249">
        <v>26.365677085876467</v>
      </c>
      <c r="N200" s="249">
        <v>31.436000000000003</v>
      </c>
      <c r="O200" s="249">
        <v>28.935806251525882</v>
      </c>
      <c r="P200" s="245" t="s">
        <v>3345</v>
      </c>
      <c r="Q200" s="245" t="s">
        <v>3347</v>
      </c>
      <c r="R200" s="246" t="s">
        <v>4562</v>
      </c>
      <c r="S200" s="270">
        <f>Scenarios!$B$55</f>
        <v>36526</v>
      </c>
      <c r="T200" s="270" t="s">
        <v>4798</v>
      </c>
      <c r="U200" s="270" t="str">
        <f>IFERROR(VLOOKUP($A200,GeneratingCapabilityList!$E$7:$O$1673,11,FALSE),"ID Not Found")</f>
        <v>UNK</v>
      </c>
      <c r="V200" s="271" t="str">
        <f>IFERROR(VLOOKUP($A200,GeneratingCapabilityList!$E$7:$O$1673,6,FALSE),"UNKNOWN")</f>
        <v>PUMP</v>
      </c>
      <c r="W200" s="271">
        <f>IFERROR(VLOOKUP($A200,GeneratingCapabilityList!$E$7:$O$1673,3,FALSE),"ID Not Found")</f>
        <v>58</v>
      </c>
      <c r="Y200" s="270"/>
    </row>
    <row r="201" spans="1:26">
      <c r="A201" s="248" t="s">
        <v>1814</v>
      </c>
      <c r="B201" s="248" t="s">
        <v>3370</v>
      </c>
      <c r="C201" s="248" t="s">
        <v>1815</v>
      </c>
      <c r="D201" s="257">
        <v>47</v>
      </c>
      <c r="E201" s="257">
        <v>47</v>
      </c>
      <c r="F201" s="257">
        <v>47</v>
      </c>
      <c r="G201" s="257">
        <v>47</v>
      </c>
      <c r="H201" s="257">
        <v>47</v>
      </c>
      <c r="I201" s="257">
        <v>47</v>
      </c>
      <c r="J201" s="257">
        <v>47</v>
      </c>
      <c r="K201" s="257">
        <v>47</v>
      </c>
      <c r="L201" s="257">
        <v>47</v>
      </c>
      <c r="M201" s="257">
        <v>47</v>
      </c>
      <c r="N201" s="257">
        <v>47</v>
      </c>
      <c r="O201" s="257">
        <v>47</v>
      </c>
      <c r="P201" s="245" t="s">
        <v>3345</v>
      </c>
      <c r="Q201" s="245" t="s">
        <v>3347</v>
      </c>
      <c r="R201" s="246" t="s">
        <v>4561</v>
      </c>
      <c r="S201" s="270">
        <f t="shared" ref="S201:S213" si="7">U201</f>
        <v>32581</v>
      </c>
      <c r="T201" s="270"/>
      <c r="U201" s="270">
        <f>IFERROR(VLOOKUP($A201,GeneratingCapabilityList!$E$7:$O$1673,11,FALSE),"ID Not Found")</f>
        <v>32581</v>
      </c>
      <c r="V201" s="271" t="str">
        <f>IFERROR(VLOOKUP($A201,GeneratingCapabilityList!$E$7:$O$1673,6,FALSE),"UNKNOWN")</f>
        <v>COGENERATION</v>
      </c>
      <c r="W201" s="271">
        <f>IFERROR(VLOOKUP($A201,GeneratingCapabilityList!$E$7:$O$1673,3,FALSE),"ID Not Found")</f>
        <v>52.23</v>
      </c>
      <c r="Y201" s="270"/>
    </row>
    <row r="202" spans="1:26">
      <c r="A202" s="241" t="s">
        <v>2429</v>
      </c>
      <c r="B202" s="241" t="s">
        <v>3327</v>
      </c>
      <c r="C202" s="241" t="s">
        <v>3467</v>
      </c>
      <c r="D202" s="242">
        <v>36</v>
      </c>
      <c r="E202" s="242">
        <v>36</v>
      </c>
      <c r="F202" s="242">
        <v>36</v>
      </c>
      <c r="G202" s="242">
        <v>36</v>
      </c>
      <c r="H202" s="242">
        <v>36</v>
      </c>
      <c r="I202" s="242">
        <v>36</v>
      </c>
      <c r="J202" s="242">
        <v>36</v>
      </c>
      <c r="K202" s="242">
        <v>36</v>
      </c>
      <c r="L202" s="242">
        <v>36</v>
      </c>
      <c r="M202" s="242">
        <v>36</v>
      </c>
      <c r="N202" s="242">
        <v>36</v>
      </c>
      <c r="O202" s="242">
        <v>36</v>
      </c>
      <c r="P202" s="241" t="s">
        <v>3352</v>
      </c>
      <c r="Q202" s="241" t="s">
        <v>3347</v>
      </c>
      <c r="R202" s="243" t="s">
        <v>4561</v>
      </c>
      <c r="S202" s="270">
        <f t="shared" si="7"/>
        <v>37117</v>
      </c>
      <c r="T202" s="270"/>
      <c r="U202" s="270">
        <f>IFERROR(VLOOKUP($A202,GeneratingCapabilityList!$E$7:$O$1673,11,FALSE),"ID Not Found")</f>
        <v>37117</v>
      </c>
      <c r="V202" s="271" t="str">
        <f>IFERROR(VLOOKUP($A202,GeneratingCapabilityList!$E$7:$O$1673,6,FALSE),"UNKNOWN")</f>
        <v>PEAKER</v>
      </c>
      <c r="W202" s="271">
        <f>IFERROR(VLOOKUP($A202,GeneratingCapabilityList!$E$7:$O$1673,3,FALSE),"ID Not Found")</f>
        <v>41.4</v>
      </c>
      <c r="Y202" s="270"/>
    </row>
    <row r="203" spans="1:26">
      <c r="A203" s="241" t="s">
        <v>127</v>
      </c>
      <c r="B203" s="241" t="s">
        <v>3375</v>
      </c>
      <c r="C203" s="241" t="s">
        <v>3468</v>
      </c>
      <c r="D203" s="242">
        <v>26</v>
      </c>
      <c r="E203" s="242">
        <v>26</v>
      </c>
      <c r="F203" s="242">
        <v>26</v>
      </c>
      <c r="G203" s="242">
        <v>26</v>
      </c>
      <c r="H203" s="242">
        <v>26</v>
      </c>
      <c r="I203" s="242">
        <v>26</v>
      </c>
      <c r="J203" s="242">
        <v>26</v>
      </c>
      <c r="K203" s="242">
        <v>26</v>
      </c>
      <c r="L203" s="242">
        <v>26</v>
      </c>
      <c r="M203" s="242">
        <v>26</v>
      </c>
      <c r="N203" s="242">
        <v>26</v>
      </c>
      <c r="O203" s="242">
        <v>26</v>
      </c>
      <c r="P203" s="241" t="s">
        <v>3345</v>
      </c>
      <c r="Q203" s="241" t="s">
        <v>3347</v>
      </c>
      <c r="R203" s="243" t="s">
        <v>4561</v>
      </c>
      <c r="S203" s="270">
        <f t="shared" si="7"/>
        <v>4750</v>
      </c>
      <c r="T203" s="270"/>
      <c r="U203" s="270">
        <f>IFERROR(VLOOKUP($A203,GeneratingCapabilityList!$E$7:$O$1673,11,FALSE),"ID Not Found")</f>
        <v>4750</v>
      </c>
      <c r="V203" s="271" t="str">
        <f>IFERROR(VLOOKUP($A203,GeneratingCapabilityList!$E$7:$O$1673,6,FALSE),"UNKNOWN")</f>
        <v>HYDRO</v>
      </c>
      <c r="W203" s="271">
        <f>IFERROR(VLOOKUP($A203,GeneratingCapabilityList!$E$7:$O$1673,3,FALSE),"ID Not Found")</f>
        <v>26</v>
      </c>
      <c r="Y203" s="270"/>
    </row>
    <row r="204" spans="1:26">
      <c r="A204" s="241" t="s">
        <v>202</v>
      </c>
      <c r="B204" s="241" t="s">
        <v>3375</v>
      </c>
      <c r="C204" s="241" t="s">
        <v>3469</v>
      </c>
      <c r="D204" s="242">
        <v>27.4</v>
      </c>
      <c r="E204" s="242">
        <v>27.4</v>
      </c>
      <c r="F204" s="242">
        <v>27.4</v>
      </c>
      <c r="G204" s="242">
        <v>27.4</v>
      </c>
      <c r="H204" s="242">
        <v>27.4</v>
      </c>
      <c r="I204" s="242">
        <v>27.4</v>
      </c>
      <c r="J204" s="242">
        <v>27.4</v>
      </c>
      <c r="K204" s="242">
        <v>27.4</v>
      </c>
      <c r="L204" s="242">
        <v>27.4</v>
      </c>
      <c r="M204" s="242">
        <v>27.4</v>
      </c>
      <c r="N204" s="242">
        <v>27.4</v>
      </c>
      <c r="O204" s="242">
        <v>27.4</v>
      </c>
      <c r="P204" s="241" t="s">
        <v>3345</v>
      </c>
      <c r="Q204" s="241" t="s">
        <v>3347</v>
      </c>
      <c r="R204" s="243" t="s">
        <v>4561</v>
      </c>
      <c r="S204" s="270">
        <f t="shared" si="7"/>
        <v>8037</v>
      </c>
      <c r="T204" s="270"/>
      <c r="U204" s="270">
        <f>IFERROR(VLOOKUP($A204,GeneratingCapabilityList!$E$7:$O$1673,11,FALSE),"ID Not Found")</f>
        <v>8037</v>
      </c>
      <c r="V204" s="271" t="str">
        <f>IFERROR(VLOOKUP($A204,GeneratingCapabilityList!$E$7:$O$1673,6,FALSE),"UNKNOWN")</f>
        <v>HYDRO</v>
      </c>
      <c r="W204" s="271">
        <f>IFERROR(VLOOKUP($A204,GeneratingCapabilityList!$E$7:$O$1673,3,FALSE),"ID Not Found")</f>
        <v>28.9</v>
      </c>
      <c r="Y204" s="270"/>
    </row>
    <row r="205" spans="1:26">
      <c r="A205" s="241" t="s">
        <v>492</v>
      </c>
      <c r="B205" s="241" t="s">
        <v>3375</v>
      </c>
      <c r="C205" s="241" t="s">
        <v>3470</v>
      </c>
      <c r="D205" s="242">
        <v>49.5</v>
      </c>
      <c r="E205" s="242">
        <v>49.5</v>
      </c>
      <c r="F205" s="242">
        <v>49.5</v>
      </c>
      <c r="G205" s="242">
        <v>49.5</v>
      </c>
      <c r="H205" s="242">
        <v>49.5</v>
      </c>
      <c r="I205" s="242">
        <v>49.5</v>
      </c>
      <c r="J205" s="242">
        <v>49.5</v>
      </c>
      <c r="K205" s="242">
        <v>49.5</v>
      </c>
      <c r="L205" s="242">
        <v>49.5</v>
      </c>
      <c r="M205" s="242">
        <v>49.5</v>
      </c>
      <c r="N205" s="242">
        <v>49.5</v>
      </c>
      <c r="O205" s="242">
        <v>49.5</v>
      </c>
      <c r="P205" s="241" t="s">
        <v>3345</v>
      </c>
      <c r="Q205" s="241" t="s">
        <v>3347</v>
      </c>
      <c r="R205" s="243" t="s">
        <v>4561</v>
      </c>
      <c r="S205" s="270">
        <f t="shared" si="7"/>
        <v>23743</v>
      </c>
      <c r="T205" s="270"/>
      <c r="U205" s="270">
        <f>IFERROR(VLOOKUP($A205,GeneratingCapabilityList!$E$7:$O$1673,11,FALSE),"ID Not Found")</f>
        <v>23743</v>
      </c>
      <c r="V205" s="271" t="str">
        <f>IFERROR(VLOOKUP($A205,GeneratingCapabilityList!$E$7:$O$1673,6,FALSE),"UNKNOWN")</f>
        <v>HYDRO</v>
      </c>
      <c r="W205" s="271">
        <f>IFERROR(VLOOKUP($A205,GeneratingCapabilityList!$E$7:$O$1673,3,FALSE),"ID Not Found")</f>
        <v>50</v>
      </c>
      <c r="Y205" s="270"/>
    </row>
    <row r="206" spans="1:26">
      <c r="A206" s="241" t="s">
        <v>455</v>
      </c>
      <c r="B206" s="241" t="s">
        <v>3361</v>
      </c>
      <c r="C206" s="241" t="s">
        <v>3471</v>
      </c>
      <c r="D206" s="242">
        <v>10.61</v>
      </c>
      <c r="E206" s="242">
        <v>10.43</v>
      </c>
      <c r="F206" s="242">
        <v>10.28</v>
      </c>
      <c r="G206" s="242">
        <v>10.050000000000001</v>
      </c>
      <c r="H206" s="242">
        <v>9.7100000000000009</v>
      </c>
      <c r="I206" s="242">
        <v>15.46</v>
      </c>
      <c r="J206" s="242">
        <v>14.36</v>
      </c>
      <c r="K206" s="242">
        <v>11.67</v>
      </c>
      <c r="L206" s="242">
        <v>8.48</v>
      </c>
      <c r="M206" s="242">
        <v>6.55</v>
      </c>
      <c r="N206" s="242">
        <v>8.15</v>
      </c>
      <c r="O206" s="242">
        <v>8.14</v>
      </c>
      <c r="P206" s="241" t="s">
        <v>3345</v>
      </c>
      <c r="Q206" s="241" t="s">
        <v>3347</v>
      </c>
      <c r="R206" s="243" t="s">
        <v>4561</v>
      </c>
      <c r="S206" s="270">
        <f t="shared" si="7"/>
        <v>23012</v>
      </c>
      <c r="T206" s="270"/>
      <c r="U206" s="270">
        <f>IFERROR(VLOOKUP($A206,GeneratingCapabilityList!$E$7:$O$1673,11,FALSE),"ID Not Found")</f>
        <v>23012</v>
      </c>
      <c r="V206" s="271" t="str">
        <f>IFERROR(VLOOKUP($A206,GeneratingCapabilityList!$E$7:$O$1673,6,FALSE),"UNKNOWN")</f>
        <v>HYDRO</v>
      </c>
      <c r="W206" s="271">
        <f>IFERROR(VLOOKUP($A206,GeneratingCapabilityList!$E$7:$O$1673,3,FALSE),"ID Not Found")</f>
        <v>18.5</v>
      </c>
      <c r="Y206" s="270"/>
    </row>
    <row r="207" spans="1:26">
      <c r="A207" s="827" t="s">
        <v>4448</v>
      </c>
      <c r="B207" s="245" t="s">
        <v>3361</v>
      </c>
      <c r="C207" s="879" t="s">
        <v>4787</v>
      </c>
      <c r="D207" s="828">
        <v>1.8537887651348957</v>
      </c>
      <c r="E207" s="828">
        <v>17.533544041146332</v>
      </c>
      <c r="F207" s="828">
        <v>40.892477053044701</v>
      </c>
      <c r="G207" s="828">
        <v>132.21648182181315</v>
      </c>
      <c r="H207" s="828">
        <v>161.35087253961061</v>
      </c>
      <c r="I207" s="828">
        <v>190.5409514831023</v>
      </c>
      <c r="J207" s="828">
        <v>186.31391360207721</v>
      </c>
      <c r="K207" s="828">
        <v>178.91927557740271</v>
      </c>
      <c r="L207" s="828">
        <v>162.82468498072146</v>
      </c>
      <c r="M207" s="828">
        <v>102.87957967834683</v>
      </c>
      <c r="N207" s="828">
        <v>14.231064665784887</v>
      </c>
      <c r="O207" s="828">
        <v>5.9601622212258851</v>
      </c>
      <c r="P207" s="245" t="s">
        <v>3352</v>
      </c>
      <c r="Q207" s="823" t="s">
        <v>3347</v>
      </c>
      <c r="R207" s="823" t="s">
        <v>4562</v>
      </c>
      <c r="S207" s="270">
        <f t="shared" si="7"/>
        <v>41569</v>
      </c>
      <c r="T207" s="270"/>
      <c r="U207" s="270">
        <f>IFERROR(VLOOKUP($A207,GeneratingCapabilityList!$E$7:$O$1673,11,FALSE),"ID Not Found")</f>
        <v>41569</v>
      </c>
      <c r="V207" s="271" t="str">
        <f>IFERROR(VLOOKUP($A207,GeneratingCapabilityList!$E$7:$O$1673,6,FALSE),"UNKNOWN")</f>
        <v>SOLAR</v>
      </c>
      <c r="W207" s="271">
        <f>IFERROR(VLOOKUP($A207,GeneratingCapabilityList!$E$7:$O$1673,3,FALSE),"ID Not Found")</f>
        <v>219.68</v>
      </c>
      <c r="Y207" s="270"/>
      <c r="Z207" s="271" t="b">
        <f>TRUE</f>
        <v>1</v>
      </c>
    </row>
    <row r="208" spans="1:26">
      <c r="A208" s="827" t="s">
        <v>4451</v>
      </c>
      <c r="B208" s="245" t="s">
        <v>3361</v>
      </c>
      <c r="C208" s="878" t="s">
        <v>4788</v>
      </c>
      <c r="D208" s="828">
        <v>2.1096467192449193</v>
      </c>
      <c r="E208" s="828">
        <v>19.953505145150142</v>
      </c>
      <c r="F208" s="828">
        <v>46.536413252281385</v>
      </c>
      <c r="G208" s="828">
        <v>150.46486004849459</v>
      </c>
      <c r="H208" s="828">
        <v>183.62034839267415</v>
      </c>
      <c r="I208" s="828">
        <v>216.83921099224133</v>
      </c>
      <c r="J208" s="828">
        <v>212.02876183776084</v>
      </c>
      <c r="K208" s="828">
        <v>203.61352373611928</v>
      </c>
      <c r="L208" s="828">
        <v>185.29757485970669</v>
      </c>
      <c r="M208" s="828">
        <v>117.07890986701887</v>
      </c>
      <c r="N208" s="828">
        <v>16.195221078141941</v>
      </c>
      <c r="O208" s="828">
        <v>6.782777473172211</v>
      </c>
      <c r="P208" s="245" t="s">
        <v>3352</v>
      </c>
      <c r="Q208" s="823" t="s">
        <v>3347</v>
      </c>
      <c r="R208" s="823" t="s">
        <v>4562</v>
      </c>
      <c r="S208" s="270">
        <f t="shared" si="7"/>
        <v>41559</v>
      </c>
      <c r="T208" s="270"/>
      <c r="U208" s="270">
        <f>IFERROR(VLOOKUP($A208,GeneratingCapabilityList!$E$7:$O$1673,11,FALSE),"ID Not Found")</f>
        <v>41559</v>
      </c>
      <c r="V208" s="271" t="str">
        <f>IFERROR(VLOOKUP($A208,GeneratingCapabilityList!$E$7:$O$1673,6,FALSE),"UNKNOWN")</f>
        <v>SOLAR</v>
      </c>
      <c r="W208" s="271">
        <f>IFERROR(VLOOKUP($A208,GeneratingCapabilityList!$E$7:$O$1673,3,FALSE),"ID Not Found")</f>
        <v>250</v>
      </c>
      <c r="Y208" s="270"/>
      <c r="Z208" s="271" t="b">
        <f>TRUE</f>
        <v>1</v>
      </c>
    </row>
    <row r="209" spans="1:25">
      <c r="A209" s="241" t="s">
        <v>2696</v>
      </c>
      <c r="B209" s="241" t="s">
        <v>3324</v>
      </c>
      <c r="C209" s="241" t="s">
        <v>3472</v>
      </c>
      <c r="D209" s="242">
        <v>147.80000000000001</v>
      </c>
      <c r="E209" s="242">
        <v>147.80000000000001</v>
      </c>
      <c r="F209" s="242">
        <v>147.80000000000001</v>
      </c>
      <c r="G209" s="242">
        <v>147.80000000000001</v>
      </c>
      <c r="H209" s="242">
        <v>147.80000000000001</v>
      </c>
      <c r="I209" s="242">
        <v>147.80000000000001</v>
      </c>
      <c r="J209" s="242">
        <v>147.80000000000001</v>
      </c>
      <c r="K209" s="242">
        <v>147.80000000000001</v>
      </c>
      <c r="L209" s="242">
        <v>147.80000000000001</v>
      </c>
      <c r="M209" s="242">
        <v>147.80000000000001</v>
      </c>
      <c r="N209" s="242">
        <v>147.80000000000001</v>
      </c>
      <c r="O209" s="242">
        <v>147.80000000000001</v>
      </c>
      <c r="P209" s="241" t="s">
        <v>3345</v>
      </c>
      <c r="Q209" s="241" t="s">
        <v>3347</v>
      </c>
      <c r="R209" s="243" t="s">
        <v>4561</v>
      </c>
      <c r="S209" s="270">
        <f t="shared" si="7"/>
        <v>38435</v>
      </c>
      <c r="T209" s="270"/>
      <c r="U209" s="270">
        <f>IFERROR(VLOOKUP($A209,GeneratingCapabilityList!$E$7:$O$1673,11,FALSE),"ID Not Found")</f>
        <v>38435</v>
      </c>
      <c r="V209" s="271" t="str">
        <f>IFERROR(VLOOKUP($A209,GeneratingCapabilityList!$E$7:$O$1673,6,FALSE),"UNKNOWN")</f>
        <v>THERMAL</v>
      </c>
      <c r="W209" s="271">
        <f>IFERROR(VLOOKUP($A209,GeneratingCapabilityList!$E$7:$O$1673,3,FALSE),"ID Not Found")</f>
        <v>147.80000000000001</v>
      </c>
      <c r="Y209" s="270"/>
    </row>
    <row r="210" spans="1:25">
      <c r="A210" s="241" t="s">
        <v>316</v>
      </c>
      <c r="B210" s="241" t="s">
        <v>3375</v>
      </c>
      <c r="C210" s="241" t="s">
        <v>3473</v>
      </c>
      <c r="D210" s="242">
        <v>22</v>
      </c>
      <c r="E210" s="242">
        <v>22</v>
      </c>
      <c r="F210" s="242">
        <v>22</v>
      </c>
      <c r="G210" s="242">
        <v>22</v>
      </c>
      <c r="H210" s="242">
        <v>22</v>
      </c>
      <c r="I210" s="242">
        <v>22</v>
      </c>
      <c r="J210" s="242">
        <v>22</v>
      </c>
      <c r="K210" s="242">
        <v>22</v>
      </c>
      <c r="L210" s="242">
        <v>22</v>
      </c>
      <c r="M210" s="242">
        <v>22</v>
      </c>
      <c r="N210" s="242">
        <v>22</v>
      </c>
      <c r="O210" s="242">
        <v>22</v>
      </c>
      <c r="P210" s="241" t="s">
        <v>3345</v>
      </c>
      <c r="Q210" s="241" t="s">
        <v>3347</v>
      </c>
      <c r="R210" s="243" t="s">
        <v>4561</v>
      </c>
      <c r="S210" s="270">
        <f t="shared" si="7"/>
        <v>15707</v>
      </c>
      <c r="T210" s="270"/>
      <c r="U210" s="270">
        <f>IFERROR(VLOOKUP($A210,GeneratingCapabilityList!$E$7:$O$1673,11,FALSE),"ID Not Found")</f>
        <v>15707</v>
      </c>
      <c r="V210" s="271" t="str">
        <f>IFERROR(VLOOKUP($A210,GeneratingCapabilityList!$E$7:$O$1673,6,FALSE),"UNKNOWN")</f>
        <v>HYDRO</v>
      </c>
      <c r="W210" s="271">
        <f>IFERROR(VLOOKUP($A210,GeneratingCapabilityList!$E$7:$O$1673,3,FALSE),"ID Not Found")</f>
        <v>22</v>
      </c>
      <c r="Y210" s="270"/>
    </row>
    <row r="211" spans="1:25">
      <c r="A211" s="241" t="s">
        <v>494</v>
      </c>
      <c r="B211" s="241" t="s">
        <v>3375</v>
      </c>
      <c r="C211" s="241" t="s">
        <v>3474</v>
      </c>
      <c r="D211" s="242">
        <v>26</v>
      </c>
      <c r="E211" s="242">
        <v>26</v>
      </c>
      <c r="F211" s="242">
        <v>26</v>
      </c>
      <c r="G211" s="242">
        <v>26</v>
      </c>
      <c r="H211" s="242">
        <v>26</v>
      </c>
      <c r="I211" s="242">
        <v>26</v>
      </c>
      <c r="J211" s="242">
        <v>26</v>
      </c>
      <c r="K211" s="242">
        <v>26</v>
      </c>
      <c r="L211" s="242">
        <v>26</v>
      </c>
      <c r="M211" s="242">
        <v>26</v>
      </c>
      <c r="N211" s="242">
        <v>26</v>
      </c>
      <c r="O211" s="242">
        <v>26</v>
      </c>
      <c r="P211" s="241" t="s">
        <v>3345</v>
      </c>
      <c r="Q211" s="241" t="s">
        <v>3347</v>
      </c>
      <c r="R211" s="243" t="s">
        <v>4561</v>
      </c>
      <c r="S211" s="270">
        <f t="shared" si="7"/>
        <v>23743</v>
      </c>
      <c r="T211" s="270"/>
      <c r="U211" s="270">
        <f>IFERROR(VLOOKUP($A211,GeneratingCapabilityList!$E$7:$O$1673,11,FALSE),"ID Not Found")</f>
        <v>23743</v>
      </c>
      <c r="V211" s="271" t="str">
        <f>IFERROR(VLOOKUP($A211,GeneratingCapabilityList!$E$7:$O$1673,6,FALSE),"UNKNOWN")</f>
        <v>HYDRO</v>
      </c>
      <c r="W211" s="271">
        <f>IFERROR(VLOOKUP($A211,GeneratingCapabilityList!$E$7:$O$1673,3,FALSE),"ID Not Found")</f>
        <v>26</v>
      </c>
      <c r="Y211" s="270"/>
    </row>
    <row r="212" spans="1:25">
      <c r="A212" s="245" t="s">
        <v>654</v>
      </c>
      <c r="B212" s="245" t="s">
        <v>3327</v>
      </c>
      <c r="C212" s="245" t="s">
        <v>3475</v>
      </c>
      <c r="D212" s="249">
        <v>142.18600203351278</v>
      </c>
      <c r="E212" s="249">
        <v>104.8183970981174</v>
      </c>
      <c r="F212" s="249">
        <v>152.42147678282203</v>
      </c>
      <c r="G212" s="249">
        <v>234.96856689453125</v>
      </c>
      <c r="H212" s="249">
        <v>234.96856689453125</v>
      </c>
      <c r="I212" s="249">
        <v>234.96856689453125</v>
      </c>
      <c r="J212" s="249">
        <v>234.96856689453125</v>
      </c>
      <c r="K212" s="249">
        <v>234.96856689453125</v>
      </c>
      <c r="L212" s="249">
        <v>234.96856689453125</v>
      </c>
      <c r="M212" s="249">
        <v>194.60507202148437</v>
      </c>
      <c r="N212" s="249">
        <v>230.83560180664062</v>
      </c>
      <c r="O212" s="249">
        <v>234.96856689453125</v>
      </c>
      <c r="P212" s="245" t="s">
        <v>3352</v>
      </c>
      <c r="Q212" s="245" t="s">
        <v>3347</v>
      </c>
      <c r="R212" s="246" t="s">
        <v>4561</v>
      </c>
      <c r="S212" s="270">
        <f t="shared" si="7"/>
        <v>26299</v>
      </c>
      <c r="T212" s="270"/>
      <c r="U212" s="270">
        <f>IFERROR(VLOOKUP($A212,GeneratingCapabilityList!$E$7:$O$1673,11,FALSE),"ID Not Found")</f>
        <v>26299</v>
      </c>
      <c r="V212" s="271" t="str">
        <f>IFERROR(VLOOKUP($A212,GeneratingCapabilityList!$E$7:$O$1673,6,FALSE),"UNKNOWN")</f>
        <v>HYDRO</v>
      </c>
      <c r="W212" s="271">
        <f>IFERROR(VLOOKUP($A212,GeneratingCapabilityList!$E$7:$O$1673,3,FALSE),"ID Not Found")</f>
        <v>236.8</v>
      </c>
      <c r="Y212" s="270"/>
    </row>
    <row r="213" spans="1:25">
      <c r="A213" s="241" t="s">
        <v>1448</v>
      </c>
      <c r="B213" s="241" t="s">
        <v>3328</v>
      </c>
      <c r="C213" s="241" t="s">
        <v>1449</v>
      </c>
      <c r="D213" s="242">
        <v>199</v>
      </c>
      <c r="E213" s="242">
        <v>199</v>
      </c>
      <c r="F213" s="242">
        <v>199</v>
      </c>
      <c r="G213" s="242">
        <v>199</v>
      </c>
      <c r="H213" s="242">
        <v>199</v>
      </c>
      <c r="I213" s="242">
        <v>199</v>
      </c>
      <c r="J213" s="242">
        <v>199</v>
      </c>
      <c r="K213" s="242">
        <v>199</v>
      </c>
      <c r="L213" s="242">
        <v>199</v>
      </c>
      <c r="M213" s="242">
        <v>199</v>
      </c>
      <c r="N213" s="242">
        <v>199</v>
      </c>
      <c r="O213" s="242">
        <v>199</v>
      </c>
      <c r="P213" s="241" t="s">
        <v>3352</v>
      </c>
      <c r="Q213" s="241" t="s">
        <v>3347</v>
      </c>
      <c r="R213" s="243" t="s">
        <v>4562</v>
      </c>
      <c r="S213" s="270">
        <f t="shared" si="7"/>
        <v>31778</v>
      </c>
      <c r="T213" s="270"/>
      <c r="U213" s="270">
        <f>IFERROR(VLOOKUP($A213,GeneratingCapabilityList!$E$7:$O$1673,11,FALSE),"ID Not Found")</f>
        <v>31778</v>
      </c>
      <c r="V213" s="271" t="str">
        <f>IFERROR(VLOOKUP($A213,GeneratingCapabilityList!$E$7:$O$1673,6,FALSE),"UNKNOWN")</f>
        <v>HYDRO</v>
      </c>
      <c r="W213" s="271">
        <f>IFERROR(VLOOKUP($A213,GeneratingCapabilityList!$E$7:$O$1673,3,FALSE),"ID Not Found")</f>
        <v>200</v>
      </c>
      <c r="Y213" s="270"/>
    </row>
    <row r="214" spans="1:25">
      <c r="A214" s="245" t="s">
        <v>3476</v>
      </c>
      <c r="B214" s="245" t="s">
        <v>3328</v>
      </c>
      <c r="C214" s="245" t="s">
        <v>3476</v>
      </c>
      <c r="D214" s="249">
        <v>236</v>
      </c>
      <c r="E214" s="249">
        <v>236</v>
      </c>
      <c r="F214" s="249">
        <v>236</v>
      </c>
      <c r="G214" s="249">
        <v>236</v>
      </c>
      <c r="H214" s="249">
        <v>236</v>
      </c>
      <c r="I214" s="249">
        <v>236</v>
      </c>
      <c r="J214" s="249">
        <v>236</v>
      </c>
      <c r="K214" s="249">
        <v>236</v>
      </c>
      <c r="L214" s="249">
        <v>236</v>
      </c>
      <c r="M214" s="249">
        <v>236</v>
      </c>
      <c r="N214" s="249">
        <v>236</v>
      </c>
      <c r="O214" s="249">
        <v>236</v>
      </c>
      <c r="P214" s="245" t="s">
        <v>3352</v>
      </c>
      <c r="Q214" s="245" t="s">
        <v>3347</v>
      </c>
      <c r="R214" s="246" t="s">
        <v>4562</v>
      </c>
      <c r="S214" s="270">
        <f>Scenarios!$B$55</f>
        <v>36526</v>
      </c>
      <c r="T214" s="270" t="s">
        <v>4798</v>
      </c>
      <c r="U214" s="270" t="str">
        <f>IFERROR(VLOOKUP($A214,GeneratingCapabilityList!$E$7:$O$1673,11,FALSE),"ID Not Found")</f>
        <v>UNK</v>
      </c>
      <c r="V214" s="271" t="str">
        <f>IFERROR(VLOOKUP($A214,GeneratingCapabilityList!$E$7:$O$1673,6,FALSE),"UNKNOWN")</f>
        <v>PUMP</v>
      </c>
      <c r="W214" s="271">
        <f>IFERROR(VLOOKUP($A214,GeneratingCapabilityList!$E$7:$O$1673,3,FALSE),"ID Not Found")</f>
        <v>236</v>
      </c>
      <c r="Y214" s="270"/>
    </row>
    <row r="215" spans="1:25">
      <c r="A215" s="241" t="s">
        <v>2241</v>
      </c>
      <c r="B215" s="241" t="s">
        <v>4579</v>
      </c>
      <c r="C215" s="241" t="s">
        <v>3477</v>
      </c>
      <c r="D215" s="242">
        <v>0.9</v>
      </c>
      <c r="E215" s="242">
        <v>0.88</v>
      </c>
      <c r="F215" s="242">
        <v>1.01</v>
      </c>
      <c r="G215" s="242">
        <v>0.77</v>
      </c>
      <c r="H215" s="242">
        <v>0.64</v>
      </c>
      <c r="I215" s="242">
        <v>0.51</v>
      </c>
      <c r="J215" s="242">
        <v>0.3</v>
      </c>
      <c r="K215" s="242">
        <v>0.26</v>
      </c>
      <c r="L215" s="242">
        <v>0.45</v>
      </c>
      <c r="M215" s="242">
        <v>0.99</v>
      </c>
      <c r="N215" s="242">
        <v>1.21</v>
      </c>
      <c r="O215" s="242">
        <v>1.26</v>
      </c>
      <c r="P215" s="241" t="s">
        <v>3352</v>
      </c>
      <c r="Q215" s="241" t="s">
        <v>3347</v>
      </c>
      <c r="R215" s="243" t="s">
        <v>4562</v>
      </c>
      <c r="S215" s="270">
        <f t="shared" ref="S215:S243" si="8">U215</f>
        <v>36161</v>
      </c>
      <c r="T215" s="270"/>
      <c r="U215" s="270">
        <f>IFERROR(VLOOKUP($A215,GeneratingCapabilityList!$E$7:$O$1673,11,FALSE),"ID Not Found")</f>
        <v>36161</v>
      </c>
      <c r="V215" s="271" t="str">
        <f>IFERROR(VLOOKUP($A215,GeneratingCapabilityList!$E$7:$O$1673,6,FALSE),"UNKNOWN")</f>
        <v>BIOMASS</v>
      </c>
      <c r="W215" s="271">
        <f>IFERROR(VLOOKUP($A215,GeneratingCapabilityList!$E$7:$O$1673,3,FALSE),"ID Not Found")</f>
        <v>2</v>
      </c>
      <c r="Y215" s="270"/>
    </row>
    <row r="216" spans="1:25">
      <c r="A216" s="241" t="s">
        <v>2939</v>
      </c>
      <c r="B216" s="241" t="s">
        <v>4579</v>
      </c>
      <c r="C216" s="241" t="s">
        <v>2940</v>
      </c>
      <c r="D216" s="242">
        <v>48.1</v>
      </c>
      <c r="E216" s="242">
        <v>48.1</v>
      </c>
      <c r="F216" s="242">
        <v>48.1</v>
      </c>
      <c r="G216" s="242">
        <v>48.1</v>
      </c>
      <c r="H216" s="242">
        <v>48.1</v>
      </c>
      <c r="I216" s="242">
        <v>48.1</v>
      </c>
      <c r="J216" s="242">
        <v>48.1</v>
      </c>
      <c r="K216" s="242">
        <v>48.1</v>
      </c>
      <c r="L216" s="242">
        <v>48.1</v>
      </c>
      <c r="M216" s="242">
        <v>48.1</v>
      </c>
      <c r="N216" s="242">
        <v>48.1</v>
      </c>
      <c r="O216" s="242">
        <v>48.1</v>
      </c>
      <c r="P216" s="241" t="s">
        <v>3352</v>
      </c>
      <c r="Q216" s="241" t="s">
        <v>3347</v>
      </c>
      <c r="R216" s="243" t="s">
        <v>4561</v>
      </c>
      <c r="S216" s="270">
        <f t="shared" si="8"/>
        <v>40345</v>
      </c>
      <c r="T216" s="270"/>
      <c r="U216" s="270">
        <f>IFERROR(VLOOKUP($A216,GeneratingCapabilityList!$E$7:$O$1673,11,FALSE),"ID Not Found")</f>
        <v>40345</v>
      </c>
      <c r="V216" s="271" t="str">
        <f>IFERROR(VLOOKUP($A216,GeneratingCapabilityList!$E$7:$O$1673,6,FALSE),"UNKNOWN")</f>
        <v>PEAKER</v>
      </c>
      <c r="W216" s="271">
        <f>IFERROR(VLOOKUP($A216,GeneratingCapabilityList!$E$7:$O$1673,3,FALSE),"ID Not Found")</f>
        <v>48.1</v>
      </c>
      <c r="Y216" s="270"/>
    </row>
    <row r="217" spans="1:25">
      <c r="A217" s="241" t="s">
        <v>2496</v>
      </c>
      <c r="B217" s="241" t="s">
        <v>4579</v>
      </c>
      <c r="C217" s="241" t="s">
        <v>4602</v>
      </c>
      <c r="D217" s="242">
        <v>45.42</v>
      </c>
      <c r="E217" s="242">
        <v>45.42</v>
      </c>
      <c r="F217" s="242">
        <v>45.42</v>
      </c>
      <c r="G217" s="242">
        <v>45.42</v>
      </c>
      <c r="H217" s="242">
        <v>45.42</v>
      </c>
      <c r="I217" s="242">
        <v>45.42</v>
      </c>
      <c r="J217" s="242">
        <v>45.42</v>
      </c>
      <c r="K217" s="242">
        <v>45.42</v>
      </c>
      <c r="L217" s="242">
        <v>45.42</v>
      </c>
      <c r="M217" s="242">
        <v>45.42</v>
      </c>
      <c r="N217" s="242">
        <v>45.42</v>
      </c>
      <c r="O217" s="242">
        <v>45.42</v>
      </c>
      <c r="P217" s="241" t="s">
        <v>3352</v>
      </c>
      <c r="Q217" s="241" t="s">
        <v>3347</v>
      </c>
      <c r="R217" s="243" t="s">
        <v>4561</v>
      </c>
      <c r="S217" s="270">
        <f t="shared" si="8"/>
        <v>37405</v>
      </c>
      <c r="T217" s="270"/>
      <c r="U217" s="270">
        <f>IFERROR(VLOOKUP($A217,GeneratingCapabilityList!$E$7:$O$1673,11,FALSE),"ID Not Found")</f>
        <v>37405</v>
      </c>
      <c r="V217" s="271" t="str">
        <f>IFERROR(VLOOKUP($A217,GeneratingCapabilityList!$E$7:$O$1673,6,FALSE),"UNKNOWN")</f>
        <v>PEAKER</v>
      </c>
      <c r="W217" s="271">
        <f>IFERROR(VLOOKUP($A217,GeneratingCapabilityList!$E$7:$O$1673,3,FALSE),"ID Not Found")</f>
        <v>45.42</v>
      </c>
      <c r="Y217" s="270"/>
    </row>
    <row r="218" spans="1:25">
      <c r="A218" s="241" t="s">
        <v>577</v>
      </c>
      <c r="B218" s="241" t="s">
        <v>4579</v>
      </c>
      <c r="C218" s="241" t="s">
        <v>3478</v>
      </c>
      <c r="D218" s="242">
        <v>16</v>
      </c>
      <c r="E218" s="242">
        <v>16</v>
      </c>
      <c r="F218" s="242">
        <v>16</v>
      </c>
      <c r="G218" s="242">
        <v>16</v>
      </c>
      <c r="H218" s="242">
        <v>16</v>
      </c>
      <c r="I218" s="242">
        <v>16</v>
      </c>
      <c r="J218" s="242">
        <v>16</v>
      </c>
      <c r="K218" s="242">
        <v>16</v>
      </c>
      <c r="L218" s="242">
        <v>16</v>
      </c>
      <c r="M218" s="242">
        <v>16</v>
      </c>
      <c r="N218" s="242">
        <v>16</v>
      </c>
      <c r="O218" s="242">
        <v>16</v>
      </c>
      <c r="P218" s="241" t="s">
        <v>3352</v>
      </c>
      <c r="Q218" s="241" t="s">
        <v>3347</v>
      </c>
      <c r="R218" s="243" t="s">
        <v>4561</v>
      </c>
      <c r="S218" s="270">
        <f t="shared" si="8"/>
        <v>24838</v>
      </c>
      <c r="T218" s="270"/>
      <c r="U218" s="270">
        <f>IFERROR(VLOOKUP($A218,GeneratingCapabilityList!$E$7:$O$1673,11,FALSE),"ID Not Found")</f>
        <v>24838</v>
      </c>
      <c r="V218" s="271" t="str">
        <f>IFERROR(VLOOKUP($A218,GeneratingCapabilityList!$E$7:$O$1673,6,FALSE),"UNKNOWN")</f>
        <v>PEAKER</v>
      </c>
      <c r="W218" s="271">
        <f>IFERROR(VLOOKUP($A218,GeneratingCapabilityList!$E$7:$O$1673,3,FALSE),"ID Not Found")</f>
        <v>16.36</v>
      </c>
      <c r="Y218" s="270"/>
    </row>
    <row r="219" spans="1:25">
      <c r="A219" s="241" t="s">
        <v>2721</v>
      </c>
      <c r="B219" s="241" t="s">
        <v>3375</v>
      </c>
      <c r="C219" s="241" t="s">
        <v>3479</v>
      </c>
      <c r="D219" s="242">
        <v>11</v>
      </c>
      <c r="E219" s="242">
        <v>11</v>
      </c>
      <c r="F219" s="242">
        <v>11</v>
      </c>
      <c r="G219" s="242">
        <v>11</v>
      </c>
      <c r="H219" s="242">
        <v>11</v>
      </c>
      <c r="I219" s="242">
        <v>11</v>
      </c>
      <c r="J219" s="242">
        <v>11</v>
      </c>
      <c r="K219" s="242">
        <v>11</v>
      </c>
      <c r="L219" s="242">
        <v>11</v>
      </c>
      <c r="M219" s="242">
        <v>11</v>
      </c>
      <c r="N219" s="242">
        <v>11</v>
      </c>
      <c r="O219" s="242">
        <v>11</v>
      </c>
      <c r="P219" s="241" t="s">
        <v>3345</v>
      </c>
      <c r="Q219" s="241" t="s">
        <v>3347</v>
      </c>
      <c r="R219" s="243" t="s">
        <v>4561</v>
      </c>
      <c r="S219" s="270">
        <f t="shared" si="8"/>
        <v>38493</v>
      </c>
      <c r="T219" s="270"/>
      <c r="U219" s="270">
        <f>IFERROR(VLOOKUP($A219,GeneratingCapabilityList!$E$7:$O$1673,11,FALSE),"ID Not Found")</f>
        <v>38493</v>
      </c>
      <c r="V219" s="271" t="str">
        <f>IFERROR(VLOOKUP($A219,GeneratingCapabilityList!$E$7:$O$1673,6,FALSE),"UNKNOWN")</f>
        <v>HYDRO</v>
      </c>
      <c r="W219" s="271">
        <f>IFERROR(VLOOKUP($A219,GeneratingCapabilityList!$E$7:$O$1673,3,FALSE),"ID Not Found")</f>
        <v>11</v>
      </c>
      <c r="Y219" s="270"/>
    </row>
    <row r="220" spans="1:25">
      <c r="A220" s="241" t="s">
        <v>2725</v>
      </c>
      <c r="B220" s="241" t="s">
        <v>3375</v>
      </c>
      <c r="C220" s="241" t="s">
        <v>3480</v>
      </c>
      <c r="D220" s="242">
        <v>11</v>
      </c>
      <c r="E220" s="242">
        <v>11</v>
      </c>
      <c r="F220" s="242">
        <v>11</v>
      </c>
      <c r="G220" s="242">
        <v>11</v>
      </c>
      <c r="H220" s="242">
        <v>11</v>
      </c>
      <c r="I220" s="242">
        <v>11</v>
      </c>
      <c r="J220" s="242">
        <v>11</v>
      </c>
      <c r="K220" s="242">
        <v>11</v>
      </c>
      <c r="L220" s="242">
        <v>11</v>
      </c>
      <c r="M220" s="242">
        <v>11</v>
      </c>
      <c r="N220" s="242">
        <v>11</v>
      </c>
      <c r="O220" s="242">
        <v>11</v>
      </c>
      <c r="P220" s="241" t="s">
        <v>3345</v>
      </c>
      <c r="Q220" s="241" t="s">
        <v>3347</v>
      </c>
      <c r="R220" s="243" t="s">
        <v>4561</v>
      </c>
      <c r="S220" s="270">
        <f t="shared" si="8"/>
        <v>38493</v>
      </c>
      <c r="T220" s="270"/>
      <c r="U220" s="270">
        <f>IFERROR(VLOOKUP($A220,GeneratingCapabilityList!$E$7:$O$1673,11,FALSE),"ID Not Found")</f>
        <v>38493</v>
      </c>
      <c r="V220" s="271" t="str">
        <f>IFERROR(VLOOKUP($A220,GeneratingCapabilityList!$E$7:$O$1673,6,FALSE),"UNKNOWN")</f>
        <v>HYDRO</v>
      </c>
      <c r="W220" s="271">
        <f>IFERROR(VLOOKUP($A220,GeneratingCapabilityList!$E$7:$O$1673,3,FALSE),"ID Not Found")</f>
        <v>11</v>
      </c>
      <c r="Y220" s="270"/>
    </row>
    <row r="221" spans="1:25">
      <c r="A221" s="241" t="s">
        <v>333</v>
      </c>
      <c r="B221" s="241" t="s">
        <v>3361</v>
      </c>
      <c r="C221" s="241" t="s">
        <v>3481</v>
      </c>
      <c r="D221" s="242">
        <v>98</v>
      </c>
      <c r="E221" s="242">
        <v>98</v>
      </c>
      <c r="F221" s="242">
        <v>98</v>
      </c>
      <c r="G221" s="242">
        <v>98</v>
      </c>
      <c r="H221" s="242">
        <v>98</v>
      </c>
      <c r="I221" s="242">
        <v>98</v>
      </c>
      <c r="J221" s="242">
        <v>98</v>
      </c>
      <c r="K221" s="242">
        <v>98</v>
      </c>
      <c r="L221" s="242">
        <v>98</v>
      </c>
      <c r="M221" s="242">
        <v>98</v>
      </c>
      <c r="N221" s="242">
        <v>98</v>
      </c>
      <c r="O221" s="242">
        <v>98</v>
      </c>
      <c r="P221" s="241" t="s">
        <v>3345</v>
      </c>
      <c r="Q221" s="241" t="s">
        <v>3347</v>
      </c>
      <c r="R221" s="243" t="s">
        <v>4561</v>
      </c>
      <c r="S221" s="270">
        <f t="shared" si="8"/>
        <v>17533</v>
      </c>
      <c r="T221" s="270"/>
      <c r="U221" s="270">
        <f>IFERROR(VLOOKUP($A221,GeneratingCapabilityList!$E$7:$O$1673,11,FALSE),"ID Not Found")</f>
        <v>17533</v>
      </c>
      <c r="V221" s="271" t="str">
        <f>IFERROR(VLOOKUP($A221,GeneratingCapabilityList!$E$7:$O$1673,6,FALSE),"UNKNOWN")</f>
        <v>HYDRO</v>
      </c>
      <c r="W221" s="271">
        <f>IFERROR(VLOOKUP($A221,GeneratingCapabilityList!$E$7:$O$1673,3,FALSE),"ID Not Found")</f>
        <v>101.5</v>
      </c>
      <c r="Y221" s="270"/>
    </row>
    <row r="222" spans="1:25">
      <c r="A222" s="244" t="s">
        <v>1283</v>
      </c>
      <c r="B222" s="245" t="s">
        <v>3361</v>
      </c>
      <c r="C222" s="245" t="s">
        <v>3482</v>
      </c>
      <c r="D222" s="281">
        <v>3.0670121739130427</v>
      </c>
      <c r="E222" s="281">
        <v>2.494783571428572</v>
      </c>
      <c r="F222" s="281">
        <v>2.7716339784946236</v>
      </c>
      <c r="G222" s="281">
        <v>3.9421966666666663</v>
      </c>
      <c r="H222" s="281">
        <v>2.024064946236559</v>
      </c>
      <c r="I222" s="281">
        <v>1.2215380000000002</v>
      </c>
      <c r="J222" s="281">
        <v>0.36743096774193545</v>
      </c>
      <c r="K222" s="281">
        <v>0</v>
      </c>
      <c r="L222" s="281">
        <v>1.7243115999999998</v>
      </c>
      <c r="M222" s="281">
        <v>4.2031182795698924E-2</v>
      </c>
      <c r="N222" s="281">
        <v>8.9920888888888884E-2</v>
      </c>
      <c r="O222" s="281">
        <v>1.8540651612903229</v>
      </c>
      <c r="P222" s="245" t="s">
        <v>3345</v>
      </c>
      <c r="Q222" s="245" t="s">
        <v>3347</v>
      </c>
      <c r="R222" s="246" t="s">
        <v>4561</v>
      </c>
      <c r="S222" s="270">
        <f t="shared" si="8"/>
        <v>31413</v>
      </c>
      <c r="T222" s="270"/>
      <c r="U222" s="270">
        <f>IFERROR(VLOOKUP($A222,GeneratingCapabilityList!$E$7:$O$1673,11,FALSE),"ID Not Found")</f>
        <v>31413</v>
      </c>
      <c r="V222" s="271" t="str">
        <f>IFERROR(VLOOKUP($A222,GeneratingCapabilityList!$E$7:$O$1673,6,FALSE),"UNKNOWN")</f>
        <v>HYDRO</v>
      </c>
      <c r="W222" s="271">
        <f>IFERROR(VLOOKUP($A222,GeneratingCapabilityList!$E$7:$O$1673,3,FALSE),"ID Not Found")</f>
        <v>4.9000000000000004</v>
      </c>
      <c r="Y222" s="270"/>
    </row>
    <row r="223" spans="1:25">
      <c r="A223" s="245" t="s">
        <v>2646</v>
      </c>
      <c r="B223" s="247" t="s">
        <v>3361</v>
      </c>
      <c r="C223" s="245" t="s">
        <v>3483</v>
      </c>
      <c r="D223" s="249">
        <v>435</v>
      </c>
      <c r="E223" s="249">
        <v>435</v>
      </c>
      <c r="F223" s="249">
        <v>435</v>
      </c>
      <c r="G223" s="249">
        <v>435</v>
      </c>
      <c r="H223" s="249">
        <v>435</v>
      </c>
      <c r="I223" s="249">
        <v>435</v>
      </c>
      <c r="J223" s="249">
        <v>435</v>
      </c>
      <c r="K223" s="249">
        <v>435</v>
      </c>
      <c r="L223" s="249">
        <v>435</v>
      </c>
      <c r="M223" s="249">
        <v>435</v>
      </c>
      <c r="N223" s="249">
        <v>435</v>
      </c>
      <c r="O223" s="249">
        <v>435</v>
      </c>
      <c r="P223" s="245" t="s">
        <v>3345</v>
      </c>
      <c r="Q223" s="245" t="s">
        <v>3347</v>
      </c>
      <c r="R223" s="246" t="s">
        <v>4561</v>
      </c>
      <c r="S223" s="270">
        <f t="shared" si="8"/>
        <v>37826</v>
      </c>
      <c r="T223" s="270"/>
      <c r="U223" s="270">
        <f>IFERROR(VLOOKUP($A223,GeneratingCapabilityList!$E$7:$O$1673,11,FALSE),"ID Not Found")</f>
        <v>37826</v>
      </c>
      <c r="V223" s="271" t="str">
        <f>IFERROR(VLOOKUP($A223,GeneratingCapabilityList!$E$7:$O$1673,6,FALSE),"UNKNOWN")</f>
        <v>THERMAL</v>
      </c>
      <c r="W223" s="271">
        <f>IFERROR(VLOOKUP($A223,GeneratingCapabilityList!$E$7:$O$1673,3,FALSE),"ID Not Found")</f>
        <v>551.70000000000005</v>
      </c>
      <c r="Y223" s="270"/>
    </row>
    <row r="224" spans="1:25">
      <c r="A224" s="241" t="s">
        <v>2127</v>
      </c>
      <c r="B224" s="241" t="s">
        <v>3327</v>
      </c>
      <c r="C224" s="241" t="s">
        <v>3484</v>
      </c>
      <c r="D224" s="242">
        <v>0</v>
      </c>
      <c r="E224" s="242">
        <v>0</v>
      </c>
      <c r="F224" s="242">
        <v>0</v>
      </c>
      <c r="G224" s="242">
        <v>0</v>
      </c>
      <c r="H224" s="242">
        <v>0</v>
      </c>
      <c r="I224" s="242">
        <v>0</v>
      </c>
      <c r="J224" s="242">
        <v>0</v>
      </c>
      <c r="K224" s="242">
        <v>0</v>
      </c>
      <c r="L224" s="242">
        <v>0</v>
      </c>
      <c r="M224" s="242">
        <v>0</v>
      </c>
      <c r="N224" s="242">
        <v>0</v>
      </c>
      <c r="O224" s="242">
        <v>0</v>
      </c>
      <c r="P224" s="241" t="s">
        <v>3352</v>
      </c>
      <c r="Q224" s="241" t="s">
        <v>3347</v>
      </c>
      <c r="R224" s="243" t="s">
        <v>4562</v>
      </c>
      <c r="S224" s="270">
        <f t="shared" si="8"/>
        <v>33970</v>
      </c>
      <c r="T224" s="270"/>
      <c r="U224" s="270">
        <f>IFERROR(VLOOKUP($A224,GeneratingCapabilityList!$E$7:$O$1673,11,FALSE),"ID Not Found")</f>
        <v>33970</v>
      </c>
      <c r="V224" s="271" t="str">
        <f>IFERROR(VLOOKUP($A224,GeneratingCapabilityList!$E$7:$O$1673,6,FALSE),"UNKNOWN")</f>
        <v>BIOMASS</v>
      </c>
      <c r="W224" s="271">
        <f>IFERROR(VLOOKUP($A224,GeneratingCapabilityList!$E$7:$O$1673,3,FALSE),"ID Not Found")</f>
        <v>18.510000000000002</v>
      </c>
      <c r="Y224" s="270"/>
    </row>
    <row r="225" spans="1:25">
      <c r="A225" s="241" t="s">
        <v>2875</v>
      </c>
      <c r="B225" s="241" t="s">
        <v>3349</v>
      </c>
      <c r="C225" s="241" t="s">
        <v>2876</v>
      </c>
      <c r="D225" s="242">
        <v>5.38</v>
      </c>
      <c r="E225" s="242">
        <v>5.62</v>
      </c>
      <c r="F225" s="242">
        <v>6.13</v>
      </c>
      <c r="G225" s="242">
        <v>6.04</v>
      </c>
      <c r="H225" s="242">
        <v>6.59</v>
      </c>
      <c r="I225" s="242">
        <v>7.49</v>
      </c>
      <c r="J225" s="242">
        <v>7.45</v>
      </c>
      <c r="K225" s="242">
        <v>6.09</v>
      </c>
      <c r="L225" s="242">
        <v>3.85</v>
      </c>
      <c r="M225" s="242">
        <v>3.28</v>
      </c>
      <c r="N225" s="242">
        <v>5.58</v>
      </c>
      <c r="O225" s="242">
        <v>3.5</v>
      </c>
      <c r="P225" s="241" t="s">
        <v>3345</v>
      </c>
      <c r="Q225" s="241" t="s">
        <v>3347</v>
      </c>
      <c r="R225" s="243" t="s">
        <v>4562</v>
      </c>
      <c r="S225" s="270">
        <f t="shared" si="8"/>
        <v>39684</v>
      </c>
      <c r="T225" s="270"/>
      <c r="U225" s="270">
        <f>IFERROR(VLOOKUP($A225,GeneratingCapabilityList!$E$7:$O$1673,11,FALSE),"ID Not Found")</f>
        <v>39684</v>
      </c>
      <c r="V225" s="271" t="str">
        <f>IFERROR(VLOOKUP($A225,GeneratingCapabilityList!$E$7:$O$1673,6,FALSE),"UNKNOWN")</f>
        <v>BIOMASS</v>
      </c>
      <c r="W225" s="271">
        <f>IFERROR(VLOOKUP($A225,GeneratingCapabilityList!$E$7:$O$1673,3,FALSE),"ID Not Found")</f>
        <v>9.8000000000000007</v>
      </c>
      <c r="Y225" s="270"/>
    </row>
    <row r="226" spans="1:25">
      <c r="A226" s="241" t="s">
        <v>4603</v>
      </c>
      <c r="B226" s="245" t="s">
        <v>3327</v>
      </c>
      <c r="C226" s="241" t="s">
        <v>4604</v>
      </c>
      <c r="D226" s="242">
        <v>263</v>
      </c>
      <c r="E226" s="242">
        <v>263</v>
      </c>
      <c r="F226" s="242">
        <v>263</v>
      </c>
      <c r="G226" s="242">
        <v>263</v>
      </c>
      <c r="H226" s="242">
        <v>263</v>
      </c>
      <c r="I226" s="242">
        <v>263</v>
      </c>
      <c r="J226" s="242">
        <v>263</v>
      </c>
      <c r="K226" s="242">
        <v>263</v>
      </c>
      <c r="L226" s="242">
        <v>263</v>
      </c>
      <c r="M226" s="242">
        <v>263</v>
      </c>
      <c r="N226" s="242">
        <v>263</v>
      </c>
      <c r="O226" s="242">
        <v>263</v>
      </c>
      <c r="P226" s="245" t="s">
        <v>3352</v>
      </c>
      <c r="Q226" s="245" t="s">
        <v>3347</v>
      </c>
      <c r="R226" s="243" t="s">
        <v>4561</v>
      </c>
      <c r="S226" s="270">
        <f t="shared" si="8"/>
        <v>41454</v>
      </c>
      <c r="T226" s="270"/>
      <c r="U226" s="270">
        <f>IFERROR(VLOOKUP($A226,GeneratingCapabilityList!$E$7:$O$1673,11,FALSE),"ID Not Found")</f>
        <v>41454</v>
      </c>
      <c r="V226" s="271" t="str">
        <f>IFERROR(VLOOKUP($A226,GeneratingCapabilityList!$E$7:$O$1673,6,FALSE),"UNKNOWN")</f>
        <v>THERMAL</v>
      </c>
      <c r="W226" s="271">
        <f>IFERROR(VLOOKUP($A226,GeneratingCapabilityList!$E$7:$O$1673,3,FALSE),"ID Not Found")</f>
        <v>263</v>
      </c>
      <c r="Y226" s="270"/>
    </row>
    <row r="227" spans="1:25">
      <c r="A227" s="241" t="s">
        <v>4605</v>
      </c>
      <c r="B227" s="245" t="s">
        <v>3327</v>
      </c>
      <c r="C227" s="241" t="s">
        <v>4606</v>
      </c>
      <c r="D227" s="242">
        <v>263.68</v>
      </c>
      <c r="E227" s="242">
        <v>263.68</v>
      </c>
      <c r="F227" s="242">
        <v>263.68</v>
      </c>
      <c r="G227" s="242">
        <v>263.68</v>
      </c>
      <c r="H227" s="242">
        <v>263.68</v>
      </c>
      <c r="I227" s="242">
        <v>263.68</v>
      </c>
      <c r="J227" s="242">
        <v>263.68</v>
      </c>
      <c r="K227" s="242">
        <v>263.68</v>
      </c>
      <c r="L227" s="242">
        <v>263.68</v>
      </c>
      <c r="M227" s="242">
        <v>263.68</v>
      </c>
      <c r="N227" s="242">
        <v>263.68</v>
      </c>
      <c r="O227" s="242">
        <v>263.68</v>
      </c>
      <c r="P227" s="245" t="s">
        <v>3352</v>
      </c>
      <c r="Q227" s="245" t="s">
        <v>3347</v>
      </c>
      <c r="R227" s="243" t="s">
        <v>4561</v>
      </c>
      <c r="S227" s="270">
        <f t="shared" si="8"/>
        <v>41454</v>
      </c>
      <c r="T227" s="270"/>
      <c r="U227" s="270">
        <f>IFERROR(VLOOKUP($A227,GeneratingCapabilityList!$E$7:$O$1673,11,FALSE),"ID Not Found")</f>
        <v>41454</v>
      </c>
      <c r="V227" s="271" t="str">
        <f>IFERROR(VLOOKUP($A227,GeneratingCapabilityList!$E$7:$O$1673,6,FALSE),"UNKNOWN")</f>
        <v>COGENERATION</v>
      </c>
      <c r="W227" s="271">
        <f>IFERROR(VLOOKUP($A227,GeneratingCapabilityList!$E$7:$O$1673,3,FALSE),"ID Not Found")</f>
        <v>263.68</v>
      </c>
      <c r="Y227" s="270"/>
    </row>
    <row r="228" spans="1:25">
      <c r="A228" s="241" t="s">
        <v>496</v>
      </c>
      <c r="B228" s="241" t="s">
        <v>3327</v>
      </c>
      <c r="C228" s="241" t="s">
        <v>3485</v>
      </c>
      <c r="D228" s="242">
        <v>335</v>
      </c>
      <c r="E228" s="242">
        <v>335</v>
      </c>
      <c r="F228" s="242">
        <v>335</v>
      </c>
      <c r="G228" s="242">
        <v>335</v>
      </c>
      <c r="H228" s="242">
        <v>335</v>
      </c>
      <c r="I228" s="242">
        <v>335</v>
      </c>
      <c r="J228" s="242">
        <v>335</v>
      </c>
      <c r="K228" s="242">
        <v>335</v>
      </c>
      <c r="L228" s="242">
        <v>335</v>
      </c>
      <c r="M228" s="242">
        <v>335</v>
      </c>
      <c r="N228" s="242">
        <v>335</v>
      </c>
      <c r="O228" s="242">
        <v>335</v>
      </c>
      <c r="P228" s="241" t="s">
        <v>3352</v>
      </c>
      <c r="Q228" s="241" t="s">
        <v>3347</v>
      </c>
      <c r="R228" s="243" t="s">
        <v>4561</v>
      </c>
      <c r="S228" s="270">
        <f t="shared" si="8"/>
        <v>23743</v>
      </c>
      <c r="T228" s="270"/>
      <c r="U228" s="270">
        <f>IFERROR(VLOOKUP($A228,GeneratingCapabilityList!$E$7:$O$1673,11,FALSE),"ID Not Found")</f>
        <v>23743</v>
      </c>
      <c r="V228" s="271" t="str">
        <f>IFERROR(VLOOKUP($A228,GeneratingCapabilityList!$E$7:$O$1673,6,FALSE),"UNKNOWN")</f>
        <v>THERMAL</v>
      </c>
      <c r="W228" s="271">
        <f>IFERROR(VLOOKUP($A228,GeneratingCapabilityList!$E$7:$O$1673,3,FALSE),"ID Not Found")</f>
        <v>335</v>
      </c>
      <c r="X228" s="271" t="s">
        <v>12</v>
      </c>
      <c r="Y228" s="270">
        <v>42369</v>
      </c>
    </row>
    <row r="229" spans="1:25">
      <c r="A229" s="241" t="s">
        <v>362</v>
      </c>
      <c r="B229" s="241" t="s">
        <v>4579</v>
      </c>
      <c r="C229" s="241" t="s">
        <v>3486</v>
      </c>
      <c r="D229" s="242">
        <v>106</v>
      </c>
      <c r="E229" s="242">
        <v>106</v>
      </c>
      <c r="F229" s="242">
        <v>106</v>
      </c>
      <c r="G229" s="242">
        <v>106</v>
      </c>
      <c r="H229" s="242">
        <v>106</v>
      </c>
      <c r="I229" s="242">
        <v>106</v>
      </c>
      <c r="J229" s="242">
        <v>106</v>
      </c>
      <c r="K229" s="242">
        <v>106</v>
      </c>
      <c r="L229" s="242">
        <v>106</v>
      </c>
      <c r="M229" s="242">
        <v>106</v>
      </c>
      <c r="N229" s="242">
        <v>106</v>
      </c>
      <c r="O229" s="242">
        <v>106</v>
      </c>
      <c r="P229" s="241" t="s">
        <v>3352</v>
      </c>
      <c r="Q229" s="241" t="s">
        <v>3347</v>
      </c>
      <c r="R229" s="243" t="s">
        <v>4561</v>
      </c>
      <c r="S229" s="270">
        <f t="shared" si="8"/>
        <v>19725</v>
      </c>
      <c r="T229" s="270"/>
      <c r="U229" s="270">
        <f>IFERROR(VLOOKUP($A229,GeneratingCapabilityList!$E$7:$O$1673,11,FALSE),"ID Not Found")</f>
        <v>19725</v>
      </c>
      <c r="V229" s="271" t="str">
        <f>IFERROR(VLOOKUP($A229,GeneratingCapabilityList!$E$7:$O$1673,6,FALSE),"UNKNOWN")</f>
        <v>THERMAL</v>
      </c>
      <c r="W229" s="271">
        <f>IFERROR(VLOOKUP($A229,GeneratingCapabilityList!$E$7:$O$1673,3,FALSE),"ID Not Found")</f>
        <v>106</v>
      </c>
      <c r="X229" s="271" t="s">
        <v>12</v>
      </c>
      <c r="Y229" s="270">
        <v>43100</v>
      </c>
    </row>
    <row r="230" spans="1:25">
      <c r="A230" s="241" t="s">
        <v>383</v>
      </c>
      <c r="B230" s="241" t="s">
        <v>4579</v>
      </c>
      <c r="C230" s="241" t="s">
        <v>3487</v>
      </c>
      <c r="D230" s="242">
        <v>104</v>
      </c>
      <c r="E230" s="242">
        <v>104</v>
      </c>
      <c r="F230" s="242">
        <v>104</v>
      </c>
      <c r="G230" s="242">
        <v>104</v>
      </c>
      <c r="H230" s="242">
        <v>104</v>
      </c>
      <c r="I230" s="242">
        <v>104</v>
      </c>
      <c r="J230" s="242">
        <v>104</v>
      </c>
      <c r="K230" s="242">
        <v>104</v>
      </c>
      <c r="L230" s="242">
        <v>104</v>
      </c>
      <c r="M230" s="242">
        <v>104</v>
      </c>
      <c r="N230" s="242">
        <v>104</v>
      </c>
      <c r="O230" s="242">
        <v>104</v>
      </c>
      <c r="P230" s="241" t="s">
        <v>3352</v>
      </c>
      <c r="Q230" s="241" t="s">
        <v>3347</v>
      </c>
      <c r="R230" s="243" t="s">
        <v>4561</v>
      </c>
      <c r="S230" s="270">
        <f t="shared" si="8"/>
        <v>20455</v>
      </c>
      <c r="T230" s="270"/>
      <c r="U230" s="270">
        <f>IFERROR(VLOOKUP($A230,GeneratingCapabilityList!$E$7:$O$1673,11,FALSE),"ID Not Found")</f>
        <v>20455</v>
      </c>
      <c r="V230" s="271" t="str">
        <f>IFERROR(VLOOKUP($A230,GeneratingCapabilityList!$E$7:$O$1673,6,FALSE),"UNKNOWN")</f>
        <v>THERMAL</v>
      </c>
      <c r="W230" s="271">
        <f>IFERROR(VLOOKUP($A230,GeneratingCapabilityList!$E$7:$O$1673,3,FALSE),"ID Not Found")</f>
        <v>104</v>
      </c>
      <c r="X230" s="271" t="s">
        <v>12</v>
      </c>
      <c r="Y230" s="270">
        <v>43100</v>
      </c>
    </row>
    <row r="231" spans="1:25">
      <c r="A231" s="241" t="s">
        <v>406</v>
      </c>
      <c r="B231" s="241" t="s">
        <v>4579</v>
      </c>
      <c r="C231" s="241" t="s">
        <v>3488</v>
      </c>
      <c r="D231" s="242">
        <v>110</v>
      </c>
      <c r="E231" s="242">
        <v>110</v>
      </c>
      <c r="F231" s="242">
        <v>110</v>
      </c>
      <c r="G231" s="242">
        <v>110</v>
      </c>
      <c r="H231" s="242">
        <v>110</v>
      </c>
      <c r="I231" s="242">
        <v>110</v>
      </c>
      <c r="J231" s="242">
        <v>110</v>
      </c>
      <c r="K231" s="242">
        <v>110</v>
      </c>
      <c r="L231" s="242">
        <v>110</v>
      </c>
      <c r="M231" s="242">
        <v>110</v>
      </c>
      <c r="N231" s="242">
        <v>110</v>
      </c>
      <c r="O231" s="242">
        <v>110</v>
      </c>
      <c r="P231" s="241" t="s">
        <v>3352</v>
      </c>
      <c r="Q231" s="241" t="s">
        <v>3347</v>
      </c>
      <c r="R231" s="243" t="s">
        <v>4561</v>
      </c>
      <c r="S231" s="270">
        <f t="shared" si="8"/>
        <v>21186</v>
      </c>
      <c r="T231" s="270"/>
      <c r="U231" s="270">
        <f>IFERROR(VLOOKUP($A231,GeneratingCapabilityList!$E$7:$O$1673,11,FALSE),"ID Not Found")</f>
        <v>21186</v>
      </c>
      <c r="V231" s="271" t="str">
        <f>IFERROR(VLOOKUP($A231,GeneratingCapabilityList!$E$7:$O$1673,6,FALSE),"UNKNOWN")</f>
        <v>THERMAL</v>
      </c>
      <c r="W231" s="271">
        <f>IFERROR(VLOOKUP($A231,GeneratingCapabilityList!$E$7:$O$1673,3,FALSE),"ID Not Found")</f>
        <v>110</v>
      </c>
      <c r="X231" s="271" t="s">
        <v>12</v>
      </c>
      <c r="Y231" s="270">
        <v>43100</v>
      </c>
    </row>
    <row r="232" spans="1:25">
      <c r="A232" s="241" t="s">
        <v>674</v>
      </c>
      <c r="B232" s="241" t="s">
        <v>4579</v>
      </c>
      <c r="C232" s="241" t="s">
        <v>3489</v>
      </c>
      <c r="D232" s="242">
        <v>300</v>
      </c>
      <c r="E232" s="242">
        <v>300</v>
      </c>
      <c r="F232" s="242">
        <v>300</v>
      </c>
      <c r="G232" s="242">
        <v>300</v>
      </c>
      <c r="H232" s="242">
        <v>300</v>
      </c>
      <c r="I232" s="242">
        <v>300</v>
      </c>
      <c r="J232" s="242">
        <v>300</v>
      </c>
      <c r="K232" s="242">
        <v>300</v>
      </c>
      <c r="L232" s="242">
        <v>300</v>
      </c>
      <c r="M232" s="242">
        <v>300</v>
      </c>
      <c r="N232" s="242">
        <v>300</v>
      </c>
      <c r="O232" s="242">
        <v>300</v>
      </c>
      <c r="P232" s="241" t="s">
        <v>3352</v>
      </c>
      <c r="Q232" s="241" t="s">
        <v>3347</v>
      </c>
      <c r="R232" s="243" t="s">
        <v>4561</v>
      </c>
      <c r="S232" s="270">
        <f t="shared" si="8"/>
        <v>26665</v>
      </c>
      <c r="T232" s="270"/>
      <c r="U232" s="270">
        <f>IFERROR(VLOOKUP($A232,GeneratingCapabilityList!$E$7:$O$1673,11,FALSE),"ID Not Found")</f>
        <v>26665</v>
      </c>
      <c r="V232" s="271" t="str">
        <f>IFERROR(VLOOKUP($A232,GeneratingCapabilityList!$E$7:$O$1673,6,FALSE),"UNKNOWN")</f>
        <v>THERMAL</v>
      </c>
      <c r="W232" s="271">
        <f>IFERROR(VLOOKUP($A232,GeneratingCapabilityList!$E$7:$O$1673,3,FALSE),"ID Not Found")</f>
        <v>300</v>
      </c>
      <c r="X232" s="271" t="s">
        <v>12</v>
      </c>
      <c r="Y232" s="270">
        <v>43100</v>
      </c>
    </row>
    <row r="233" spans="1:25">
      <c r="A233" s="241" t="s">
        <v>721</v>
      </c>
      <c r="B233" s="241" t="s">
        <v>4579</v>
      </c>
      <c r="C233" s="241" t="s">
        <v>3490</v>
      </c>
      <c r="D233" s="242">
        <v>330</v>
      </c>
      <c r="E233" s="242">
        <v>330</v>
      </c>
      <c r="F233" s="242">
        <v>330</v>
      </c>
      <c r="G233" s="242">
        <v>330</v>
      </c>
      <c r="H233" s="242">
        <v>330</v>
      </c>
      <c r="I233" s="242">
        <v>330</v>
      </c>
      <c r="J233" s="242">
        <v>330</v>
      </c>
      <c r="K233" s="242">
        <v>330</v>
      </c>
      <c r="L233" s="242">
        <v>330</v>
      </c>
      <c r="M233" s="242">
        <v>330</v>
      </c>
      <c r="N233" s="242">
        <v>330</v>
      </c>
      <c r="O233" s="242">
        <v>330</v>
      </c>
      <c r="P233" s="241" t="s">
        <v>3352</v>
      </c>
      <c r="Q233" s="241" t="s">
        <v>3347</v>
      </c>
      <c r="R233" s="243" t="s">
        <v>4561</v>
      </c>
      <c r="S233" s="270">
        <f t="shared" si="8"/>
        <v>28491</v>
      </c>
      <c r="T233" s="270"/>
      <c r="U233" s="270">
        <f>IFERROR(VLOOKUP($A233,GeneratingCapabilityList!$E$7:$O$1673,11,FALSE),"ID Not Found")</f>
        <v>28491</v>
      </c>
      <c r="V233" s="271" t="str">
        <f>IFERROR(VLOOKUP($A233,GeneratingCapabilityList!$E$7:$O$1673,6,FALSE),"UNKNOWN")</f>
        <v>THERMAL</v>
      </c>
      <c r="W233" s="271">
        <f>IFERROR(VLOOKUP($A233,GeneratingCapabilityList!$E$7:$O$1673,3,FALSE),"ID Not Found")</f>
        <v>330</v>
      </c>
      <c r="X233" s="271" t="s">
        <v>12</v>
      </c>
      <c r="Y233" s="270">
        <v>43100</v>
      </c>
    </row>
    <row r="234" spans="1:25">
      <c r="A234" s="241" t="s">
        <v>581</v>
      </c>
      <c r="B234" s="241" t="s">
        <v>4579</v>
      </c>
      <c r="C234" s="241" t="s">
        <v>3491</v>
      </c>
      <c r="D234" s="242">
        <v>14.5</v>
      </c>
      <c r="E234" s="242">
        <v>14.5</v>
      </c>
      <c r="F234" s="242">
        <v>14.5</v>
      </c>
      <c r="G234" s="242">
        <v>14.5</v>
      </c>
      <c r="H234" s="242">
        <v>14.5</v>
      </c>
      <c r="I234" s="242">
        <v>14.5</v>
      </c>
      <c r="J234" s="242">
        <v>14.5</v>
      </c>
      <c r="K234" s="242">
        <v>14.5</v>
      </c>
      <c r="L234" s="242">
        <v>14.5</v>
      </c>
      <c r="M234" s="242">
        <v>14.5</v>
      </c>
      <c r="N234" s="242">
        <v>14.5</v>
      </c>
      <c r="O234" s="242">
        <v>14.5</v>
      </c>
      <c r="P234" s="241" t="s">
        <v>3352</v>
      </c>
      <c r="Q234" s="241" t="s">
        <v>3347</v>
      </c>
      <c r="R234" s="243" t="s">
        <v>4561</v>
      </c>
      <c r="S234" s="270">
        <f t="shared" si="8"/>
        <v>24838</v>
      </c>
      <c r="T234" s="270"/>
      <c r="U234" s="270">
        <f>IFERROR(VLOOKUP($A234,GeneratingCapabilityList!$E$7:$O$1673,11,FALSE),"ID Not Found")</f>
        <v>24838</v>
      </c>
      <c r="V234" s="271" t="str">
        <f>IFERROR(VLOOKUP($A234,GeneratingCapabilityList!$E$7:$O$1673,6,FALSE),"UNKNOWN")</f>
        <v>PEAKER</v>
      </c>
      <c r="W234" s="271">
        <f>IFERROR(VLOOKUP($A234,GeneratingCapabilityList!$E$7:$O$1673,3,FALSE),"ID Not Found")</f>
        <v>14.5</v>
      </c>
      <c r="X234" s="271" t="s">
        <v>12</v>
      </c>
      <c r="Y234" s="270">
        <v>43100</v>
      </c>
    </row>
    <row r="235" spans="1:25">
      <c r="A235" s="241" t="s">
        <v>2819</v>
      </c>
      <c r="B235" s="241" t="s">
        <v>4579</v>
      </c>
      <c r="C235" s="241" t="s">
        <v>3492</v>
      </c>
      <c r="D235" s="242">
        <v>35.5</v>
      </c>
      <c r="E235" s="242">
        <v>35.5</v>
      </c>
      <c r="F235" s="242">
        <v>35.5</v>
      </c>
      <c r="G235" s="242">
        <v>35.5</v>
      </c>
      <c r="H235" s="242">
        <v>35.5</v>
      </c>
      <c r="I235" s="242">
        <v>35.5</v>
      </c>
      <c r="J235" s="242">
        <v>35.5</v>
      </c>
      <c r="K235" s="242">
        <v>35.5</v>
      </c>
      <c r="L235" s="242">
        <v>35.5</v>
      </c>
      <c r="M235" s="242">
        <v>35.5</v>
      </c>
      <c r="N235" s="242">
        <v>35.5</v>
      </c>
      <c r="O235" s="242">
        <v>35.5</v>
      </c>
      <c r="P235" s="241" t="s">
        <v>3352</v>
      </c>
      <c r="Q235" s="241" t="s">
        <v>3347</v>
      </c>
      <c r="R235" s="243" t="s">
        <v>4561</v>
      </c>
      <c r="S235" s="270">
        <f t="shared" si="8"/>
        <v>38875</v>
      </c>
      <c r="T235" s="270"/>
      <c r="U235" s="270">
        <f>IFERROR(VLOOKUP($A235,GeneratingCapabilityList!$E$7:$O$1673,11,FALSE),"ID Not Found")</f>
        <v>38875</v>
      </c>
      <c r="V235" s="271" t="str">
        <f>IFERROR(VLOOKUP($A235,GeneratingCapabilityList!$E$7:$O$1673,6,FALSE),"UNKNOWN")</f>
        <v>PEAKER</v>
      </c>
      <c r="W235" s="271">
        <f>IFERROR(VLOOKUP($A235,GeneratingCapabilityList!$E$7:$O$1673,3,FALSE),"ID Not Found")</f>
        <v>35.5</v>
      </c>
      <c r="Y235" s="270"/>
    </row>
    <row r="236" spans="1:25">
      <c r="A236" s="241" t="s">
        <v>2468</v>
      </c>
      <c r="B236" s="241" t="s">
        <v>4579</v>
      </c>
      <c r="C236" s="241" t="s">
        <v>4607</v>
      </c>
      <c r="D236" s="242">
        <v>48</v>
      </c>
      <c r="E236" s="242">
        <v>48</v>
      </c>
      <c r="F236" s="242">
        <v>48</v>
      </c>
      <c r="G236" s="242">
        <v>48</v>
      </c>
      <c r="H236" s="242">
        <v>48</v>
      </c>
      <c r="I236" s="242">
        <v>48</v>
      </c>
      <c r="J236" s="242">
        <v>48</v>
      </c>
      <c r="K236" s="242">
        <v>48</v>
      </c>
      <c r="L236" s="242">
        <v>48</v>
      </c>
      <c r="M236" s="242">
        <v>48</v>
      </c>
      <c r="N236" s="242">
        <v>48</v>
      </c>
      <c r="O236" s="242">
        <v>48</v>
      </c>
      <c r="P236" s="241" t="s">
        <v>3352</v>
      </c>
      <c r="Q236" s="241" t="s">
        <v>3347</v>
      </c>
      <c r="R236" s="243" t="s">
        <v>4561</v>
      </c>
      <c r="S236" s="270">
        <f t="shared" si="8"/>
        <v>37187</v>
      </c>
      <c r="T236" s="270"/>
      <c r="U236" s="270">
        <f>IFERROR(VLOOKUP($A236,GeneratingCapabilityList!$E$7:$O$1673,11,FALSE),"ID Not Found")</f>
        <v>37187</v>
      </c>
      <c r="V236" s="271" t="str">
        <f>IFERROR(VLOOKUP($A236,GeneratingCapabilityList!$E$7:$O$1673,6,FALSE),"UNKNOWN")</f>
        <v>PEAKER</v>
      </c>
      <c r="W236" s="271">
        <f>IFERROR(VLOOKUP($A236,GeneratingCapabilityList!$E$7:$O$1673,3,FALSE),"ID Not Found")</f>
        <v>48.04</v>
      </c>
      <c r="Y236" s="270"/>
    </row>
    <row r="237" spans="1:25">
      <c r="A237" s="241" t="s">
        <v>2162</v>
      </c>
      <c r="B237" s="241" t="s">
        <v>4579</v>
      </c>
      <c r="C237" s="241" t="s">
        <v>2163</v>
      </c>
      <c r="D237" s="242">
        <v>38.4</v>
      </c>
      <c r="E237" s="242">
        <v>38.229999999999997</v>
      </c>
      <c r="F237" s="242">
        <v>42.47</v>
      </c>
      <c r="G237" s="242">
        <v>36.590000000000003</v>
      </c>
      <c r="H237" s="242">
        <v>33.83</v>
      </c>
      <c r="I237" s="242">
        <v>35.770000000000003</v>
      </c>
      <c r="J237" s="242">
        <v>32.659999999999997</v>
      </c>
      <c r="K237" s="242">
        <v>38.369999999999997</v>
      </c>
      <c r="L237" s="242">
        <v>35.020000000000003</v>
      </c>
      <c r="M237" s="242">
        <v>19.96</v>
      </c>
      <c r="N237" s="242">
        <v>33.299999999999997</v>
      </c>
      <c r="O237" s="242">
        <v>35.83</v>
      </c>
      <c r="P237" s="241" t="s">
        <v>3352</v>
      </c>
      <c r="Q237" s="241" t="s">
        <v>3347</v>
      </c>
      <c r="R237" s="243" t="s">
        <v>4562</v>
      </c>
      <c r="S237" s="270">
        <f t="shared" si="8"/>
        <v>34335</v>
      </c>
      <c r="T237" s="270"/>
      <c r="U237" s="270">
        <f>IFERROR(VLOOKUP($A237,GeneratingCapabilityList!$E$7:$O$1673,11,FALSE),"ID Not Found")</f>
        <v>34335</v>
      </c>
      <c r="V237" s="271" t="str">
        <f>IFERROR(VLOOKUP($A237,GeneratingCapabilityList!$E$7:$O$1673,6,FALSE),"UNKNOWN")</f>
        <v>COGENERATION</v>
      </c>
      <c r="W237" s="271">
        <f>IFERROR(VLOOKUP($A237,GeneratingCapabilityList!$E$7:$O$1673,3,FALSE),"ID Not Found")</f>
        <v>50.3</v>
      </c>
      <c r="Y237" s="270"/>
    </row>
    <row r="238" spans="1:25">
      <c r="A238" s="245" t="s">
        <v>4608</v>
      </c>
      <c r="B238" s="247" t="s">
        <v>3361</v>
      </c>
      <c r="C238" s="245" t="s">
        <v>4609</v>
      </c>
      <c r="D238" s="249" t="s">
        <v>4573</v>
      </c>
      <c r="E238" s="249" t="s">
        <v>4573</v>
      </c>
      <c r="F238" s="249" t="s">
        <v>4573</v>
      </c>
      <c r="G238" s="249" t="s">
        <v>4573</v>
      </c>
      <c r="H238" s="249" t="s">
        <v>4573</v>
      </c>
      <c r="I238" s="249" t="s">
        <v>4573</v>
      </c>
      <c r="J238" s="249" t="s">
        <v>4573</v>
      </c>
      <c r="K238" s="249" t="s">
        <v>4573</v>
      </c>
      <c r="L238" s="249" t="s">
        <v>4573</v>
      </c>
      <c r="M238" s="249" t="s">
        <v>4573</v>
      </c>
      <c r="N238" s="249" t="s">
        <v>4573</v>
      </c>
      <c r="O238" s="249" t="s">
        <v>4573</v>
      </c>
      <c r="P238" s="245" t="s">
        <v>3345</v>
      </c>
      <c r="Q238" s="245" t="s">
        <v>3385</v>
      </c>
      <c r="R238" s="246" t="s">
        <v>4562</v>
      </c>
      <c r="S238" s="270">
        <f t="shared" si="8"/>
        <v>41179</v>
      </c>
      <c r="T238" s="270"/>
      <c r="U238" s="270">
        <f>IFERROR(VLOOKUP($A238,GeneratingCapabilityList!$E$7:$O$1673,11,FALSE),"ID Not Found")</f>
        <v>41179</v>
      </c>
      <c r="V238" s="271" t="str">
        <f>IFERROR(VLOOKUP($A238,GeneratingCapabilityList!$E$7:$O$1673,6,FALSE),"UNKNOWN")</f>
        <v>BIOMASS</v>
      </c>
      <c r="W238" s="271">
        <f>IFERROR(VLOOKUP($A238,GeneratingCapabilityList!$E$7:$O$1673,3,FALSE),"ID Not Found")</f>
        <v>2.1</v>
      </c>
      <c r="Y238" s="270"/>
    </row>
    <row r="239" spans="1:25">
      <c r="A239" s="241" t="s">
        <v>49</v>
      </c>
      <c r="B239" s="241" t="s">
        <v>3327</v>
      </c>
      <c r="C239" s="241" t="s">
        <v>3493</v>
      </c>
      <c r="D239" s="242">
        <v>0.89</v>
      </c>
      <c r="E239" s="242">
        <v>1.3</v>
      </c>
      <c r="F239" s="242">
        <v>1.57</v>
      </c>
      <c r="G239" s="242">
        <v>1.62</v>
      </c>
      <c r="H239" s="242">
        <v>1.57</v>
      </c>
      <c r="I239" s="242">
        <v>1.3</v>
      </c>
      <c r="J239" s="242">
        <v>1.1100000000000001</v>
      </c>
      <c r="K239" s="242">
        <v>1.03</v>
      </c>
      <c r="L239" s="242">
        <v>1.08</v>
      </c>
      <c r="M239" s="242">
        <v>0.93</v>
      </c>
      <c r="N239" s="242">
        <v>1.18</v>
      </c>
      <c r="O239" s="242">
        <v>0.99</v>
      </c>
      <c r="P239" s="241" t="s">
        <v>3352</v>
      </c>
      <c r="Q239" s="241" t="s">
        <v>3347</v>
      </c>
      <c r="R239" s="243" t="s">
        <v>4562</v>
      </c>
      <c r="S239" s="270">
        <f t="shared" si="8"/>
        <v>1462</v>
      </c>
      <c r="T239" s="270"/>
      <c r="U239" s="270">
        <f>IFERROR(VLOOKUP($A239,GeneratingCapabilityList!$E$7:$O$1673,11,FALSE),"ID Not Found")</f>
        <v>1462</v>
      </c>
      <c r="V239" s="271" t="str">
        <f>IFERROR(VLOOKUP($A239,GeneratingCapabilityList!$E$7:$O$1673,6,FALSE),"UNKNOWN")</f>
        <v>HYDRO</v>
      </c>
      <c r="W239" s="271">
        <f>IFERROR(VLOOKUP($A239,GeneratingCapabilityList!$E$7:$O$1673,3,FALSE),"ID Not Found")</f>
        <v>2.56</v>
      </c>
      <c r="Y239" s="270"/>
    </row>
    <row r="240" spans="1:25">
      <c r="A240" s="241" t="s">
        <v>238</v>
      </c>
      <c r="B240" s="241" t="s">
        <v>3327</v>
      </c>
      <c r="C240" s="241" t="s">
        <v>3494</v>
      </c>
      <c r="D240" s="242">
        <v>11.51</v>
      </c>
      <c r="E240" s="242">
        <v>10.97</v>
      </c>
      <c r="F240" s="242">
        <v>10.08</v>
      </c>
      <c r="G240" s="242">
        <v>7.59</v>
      </c>
      <c r="H240" s="242">
        <v>9.94</v>
      </c>
      <c r="I240" s="242">
        <v>16.149999999999999</v>
      </c>
      <c r="J240" s="242">
        <v>15.17</v>
      </c>
      <c r="K240" s="242">
        <v>15.24</v>
      </c>
      <c r="L240" s="242">
        <v>14.68</v>
      </c>
      <c r="M240" s="242">
        <v>9.06</v>
      </c>
      <c r="N240" s="242">
        <v>10.61</v>
      </c>
      <c r="O240" s="242">
        <v>10.96</v>
      </c>
      <c r="P240" s="241" t="s">
        <v>3352</v>
      </c>
      <c r="Q240" s="241" t="s">
        <v>3347</v>
      </c>
      <c r="R240" s="243" t="s">
        <v>4562</v>
      </c>
      <c r="S240" s="270">
        <f t="shared" si="8"/>
        <v>9133</v>
      </c>
      <c r="T240" s="270"/>
      <c r="U240" s="270">
        <f>IFERROR(VLOOKUP($A240,GeneratingCapabilityList!$E$7:$O$1673,11,FALSE),"ID Not Found")</f>
        <v>9133</v>
      </c>
      <c r="V240" s="271" t="str">
        <f>IFERROR(VLOOKUP($A240,GeneratingCapabilityList!$E$7:$O$1673,6,FALSE),"UNKNOWN")</f>
        <v>VARIOUS</v>
      </c>
      <c r="W240" s="271">
        <f>IFERROR(VLOOKUP($A240,GeneratingCapabilityList!$E$7:$O$1673,3,FALSE),"ID Not Found")</f>
        <v>37.22</v>
      </c>
      <c r="Y240" s="270"/>
    </row>
    <row r="241" spans="1:25">
      <c r="A241" s="241" t="s">
        <v>2857</v>
      </c>
      <c r="B241" s="241" t="s">
        <v>3327</v>
      </c>
      <c r="C241" s="241" t="s">
        <v>2858</v>
      </c>
      <c r="D241" s="242">
        <v>46</v>
      </c>
      <c r="E241" s="242">
        <v>46</v>
      </c>
      <c r="F241" s="242">
        <v>46</v>
      </c>
      <c r="G241" s="242">
        <v>46</v>
      </c>
      <c r="H241" s="242">
        <v>46</v>
      </c>
      <c r="I241" s="242">
        <v>46</v>
      </c>
      <c r="J241" s="242">
        <v>46</v>
      </c>
      <c r="K241" s="242">
        <v>46</v>
      </c>
      <c r="L241" s="242">
        <v>46</v>
      </c>
      <c r="M241" s="242">
        <v>46</v>
      </c>
      <c r="N241" s="242">
        <v>46</v>
      </c>
      <c r="O241" s="242">
        <v>46</v>
      </c>
      <c r="P241" s="241" t="s">
        <v>3352</v>
      </c>
      <c r="Q241" s="241" t="s">
        <v>3347</v>
      </c>
      <c r="R241" s="243" t="s">
        <v>4562</v>
      </c>
      <c r="S241" s="270">
        <f t="shared" si="8"/>
        <v>39345</v>
      </c>
      <c r="T241" s="270"/>
      <c r="U241" s="270">
        <f>IFERROR(VLOOKUP($A241,GeneratingCapabilityList!$E$7:$O$1673,11,FALSE),"ID Not Found")</f>
        <v>39345</v>
      </c>
      <c r="V241" s="271" t="str">
        <f>IFERROR(VLOOKUP($A241,GeneratingCapabilityList!$E$7:$O$1673,6,FALSE),"UNKNOWN")</f>
        <v>PEAKER</v>
      </c>
      <c r="W241" s="271">
        <f>IFERROR(VLOOKUP($A241,GeneratingCapabilityList!$E$7:$O$1673,3,FALSE),"ID Not Found")</f>
        <v>46</v>
      </c>
      <c r="Y241" s="270"/>
    </row>
    <row r="242" spans="1:25">
      <c r="A242" s="241" t="s">
        <v>2157</v>
      </c>
      <c r="B242" s="241" t="s">
        <v>3327</v>
      </c>
      <c r="C242" s="241" t="s">
        <v>3495</v>
      </c>
      <c r="D242" s="242">
        <v>6.49</v>
      </c>
      <c r="E242" s="242">
        <v>6.6</v>
      </c>
      <c r="F242" s="242">
        <v>2.81</v>
      </c>
      <c r="G242" s="242">
        <v>1.46</v>
      </c>
      <c r="H242" s="242">
        <v>5.05</v>
      </c>
      <c r="I242" s="242">
        <v>7.9</v>
      </c>
      <c r="J242" s="242">
        <v>10.85</v>
      </c>
      <c r="K242" s="242">
        <v>9.1300000000000008</v>
      </c>
      <c r="L242" s="242">
        <v>8.39</v>
      </c>
      <c r="M242" s="242">
        <v>7.66</v>
      </c>
      <c r="N242" s="242">
        <v>7.68</v>
      </c>
      <c r="O242" s="242">
        <v>6.79</v>
      </c>
      <c r="P242" s="241" t="s">
        <v>3352</v>
      </c>
      <c r="Q242" s="241" t="s">
        <v>3347</v>
      </c>
      <c r="R242" s="243" t="s">
        <v>4561</v>
      </c>
      <c r="S242" s="270">
        <f t="shared" si="8"/>
        <v>34335</v>
      </c>
      <c r="T242" s="270"/>
      <c r="U242" s="270">
        <f>IFERROR(VLOOKUP($A242,GeneratingCapabilityList!$E$7:$O$1673,11,FALSE),"ID Not Found")</f>
        <v>34335</v>
      </c>
      <c r="V242" s="271" t="str">
        <f>IFERROR(VLOOKUP($A242,GeneratingCapabilityList!$E$7:$O$1673,6,FALSE),"UNKNOWN")</f>
        <v>HYDRO</v>
      </c>
      <c r="W242" s="271">
        <f>IFERROR(VLOOKUP($A242,GeneratingCapabilityList!$E$7:$O$1673,3,FALSE),"ID Not Found")</f>
        <v>24</v>
      </c>
      <c r="Y242" s="270"/>
    </row>
    <row r="243" spans="1:25">
      <c r="A243" s="258" t="s">
        <v>2606</v>
      </c>
      <c r="B243" s="247" t="s">
        <v>3327</v>
      </c>
      <c r="C243" s="248" t="s">
        <v>3496</v>
      </c>
      <c r="D243" s="281">
        <v>1.3833943079806648</v>
      </c>
      <c r="E243" s="281">
        <v>1.5285624223602483</v>
      </c>
      <c r="F243" s="281">
        <v>1.7774622573019139</v>
      </c>
      <c r="G243" s="281">
        <v>1.3181823769417933</v>
      </c>
      <c r="H243" s="281">
        <v>0.63847903225806457</v>
      </c>
      <c r="I243" s="281">
        <v>0.61641170483460528</v>
      </c>
      <c r="J243" s="281">
        <v>0.56012519083969481</v>
      </c>
      <c r="K243" s="281">
        <v>0.55680367647058826</v>
      </c>
      <c r="L243" s="281">
        <v>0</v>
      </c>
      <c r="M243" s="281">
        <v>0</v>
      </c>
      <c r="N243" s="281">
        <v>0</v>
      </c>
      <c r="O243" s="281">
        <v>0.53809523809523807</v>
      </c>
      <c r="P243" s="245" t="s">
        <v>3352</v>
      </c>
      <c r="Q243" s="245" t="s">
        <v>3347</v>
      </c>
      <c r="R243" s="246" t="s">
        <v>4561</v>
      </c>
      <c r="S243" s="270">
        <f t="shared" si="8"/>
        <v>37732</v>
      </c>
      <c r="T243" s="270"/>
      <c r="U243" s="270">
        <f>IFERROR(VLOOKUP($A243,GeneratingCapabilityList!$E$7:$O$1673,11,FALSE),"ID Not Found")</f>
        <v>37732</v>
      </c>
      <c r="V243" s="271" t="str">
        <f>IFERROR(VLOOKUP($A243,GeneratingCapabilityList!$E$7:$O$1673,6,FALSE),"UNKNOWN")</f>
        <v>BIOMASS</v>
      </c>
      <c r="W243" s="271">
        <f>IFERROR(VLOOKUP($A243,GeneratingCapabilityList!$E$7:$O$1673,3,FALSE),"ID Not Found")</f>
        <v>2.1</v>
      </c>
      <c r="Y243" s="270"/>
    </row>
    <row r="244" spans="1:25">
      <c r="A244" s="241" t="s">
        <v>3139</v>
      </c>
      <c r="B244" s="241" t="s">
        <v>3327</v>
      </c>
      <c r="C244" s="241" t="s">
        <v>3497</v>
      </c>
      <c r="D244" s="242">
        <v>320</v>
      </c>
      <c r="E244" s="242">
        <v>320</v>
      </c>
      <c r="F244" s="242">
        <v>320</v>
      </c>
      <c r="G244" s="242">
        <v>320</v>
      </c>
      <c r="H244" s="242">
        <v>320</v>
      </c>
      <c r="I244" s="242">
        <v>320</v>
      </c>
      <c r="J244" s="242">
        <v>320</v>
      </c>
      <c r="K244" s="242">
        <v>320</v>
      </c>
      <c r="L244" s="242">
        <v>320</v>
      </c>
      <c r="M244" s="242">
        <v>320</v>
      </c>
      <c r="N244" s="242">
        <v>320</v>
      </c>
      <c r="O244" s="242">
        <v>320</v>
      </c>
      <c r="P244" s="241" t="s">
        <v>3352</v>
      </c>
      <c r="Q244" s="241" t="s">
        <v>3347</v>
      </c>
      <c r="R244" s="243" t="s">
        <v>4561</v>
      </c>
      <c r="S244" s="270">
        <v>23012</v>
      </c>
      <c r="T244" s="270" t="s">
        <v>4249</v>
      </c>
      <c r="U244" s="270" t="str">
        <f>IFERROR(VLOOKUP($A244,GeneratingCapabilityList!$E$7:$O$1673,11,FALSE),"ID Not Found")</f>
        <v>UNK</v>
      </c>
      <c r="V244" s="271" t="str">
        <f>IFERROR(VLOOKUP($A244,GeneratingCapabilityList!$E$7:$O$1673,6,FALSE),"UNKNOWN")</f>
        <v>THERMAL</v>
      </c>
      <c r="W244" s="271">
        <f>IFERROR(VLOOKUP($A244,GeneratingCapabilityList!$E$7:$O$1673,3,FALSE),"ID Not Found")</f>
        <v>320</v>
      </c>
      <c r="Y244" s="270"/>
    </row>
    <row r="245" spans="1:25">
      <c r="A245" s="241" t="s">
        <v>3143</v>
      </c>
      <c r="B245" s="241" t="s">
        <v>3327</v>
      </c>
      <c r="C245" s="241" t="s">
        <v>3498</v>
      </c>
      <c r="D245" s="242">
        <v>320</v>
      </c>
      <c r="E245" s="242">
        <v>320</v>
      </c>
      <c r="F245" s="242">
        <v>320</v>
      </c>
      <c r="G245" s="242">
        <v>320</v>
      </c>
      <c r="H245" s="242">
        <v>320</v>
      </c>
      <c r="I245" s="242">
        <v>320</v>
      </c>
      <c r="J245" s="242">
        <v>320</v>
      </c>
      <c r="K245" s="242">
        <v>320</v>
      </c>
      <c r="L245" s="242">
        <v>320</v>
      </c>
      <c r="M245" s="242">
        <v>320</v>
      </c>
      <c r="N245" s="242">
        <v>320</v>
      </c>
      <c r="O245" s="242">
        <v>320</v>
      </c>
      <c r="P245" s="241" t="s">
        <v>3352</v>
      </c>
      <c r="Q245" s="241" t="s">
        <v>3347</v>
      </c>
      <c r="R245" s="243" t="s">
        <v>4561</v>
      </c>
      <c r="S245" s="270">
        <v>23012</v>
      </c>
      <c r="T245" s="270" t="s">
        <v>4249</v>
      </c>
      <c r="U245" s="270" t="str">
        <f>IFERROR(VLOOKUP($A245,GeneratingCapabilityList!$E$7:$O$1673,11,FALSE),"ID Not Found")</f>
        <v>UNK</v>
      </c>
      <c r="V245" s="271" t="str">
        <f>IFERROR(VLOOKUP($A245,GeneratingCapabilityList!$E$7:$O$1673,6,FALSE),"UNKNOWN")</f>
        <v>THERMAL</v>
      </c>
      <c r="W245" s="271">
        <f>IFERROR(VLOOKUP($A245,GeneratingCapabilityList!$E$7:$O$1673,3,FALSE),"ID Not Found")</f>
        <v>320</v>
      </c>
      <c r="Y245" s="270"/>
    </row>
    <row r="246" spans="1:25">
      <c r="A246" s="241" t="s">
        <v>526</v>
      </c>
      <c r="B246" s="241" t="s">
        <v>3349</v>
      </c>
      <c r="C246" s="241" t="s">
        <v>3499</v>
      </c>
      <c r="D246" s="242">
        <v>32.31</v>
      </c>
      <c r="E246" s="242">
        <v>31.55</v>
      </c>
      <c r="F246" s="242">
        <v>37.18</v>
      </c>
      <c r="G246" s="242">
        <v>48.43</v>
      </c>
      <c r="H246" s="242">
        <v>57.45</v>
      </c>
      <c r="I246" s="242">
        <v>71.08</v>
      </c>
      <c r="J246" s="242">
        <v>70.239999999999995</v>
      </c>
      <c r="K246" s="242">
        <v>61.77</v>
      </c>
      <c r="L246" s="242">
        <v>53.48</v>
      </c>
      <c r="M246" s="242">
        <v>47.74</v>
      </c>
      <c r="N246" s="242">
        <v>46.06</v>
      </c>
      <c r="O246" s="242">
        <v>45.39</v>
      </c>
      <c r="P246" s="241" t="s">
        <v>3345</v>
      </c>
      <c r="Q246" s="241" t="s">
        <v>3347</v>
      </c>
      <c r="R246" s="243" t="s">
        <v>4561</v>
      </c>
      <c r="S246" s="270">
        <f t="shared" ref="S246:S263" si="9">U246</f>
        <v>24473</v>
      </c>
      <c r="T246" s="270"/>
      <c r="U246" s="270">
        <f>IFERROR(VLOOKUP($A246,GeneratingCapabilityList!$E$7:$O$1673,11,FALSE),"ID Not Found")</f>
        <v>24473</v>
      </c>
      <c r="V246" s="271" t="str">
        <f>IFERROR(VLOOKUP($A246,GeneratingCapabilityList!$E$7:$O$1673,6,FALSE),"UNKNOWN")</f>
        <v>HYDRO</v>
      </c>
      <c r="W246" s="271">
        <f>IFERROR(VLOOKUP($A246,GeneratingCapabilityList!$E$7:$O$1673,3,FALSE),"ID Not Found")</f>
        <v>94.5</v>
      </c>
      <c r="Y246" s="270"/>
    </row>
    <row r="247" spans="1:25">
      <c r="A247" s="241" t="s">
        <v>1421</v>
      </c>
      <c r="B247" s="241" t="s">
        <v>3384</v>
      </c>
      <c r="C247" s="241" t="s">
        <v>1422</v>
      </c>
      <c r="D247" s="242">
        <v>15.31</v>
      </c>
      <c r="E247" s="242">
        <v>15.18</v>
      </c>
      <c r="F247" s="242">
        <v>15.35</v>
      </c>
      <c r="G247" s="242">
        <v>10.130000000000001</v>
      </c>
      <c r="H247" s="242">
        <v>14.12</v>
      </c>
      <c r="I247" s="242">
        <v>15.15</v>
      </c>
      <c r="J247" s="242">
        <v>15.81</v>
      </c>
      <c r="K247" s="242">
        <v>16.05</v>
      </c>
      <c r="L247" s="242">
        <v>15.97</v>
      </c>
      <c r="M247" s="242">
        <v>15.42</v>
      </c>
      <c r="N247" s="242">
        <v>15.07</v>
      </c>
      <c r="O247" s="242">
        <v>16.21</v>
      </c>
      <c r="P247" s="241" t="s">
        <v>3345</v>
      </c>
      <c r="Q247" s="241" t="s">
        <v>3347</v>
      </c>
      <c r="R247" s="243" t="s">
        <v>4562</v>
      </c>
      <c r="S247" s="270">
        <f t="shared" si="9"/>
        <v>31670</v>
      </c>
      <c r="T247" s="270"/>
      <c r="U247" s="270">
        <f>IFERROR(VLOOKUP($A247,GeneratingCapabilityList!$E$7:$O$1673,11,FALSE),"ID Not Found")</f>
        <v>31670</v>
      </c>
      <c r="V247" s="271" t="str">
        <f>IFERROR(VLOOKUP($A247,GeneratingCapabilityList!$E$7:$O$1673,6,FALSE),"UNKNOWN")</f>
        <v>BIOMASS</v>
      </c>
      <c r="W247" s="271">
        <f>IFERROR(VLOOKUP($A247,GeneratingCapabilityList!$E$7:$O$1673,3,FALSE),"ID Not Found")</f>
        <v>19.899999999999999</v>
      </c>
      <c r="Y247" s="270"/>
    </row>
    <row r="248" spans="1:25">
      <c r="A248" s="241" t="s">
        <v>2811</v>
      </c>
      <c r="B248" s="241" t="s">
        <v>3370</v>
      </c>
      <c r="C248" s="241" t="s">
        <v>3500</v>
      </c>
      <c r="D248" s="242">
        <v>0.49</v>
      </c>
      <c r="E248" s="242">
        <v>1.3</v>
      </c>
      <c r="F248" s="242">
        <v>1.46</v>
      </c>
      <c r="G248" s="242">
        <v>1.48</v>
      </c>
      <c r="H248" s="242">
        <v>1.62</v>
      </c>
      <c r="I248" s="242">
        <v>1.07</v>
      </c>
      <c r="J248" s="242">
        <v>1.37</v>
      </c>
      <c r="K248" s="242">
        <v>1.41</v>
      </c>
      <c r="L248" s="242">
        <v>0.6</v>
      </c>
      <c r="M248" s="242">
        <v>0.65</v>
      </c>
      <c r="N248" s="242">
        <v>0.63</v>
      </c>
      <c r="O248" s="242">
        <v>0.62</v>
      </c>
      <c r="P248" s="241" t="s">
        <v>3345</v>
      </c>
      <c r="Q248" s="241" t="s">
        <v>3347</v>
      </c>
      <c r="R248" s="243" t="s">
        <v>4562</v>
      </c>
      <c r="S248" s="270">
        <f t="shared" si="9"/>
        <v>38869</v>
      </c>
      <c r="T248" s="270"/>
      <c r="U248" s="270">
        <f>IFERROR(VLOOKUP($A248,GeneratingCapabilityList!$E$7:$O$1673,11,FALSE),"ID Not Found")</f>
        <v>38869</v>
      </c>
      <c r="V248" s="271" t="str">
        <f>IFERROR(VLOOKUP($A248,GeneratingCapabilityList!$E$7:$O$1673,6,FALSE),"UNKNOWN")</f>
        <v>THERMAL</v>
      </c>
      <c r="W248" s="271">
        <f>IFERROR(VLOOKUP($A248,GeneratingCapabilityList!$E$7:$O$1673,3,FALSE),"ID Not Found")</f>
        <v>10.5</v>
      </c>
      <c r="Y248" s="270"/>
    </row>
    <row r="249" spans="1:25">
      <c r="A249" s="241" t="s">
        <v>999</v>
      </c>
      <c r="B249" s="241" t="s">
        <v>3324</v>
      </c>
      <c r="C249" s="241" t="s">
        <v>1000</v>
      </c>
      <c r="D249" s="242">
        <v>0</v>
      </c>
      <c r="E249" s="242">
        <v>0</v>
      </c>
      <c r="F249" s="242">
        <v>0</v>
      </c>
      <c r="G249" s="242">
        <v>0</v>
      </c>
      <c r="H249" s="242">
        <v>0</v>
      </c>
      <c r="I249" s="242">
        <v>0</v>
      </c>
      <c r="J249" s="242">
        <v>0</v>
      </c>
      <c r="K249" s="242">
        <v>0</v>
      </c>
      <c r="L249" s="242">
        <v>0</v>
      </c>
      <c r="M249" s="242">
        <v>0</v>
      </c>
      <c r="N249" s="242">
        <v>0</v>
      </c>
      <c r="O249" s="242">
        <v>0</v>
      </c>
      <c r="P249" s="241" t="s">
        <v>3345</v>
      </c>
      <c r="Q249" s="241" t="s">
        <v>3347</v>
      </c>
      <c r="R249" s="243" t="s">
        <v>4562</v>
      </c>
      <c r="S249" s="270">
        <f t="shared" si="9"/>
        <v>30682</v>
      </c>
      <c r="T249" s="270"/>
      <c r="U249" s="270">
        <f>IFERROR(VLOOKUP($A249,GeneratingCapabilityList!$E$7:$O$1673,11,FALSE),"ID Not Found")</f>
        <v>30682</v>
      </c>
      <c r="V249" s="271" t="str">
        <f>IFERROR(VLOOKUP($A249,GeneratingCapabilityList!$E$7:$O$1673,6,FALSE),"UNKNOWN")</f>
        <v>WIND</v>
      </c>
      <c r="W249" s="271">
        <f>IFERROR(VLOOKUP($A249,GeneratingCapabilityList!$E$7:$O$1673,3,FALSE),"ID Not Found")</f>
        <v>11.5</v>
      </c>
      <c r="Y249" s="270"/>
    </row>
    <row r="250" spans="1:25">
      <c r="A250" s="241" t="s">
        <v>2710</v>
      </c>
      <c r="B250" s="241" t="s">
        <v>3361</v>
      </c>
      <c r="C250" s="241" t="s">
        <v>2711</v>
      </c>
      <c r="D250" s="242">
        <v>0.47</v>
      </c>
      <c r="E250" s="242">
        <v>1.57</v>
      </c>
      <c r="F250" s="242">
        <v>2.65</v>
      </c>
      <c r="G250" s="242">
        <v>2.91</v>
      </c>
      <c r="H250" s="242">
        <v>3.14</v>
      </c>
      <c r="I250" s="242">
        <v>4.13</v>
      </c>
      <c r="J250" s="242">
        <v>4.9800000000000004</v>
      </c>
      <c r="K250" s="242">
        <v>3.83</v>
      </c>
      <c r="L250" s="242">
        <v>0.49</v>
      </c>
      <c r="M250" s="242">
        <v>0.53</v>
      </c>
      <c r="N250" s="242">
        <v>0.92</v>
      </c>
      <c r="O250" s="242">
        <v>0.65</v>
      </c>
      <c r="P250" s="241" t="s">
        <v>3345</v>
      </c>
      <c r="Q250" s="241" t="s">
        <v>3347</v>
      </c>
      <c r="R250" s="243" t="s">
        <v>4562</v>
      </c>
      <c r="S250" s="270">
        <f t="shared" si="9"/>
        <v>38473</v>
      </c>
      <c r="T250" s="270"/>
      <c r="U250" s="270">
        <f>IFERROR(VLOOKUP($A250,GeneratingCapabilityList!$E$7:$O$1673,11,FALSE),"ID Not Found")</f>
        <v>38473</v>
      </c>
      <c r="V250" s="271" t="str">
        <f>IFERROR(VLOOKUP($A250,GeneratingCapabilityList!$E$7:$O$1673,6,FALSE),"UNKNOWN")</f>
        <v>WIND</v>
      </c>
      <c r="W250" s="271">
        <f>IFERROR(VLOOKUP($A250,GeneratingCapabilityList!$E$7:$O$1673,3,FALSE),"ID Not Found")</f>
        <v>18.600000000000001</v>
      </c>
      <c r="Y250" s="270"/>
    </row>
    <row r="251" spans="1:25">
      <c r="A251" s="252" t="s">
        <v>1156</v>
      </c>
      <c r="B251" s="247" t="s">
        <v>3361</v>
      </c>
      <c r="C251" s="245" t="s">
        <v>3501</v>
      </c>
      <c r="D251" s="249">
        <v>0</v>
      </c>
      <c r="E251" s="249">
        <v>0.56999999999999995</v>
      </c>
      <c r="F251" s="249">
        <v>1.53</v>
      </c>
      <c r="G251" s="249">
        <v>1.44</v>
      </c>
      <c r="H251" s="249">
        <v>3.24</v>
      </c>
      <c r="I251" s="249">
        <v>3.49</v>
      </c>
      <c r="J251" s="249">
        <v>3.99</v>
      </c>
      <c r="K251" s="249">
        <v>3.06</v>
      </c>
      <c r="L251" s="249">
        <v>0.88</v>
      </c>
      <c r="M251" s="249">
        <v>0.6</v>
      </c>
      <c r="N251" s="249">
        <v>0.1</v>
      </c>
      <c r="O251" s="249">
        <v>0</v>
      </c>
      <c r="P251" s="245" t="s">
        <v>3345</v>
      </c>
      <c r="Q251" s="245" t="s">
        <v>3347</v>
      </c>
      <c r="R251" s="246" t="s">
        <v>4562</v>
      </c>
      <c r="S251" s="270">
        <f t="shared" si="9"/>
        <v>31048</v>
      </c>
      <c r="T251" s="270"/>
      <c r="U251" s="270">
        <f>IFERROR(VLOOKUP($A251,GeneratingCapabilityList!$E$7:$O$1673,11,FALSE),"ID Not Found")</f>
        <v>31048</v>
      </c>
      <c r="V251" s="271" t="str">
        <f>IFERROR(VLOOKUP($A251,GeneratingCapabilityList!$E$7:$O$1673,6,FALSE),"UNKNOWN")</f>
        <v>WIND</v>
      </c>
      <c r="W251" s="271">
        <f>IFERROR(VLOOKUP($A251,GeneratingCapabilityList!$E$7:$O$1673,3,FALSE),"ID Not Found")</f>
        <v>55</v>
      </c>
      <c r="Y251" s="270"/>
    </row>
    <row r="252" spans="1:25">
      <c r="A252" s="241" t="s">
        <v>938</v>
      </c>
      <c r="B252" s="241" t="s">
        <v>3375</v>
      </c>
      <c r="C252" s="241" t="s">
        <v>938</v>
      </c>
      <c r="D252" s="242">
        <v>0.1</v>
      </c>
      <c r="E252" s="242">
        <v>0.12</v>
      </c>
      <c r="F252" s="242">
        <v>0.13</v>
      </c>
      <c r="G252" s="242">
        <v>0.23</v>
      </c>
      <c r="H252" s="242">
        <v>0.41</v>
      </c>
      <c r="I252" s="242">
        <v>0.57999999999999996</v>
      </c>
      <c r="J252" s="242">
        <v>0.56000000000000005</v>
      </c>
      <c r="K252" s="242">
        <v>0.38</v>
      </c>
      <c r="L252" s="242">
        <v>0.49</v>
      </c>
      <c r="M252" s="242">
        <v>0.52</v>
      </c>
      <c r="N252" s="242">
        <v>0.48</v>
      </c>
      <c r="O252" s="242">
        <v>0.33</v>
      </c>
      <c r="P252" s="241" t="s">
        <v>3345</v>
      </c>
      <c r="Q252" s="241" t="s">
        <v>3347</v>
      </c>
      <c r="R252" s="243" t="s">
        <v>4562</v>
      </c>
      <c r="S252" s="270">
        <f t="shared" si="9"/>
        <v>30436</v>
      </c>
      <c r="T252" s="270"/>
      <c r="U252" s="270">
        <f>IFERROR(VLOOKUP($A252,GeneratingCapabilityList!$E$7:$O$1673,11,FALSE),"ID Not Found")</f>
        <v>30436</v>
      </c>
      <c r="V252" s="271" t="str">
        <f>IFERROR(VLOOKUP($A252,GeneratingCapabilityList!$E$7:$O$1673,6,FALSE),"UNKNOWN")</f>
        <v>HYDRO</v>
      </c>
      <c r="W252" s="271">
        <f>IFERROR(VLOOKUP($A252,GeneratingCapabilityList!$E$7:$O$1673,3,FALSE),"ID Not Found")</f>
        <v>0.6</v>
      </c>
      <c r="Y252" s="270"/>
    </row>
    <row r="253" spans="1:25">
      <c r="A253" s="241" t="s">
        <v>510</v>
      </c>
      <c r="B253" s="241" t="s">
        <v>3375</v>
      </c>
      <c r="C253" s="241" t="s">
        <v>3502</v>
      </c>
      <c r="D253" s="242">
        <v>14.44</v>
      </c>
      <c r="E253" s="242">
        <v>14.45</v>
      </c>
      <c r="F253" s="242">
        <v>14.88</v>
      </c>
      <c r="G253" s="242">
        <v>15.41</v>
      </c>
      <c r="H253" s="242">
        <v>16.350000000000001</v>
      </c>
      <c r="I253" s="242">
        <v>17.16</v>
      </c>
      <c r="J253" s="242">
        <v>16.829999999999998</v>
      </c>
      <c r="K253" s="242">
        <v>16.010000000000002</v>
      </c>
      <c r="L253" s="242">
        <v>14.99</v>
      </c>
      <c r="M253" s="242">
        <v>14.24</v>
      </c>
      <c r="N253" s="242">
        <v>14.2</v>
      </c>
      <c r="O253" s="242">
        <v>14.24</v>
      </c>
      <c r="P253" s="241" t="s">
        <v>3345</v>
      </c>
      <c r="Q253" s="241" t="s">
        <v>3347</v>
      </c>
      <c r="R253" s="243" t="s">
        <v>4561</v>
      </c>
      <c r="S253" s="270">
        <f t="shared" si="9"/>
        <v>24108</v>
      </c>
      <c r="T253" s="270"/>
      <c r="U253" s="270">
        <f>IFERROR(VLOOKUP($A253,GeneratingCapabilityList!$E$7:$O$1673,11,FALSE),"ID Not Found")</f>
        <v>24108</v>
      </c>
      <c r="V253" s="271" t="str">
        <f>IFERROR(VLOOKUP($A253,GeneratingCapabilityList!$E$7:$O$1673,6,FALSE),"UNKNOWN")</f>
        <v>HYDRO</v>
      </c>
      <c r="W253" s="271">
        <f>IFERROR(VLOOKUP($A253,GeneratingCapabilityList!$E$7:$O$1673,3,FALSE),"ID Not Found")</f>
        <v>18</v>
      </c>
      <c r="Y253" s="270"/>
    </row>
    <row r="254" spans="1:25">
      <c r="A254" s="241" t="s">
        <v>458</v>
      </c>
      <c r="B254" s="241" t="s">
        <v>3375</v>
      </c>
      <c r="C254" s="241" t="s">
        <v>3503</v>
      </c>
      <c r="D254" s="242">
        <v>37.5</v>
      </c>
      <c r="E254" s="242">
        <v>37.5</v>
      </c>
      <c r="F254" s="242">
        <v>37.5</v>
      </c>
      <c r="G254" s="242">
        <v>37.5</v>
      </c>
      <c r="H254" s="242">
        <v>37.5</v>
      </c>
      <c r="I254" s="242">
        <v>37.5</v>
      </c>
      <c r="J254" s="242">
        <v>37.5</v>
      </c>
      <c r="K254" s="242">
        <v>37.5</v>
      </c>
      <c r="L254" s="242">
        <v>37.5</v>
      </c>
      <c r="M254" s="242">
        <v>37.5</v>
      </c>
      <c r="N254" s="242">
        <v>37.5</v>
      </c>
      <c r="O254" s="242">
        <v>37.5</v>
      </c>
      <c r="P254" s="241" t="s">
        <v>3345</v>
      </c>
      <c r="Q254" s="241" t="s">
        <v>3347</v>
      </c>
      <c r="R254" s="243" t="s">
        <v>4561</v>
      </c>
      <c r="S254" s="270">
        <f t="shared" si="9"/>
        <v>23012</v>
      </c>
      <c r="T254" s="270"/>
      <c r="U254" s="270">
        <f>IFERROR(VLOOKUP($A254,GeneratingCapabilityList!$E$7:$O$1673,11,FALSE),"ID Not Found")</f>
        <v>23012</v>
      </c>
      <c r="V254" s="271" t="str">
        <f>IFERROR(VLOOKUP($A254,GeneratingCapabilityList!$E$7:$O$1673,6,FALSE),"UNKNOWN")</f>
        <v>HYDRO</v>
      </c>
      <c r="W254" s="271">
        <f>IFERROR(VLOOKUP($A254,GeneratingCapabilityList!$E$7:$O$1673,3,FALSE),"ID Not Found")</f>
        <v>39</v>
      </c>
      <c r="Y254" s="270"/>
    </row>
    <row r="255" spans="1:25">
      <c r="A255" s="241" t="s">
        <v>2107</v>
      </c>
      <c r="B255" s="241" t="s">
        <v>3361</v>
      </c>
      <c r="C255" s="241" t="s">
        <v>3504</v>
      </c>
      <c r="D255" s="242">
        <v>5.94</v>
      </c>
      <c r="E255" s="242">
        <v>10.81</v>
      </c>
      <c r="F255" s="242">
        <v>13.15</v>
      </c>
      <c r="G255" s="242">
        <v>14.01</v>
      </c>
      <c r="H255" s="242">
        <v>12.03</v>
      </c>
      <c r="I255" s="242">
        <v>10.41</v>
      </c>
      <c r="J255" s="242">
        <v>2.73</v>
      </c>
      <c r="K255" s="242">
        <v>0</v>
      </c>
      <c r="L255" s="242">
        <v>0</v>
      </c>
      <c r="M255" s="242">
        <v>0.14000000000000001</v>
      </c>
      <c r="N255" s="242">
        <v>1.47</v>
      </c>
      <c r="O255" s="242">
        <v>8.42</v>
      </c>
      <c r="P255" s="241" t="s">
        <v>3345</v>
      </c>
      <c r="Q255" s="241" t="s">
        <v>3347</v>
      </c>
      <c r="R255" s="243" t="s">
        <v>4562</v>
      </c>
      <c r="S255" s="270">
        <f t="shared" si="9"/>
        <v>33679</v>
      </c>
      <c r="T255" s="270"/>
      <c r="U255" s="270">
        <f>IFERROR(VLOOKUP($A255,GeneratingCapabilityList!$E$7:$O$1673,11,FALSE),"ID Not Found")</f>
        <v>33679</v>
      </c>
      <c r="V255" s="271" t="str">
        <f>IFERROR(VLOOKUP($A255,GeneratingCapabilityList!$E$7:$O$1673,6,FALSE),"UNKNOWN")</f>
        <v>HYDRO</v>
      </c>
      <c r="W255" s="271">
        <f>IFERROR(VLOOKUP($A255,GeneratingCapabilityList!$E$7:$O$1673,3,FALSE),"ID Not Found")</f>
        <v>14.3</v>
      </c>
      <c r="Y255" s="270"/>
    </row>
    <row r="256" spans="1:25">
      <c r="A256" s="241" t="s">
        <v>1197</v>
      </c>
      <c r="B256" s="241" t="s">
        <v>3349</v>
      </c>
      <c r="C256" s="241" t="s">
        <v>1198</v>
      </c>
      <c r="D256" s="242">
        <v>2.0699999999999998</v>
      </c>
      <c r="E256" s="242">
        <v>6.26</v>
      </c>
      <c r="F256" s="242">
        <v>7.02</v>
      </c>
      <c r="G256" s="242">
        <v>7.06</v>
      </c>
      <c r="H256" s="242">
        <v>6.56</v>
      </c>
      <c r="I256" s="242">
        <v>18.32</v>
      </c>
      <c r="J256" s="242">
        <v>25.12</v>
      </c>
      <c r="K256" s="242">
        <v>19.53</v>
      </c>
      <c r="L256" s="242">
        <v>11.88</v>
      </c>
      <c r="M256" s="242">
        <v>6.9</v>
      </c>
      <c r="N256" s="242">
        <v>2.23</v>
      </c>
      <c r="O256" s="242">
        <v>1.03</v>
      </c>
      <c r="P256" s="241" t="s">
        <v>3345</v>
      </c>
      <c r="Q256" s="241" t="s">
        <v>3347</v>
      </c>
      <c r="R256" s="243" t="s">
        <v>4562</v>
      </c>
      <c r="S256" s="270">
        <f t="shared" si="9"/>
        <v>31153</v>
      </c>
      <c r="T256" s="270"/>
      <c r="U256" s="270">
        <f>IFERROR(VLOOKUP($A256,GeneratingCapabilityList!$E$7:$O$1673,11,FALSE),"ID Not Found")</f>
        <v>31153</v>
      </c>
      <c r="V256" s="271" t="str">
        <f>IFERROR(VLOOKUP($A256,GeneratingCapabilityList!$E$7:$O$1673,6,FALSE),"UNKNOWN")</f>
        <v>HYDRO</v>
      </c>
      <c r="W256" s="271">
        <f>IFERROR(VLOOKUP($A256,GeneratingCapabilityList!$E$7:$O$1673,3,FALSE),"ID Not Found")</f>
        <v>33.700000000000003</v>
      </c>
      <c r="Y256" s="270"/>
    </row>
    <row r="257" spans="1:25">
      <c r="A257" s="241" t="s">
        <v>1299</v>
      </c>
      <c r="B257" s="241" t="s">
        <v>3370</v>
      </c>
      <c r="C257" s="241" t="s">
        <v>3505</v>
      </c>
      <c r="D257" s="242">
        <v>0.08</v>
      </c>
      <c r="E257" s="242">
        <v>0.09</v>
      </c>
      <c r="F257" s="242">
        <v>0.08</v>
      </c>
      <c r="G257" s="242">
        <v>0.09</v>
      </c>
      <c r="H257" s="242">
        <v>0.08</v>
      </c>
      <c r="I257" s="242">
        <v>0.08</v>
      </c>
      <c r="J257" s="242">
        <v>0.06</v>
      </c>
      <c r="K257" s="242">
        <v>0.08</v>
      </c>
      <c r="L257" s="242">
        <v>7.0000000000000007E-2</v>
      </c>
      <c r="M257" s="242">
        <v>0.06</v>
      </c>
      <c r="N257" s="242">
        <v>0.08</v>
      </c>
      <c r="O257" s="242">
        <v>0.08</v>
      </c>
      <c r="P257" s="241" t="s">
        <v>3345</v>
      </c>
      <c r="Q257" s="241" t="s">
        <v>3347</v>
      </c>
      <c r="R257" s="243" t="s">
        <v>4562</v>
      </c>
      <c r="S257" s="270">
        <f t="shared" si="9"/>
        <v>31413</v>
      </c>
      <c r="T257" s="270"/>
      <c r="U257" s="270">
        <f>IFERROR(VLOOKUP($A257,GeneratingCapabilityList!$E$7:$O$1673,11,FALSE),"ID Not Found")</f>
        <v>31413</v>
      </c>
      <c r="V257" s="271" t="str">
        <f>IFERROR(VLOOKUP($A257,GeneratingCapabilityList!$E$7:$O$1673,6,FALSE),"UNKNOWN")</f>
        <v>COGENERATION</v>
      </c>
      <c r="W257" s="271">
        <f>IFERROR(VLOOKUP($A257,GeneratingCapabilityList!$E$7:$O$1673,3,FALSE),"ID Not Found")</f>
        <v>6.9</v>
      </c>
      <c r="Y257" s="270"/>
    </row>
    <row r="258" spans="1:25">
      <c r="A258" s="241" t="s">
        <v>3201</v>
      </c>
      <c r="B258" s="241" t="s">
        <v>3373</v>
      </c>
      <c r="C258" s="241" t="s">
        <v>3201</v>
      </c>
      <c r="D258" s="249" t="s">
        <v>4573</v>
      </c>
      <c r="E258" s="249" t="s">
        <v>4573</v>
      </c>
      <c r="F258" s="249" t="s">
        <v>4573</v>
      </c>
      <c r="G258" s="249" t="s">
        <v>4573</v>
      </c>
      <c r="H258" s="249" t="s">
        <v>4573</v>
      </c>
      <c r="I258" s="249" t="s">
        <v>4573</v>
      </c>
      <c r="J258" s="249" t="s">
        <v>4573</v>
      </c>
      <c r="K258" s="249" t="s">
        <v>4573</v>
      </c>
      <c r="L258" s="249" t="s">
        <v>4573</v>
      </c>
      <c r="M258" s="249" t="s">
        <v>4573</v>
      </c>
      <c r="N258" s="249" t="s">
        <v>4573</v>
      </c>
      <c r="O258" s="249" t="s">
        <v>4573</v>
      </c>
      <c r="P258" s="241" t="s">
        <v>3345</v>
      </c>
      <c r="Q258" s="241" t="s">
        <v>3385</v>
      </c>
      <c r="R258" s="246" t="s">
        <v>4561</v>
      </c>
      <c r="S258" s="270">
        <f t="shared" si="9"/>
        <v>14611</v>
      </c>
      <c r="T258" s="270"/>
      <c r="U258" s="270">
        <f>IFERROR(VLOOKUP($A258,GeneratingCapabilityList!$E$7:$O$1673,11,FALSE),"ID Not Found")</f>
        <v>14611</v>
      </c>
      <c r="V258" s="271" t="str">
        <f>IFERROR(VLOOKUP($A258,GeneratingCapabilityList!$E$7:$O$1673,6,FALSE),"UNKNOWN")</f>
        <v>HYDRO</v>
      </c>
      <c r="W258" s="271">
        <f>IFERROR(VLOOKUP($A258,GeneratingCapabilityList!$E$7:$O$1673,3,FALSE),"ID Not Found")</f>
        <v>6.2</v>
      </c>
      <c r="Y258" s="270"/>
    </row>
    <row r="259" spans="1:25">
      <c r="A259" s="245" t="s">
        <v>3052</v>
      </c>
      <c r="B259" s="247" t="s">
        <v>3384</v>
      </c>
      <c r="C259" s="245" t="s">
        <v>3053</v>
      </c>
      <c r="D259" s="249" t="s">
        <v>4573</v>
      </c>
      <c r="E259" s="249" t="s">
        <v>4573</v>
      </c>
      <c r="F259" s="249" t="s">
        <v>4573</v>
      </c>
      <c r="G259" s="249" t="s">
        <v>4573</v>
      </c>
      <c r="H259" s="249" t="s">
        <v>4573</v>
      </c>
      <c r="I259" s="249" t="s">
        <v>4573</v>
      </c>
      <c r="J259" s="249" t="s">
        <v>4573</v>
      </c>
      <c r="K259" s="249" t="s">
        <v>4573</v>
      </c>
      <c r="L259" s="249" t="s">
        <v>4573</v>
      </c>
      <c r="M259" s="249" t="s">
        <v>4573</v>
      </c>
      <c r="N259" s="249" t="s">
        <v>4573</v>
      </c>
      <c r="O259" s="249" t="s">
        <v>4573</v>
      </c>
      <c r="P259" s="245" t="s">
        <v>3345</v>
      </c>
      <c r="Q259" s="245" t="s">
        <v>3385</v>
      </c>
      <c r="R259" s="246" t="s">
        <v>4562</v>
      </c>
      <c r="S259" s="270">
        <f t="shared" si="9"/>
        <v>40848</v>
      </c>
      <c r="T259" s="270"/>
      <c r="U259" s="270">
        <f>IFERROR(VLOOKUP($A259,GeneratingCapabilityList!$E$7:$O$1673,11,FALSE),"ID Not Found")</f>
        <v>40848</v>
      </c>
      <c r="V259" s="271" t="str">
        <f>IFERROR(VLOOKUP($A259,GeneratingCapabilityList!$E$7:$O$1673,6,FALSE),"UNKNOWN")</f>
        <v>HYDRO</v>
      </c>
      <c r="W259" s="271">
        <f>IFERROR(VLOOKUP($A259,GeneratingCapabilityList!$E$7:$O$1673,3,FALSE),"ID Not Found")</f>
        <v>1.63</v>
      </c>
      <c r="Y259" s="270"/>
    </row>
    <row r="260" spans="1:25">
      <c r="A260" s="241" t="s">
        <v>3214</v>
      </c>
      <c r="B260" s="241" t="s">
        <v>3384</v>
      </c>
      <c r="C260" s="241" t="s">
        <v>3214</v>
      </c>
      <c r="D260" s="242">
        <v>1.01</v>
      </c>
      <c r="E260" s="242">
        <v>1.02</v>
      </c>
      <c r="F260" s="242">
        <v>1.0900000000000001</v>
      </c>
      <c r="G260" s="242">
        <v>1.08</v>
      </c>
      <c r="H260" s="242">
        <v>1.05</v>
      </c>
      <c r="I260" s="242">
        <v>0.98</v>
      </c>
      <c r="J260" s="242">
        <v>0.65</v>
      </c>
      <c r="K260" s="242">
        <v>0.5</v>
      </c>
      <c r="L260" s="242">
        <v>0.36</v>
      </c>
      <c r="M260" s="242">
        <v>0.33</v>
      </c>
      <c r="N260" s="242">
        <v>0.22</v>
      </c>
      <c r="O260" s="242">
        <v>0.53</v>
      </c>
      <c r="P260" s="241" t="s">
        <v>3345</v>
      </c>
      <c r="Q260" s="241" t="s">
        <v>3347</v>
      </c>
      <c r="R260" s="243" t="s">
        <v>4562</v>
      </c>
      <c r="S260" s="270">
        <f t="shared" si="9"/>
        <v>31044</v>
      </c>
      <c r="T260" s="270"/>
      <c r="U260" s="270">
        <f>IFERROR(VLOOKUP($A260,GeneratingCapabilityList!$E$7:$O$1673,11,FALSE),"ID Not Found")</f>
        <v>31044</v>
      </c>
      <c r="V260" s="271" t="str">
        <f>IFERROR(VLOOKUP($A260,GeneratingCapabilityList!$E$7:$O$1673,6,FALSE),"UNKNOWN")</f>
        <v>HYDRO</v>
      </c>
      <c r="W260" s="271">
        <f>IFERROR(VLOOKUP($A260,GeneratingCapabilityList!$E$7:$O$1673,3,FALSE),"ID Not Found")</f>
        <v>1.6</v>
      </c>
      <c r="Y260" s="270"/>
    </row>
    <row r="261" spans="1:25">
      <c r="A261" s="241" t="s">
        <v>884</v>
      </c>
      <c r="B261" s="241" t="s">
        <v>3346</v>
      </c>
      <c r="C261" s="241" t="s">
        <v>3506</v>
      </c>
      <c r="D261" s="242">
        <v>0.2</v>
      </c>
      <c r="E261" s="242">
        <v>0.25</v>
      </c>
      <c r="F261" s="242">
        <v>0.19</v>
      </c>
      <c r="G261" s="242">
        <v>0.18</v>
      </c>
      <c r="H261" s="242">
        <v>0.21</v>
      </c>
      <c r="I261" s="242">
        <v>0.16</v>
      </c>
      <c r="J261" s="242">
        <v>0.11</v>
      </c>
      <c r="K261" s="242">
        <v>0.08</v>
      </c>
      <c r="L261" s="242">
        <v>7.0000000000000007E-2</v>
      </c>
      <c r="M261" s="242">
        <v>0.1</v>
      </c>
      <c r="N261" s="242">
        <v>0.1</v>
      </c>
      <c r="O261" s="242">
        <v>0.19</v>
      </c>
      <c r="P261" s="241" t="s">
        <v>3345</v>
      </c>
      <c r="Q261" s="241" t="s">
        <v>3347</v>
      </c>
      <c r="R261" s="243" t="s">
        <v>4562</v>
      </c>
      <c r="S261" s="270">
        <f t="shared" si="9"/>
        <v>30317</v>
      </c>
      <c r="T261" s="270"/>
      <c r="U261" s="270">
        <f>IFERROR(VLOOKUP($A261,GeneratingCapabilityList!$E$7:$O$1673,11,FALSE),"ID Not Found")</f>
        <v>30317</v>
      </c>
      <c r="V261" s="271" t="str">
        <f>IFERROR(VLOOKUP($A261,GeneratingCapabilityList!$E$7:$O$1673,6,FALSE),"UNKNOWN")</f>
        <v>HYDRO</v>
      </c>
      <c r="W261" s="271">
        <f>IFERROR(VLOOKUP($A261,GeneratingCapabilityList!$E$7:$O$1673,3,FALSE),"ID Not Found")</f>
        <v>1.05</v>
      </c>
      <c r="Y261" s="270"/>
    </row>
    <row r="262" spans="1:25">
      <c r="A262" s="241" t="s">
        <v>1023</v>
      </c>
      <c r="B262" s="241" t="s">
        <v>3361</v>
      </c>
      <c r="C262" s="241" t="s">
        <v>1024</v>
      </c>
      <c r="D262" s="242">
        <v>0</v>
      </c>
      <c r="E262" s="242">
        <v>0.02</v>
      </c>
      <c r="F262" s="242">
        <v>0.3</v>
      </c>
      <c r="G262" s="242">
        <v>2.62</v>
      </c>
      <c r="H262" s="242">
        <v>6.1</v>
      </c>
      <c r="I262" s="242">
        <v>10.62</v>
      </c>
      <c r="J262" s="242">
        <v>7.38</v>
      </c>
      <c r="K262" s="242">
        <v>7.36</v>
      </c>
      <c r="L262" s="242">
        <v>6.7</v>
      </c>
      <c r="M262" s="242">
        <v>1.31</v>
      </c>
      <c r="N262" s="242">
        <v>0.02</v>
      </c>
      <c r="O262" s="242">
        <v>0</v>
      </c>
      <c r="P262" s="241" t="s">
        <v>3352</v>
      </c>
      <c r="Q262" s="241" t="s">
        <v>3347</v>
      </c>
      <c r="R262" s="243" t="s">
        <v>4562</v>
      </c>
      <c r="S262" s="270">
        <f t="shared" si="9"/>
        <v>30682</v>
      </c>
      <c r="T262" s="270"/>
      <c r="U262" s="270">
        <f>IFERROR(VLOOKUP($A262,GeneratingCapabilityList!$E$7:$O$1673,11,FALSE),"ID Not Found")</f>
        <v>30682</v>
      </c>
      <c r="V262" s="271" t="str">
        <f>IFERROR(VLOOKUP($A262,GeneratingCapabilityList!$E$7:$O$1673,6,FALSE),"UNKNOWN")</f>
        <v>SOLAR</v>
      </c>
      <c r="W262" s="271">
        <f>IFERROR(VLOOKUP($A262,GeneratingCapabilityList!$E$7:$O$1673,3,FALSE),"ID Not Found")</f>
        <v>14.2</v>
      </c>
      <c r="Y262" s="270"/>
    </row>
    <row r="263" spans="1:25">
      <c r="A263" s="241" t="s">
        <v>4610</v>
      </c>
      <c r="B263" s="245" t="s">
        <v>3327</v>
      </c>
      <c r="C263" s="241" t="s">
        <v>4611</v>
      </c>
      <c r="D263" s="249" t="s">
        <v>4573</v>
      </c>
      <c r="E263" s="249" t="s">
        <v>4573</v>
      </c>
      <c r="F263" s="249" t="s">
        <v>4573</v>
      </c>
      <c r="G263" s="249" t="s">
        <v>4573</v>
      </c>
      <c r="H263" s="249" t="s">
        <v>4573</v>
      </c>
      <c r="I263" s="249" t="s">
        <v>4573</v>
      </c>
      <c r="J263" s="249" t="s">
        <v>4573</v>
      </c>
      <c r="K263" s="249" t="s">
        <v>4573</v>
      </c>
      <c r="L263" s="249" t="s">
        <v>4573</v>
      </c>
      <c r="M263" s="249" t="s">
        <v>4573</v>
      </c>
      <c r="N263" s="249" t="s">
        <v>4573</v>
      </c>
      <c r="O263" s="249" t="s">
        <v>4573</v>
      </c>
      <c r="P263" s="245" t="s">
        <v>3352</v>
      </c>
      <c r="Q263" s="245" t="s">
        <v>3385</v>
      </c>
      <c r="R263" s="243" t="s">
        <v>4562</v>
      </c>
      <c r="S263" s="270">
        <f t="shared" si="9"/>
        <v>41215</v>
      </c>
      <c r="T263" s="270"/>
      <c r="U263" s="270">
        <f>IFERROR(VLOOKUP($A263,GeneratingCapabilityList!$E$7:$O$1673,11,FALSE),"ID Not Found")</f>
        <v>41215</v>
      </c>
      <c r="V263" s="271" t="str">
        <f>IFERROR(VLOOKUP($A263,GeneratingCapabilityList!$E$7:$O$1673,6,FALSE),"UNKNOWN")</f>
        <v>SOLAR</v>
      </c>
      <c r="W263" s="271">
        <f>IFERROR(VLOOKUP($A263,GeneratingCapabilityList!$E$7:$O$1673,3,FALSE),"ID Not Found")</f>
        <v>4</v>
      </c>
      <c r="Y263" s="270"/>
    </row>
    <row r="264" spans="1:25">
      <c r="A264" s="241" t="s">
        <v>3152</v>
      </c>
      <c r="B264" s="241" t="s">
        <v>3327</v>
      </c>
      <c r="C264" s="241" t="s">
        <v>3507</v>
      </c>
      <c r="D264" s="242">
        <v>0.36</v>
      </c>
      <c r="E264" s="242">
        <v>1.19</v>
      </c>
      <c r="F264" s="242">
        <v>3.24</v>
      </c>
      <c r="G264" s="242">
        <v>2.2400000000000002</v>
      </c>
      <c r="H264" s="242">
        <v>4.34</v>
      </c>
      <c r="I264" s="242">
        <v>4.72</v>
      </c>
      <c r="J264" s="242">
        <v>3.82</v>
      </c>
      <c r="K264" s="242">
        <v>2.68</v>
      </c>
      <c r="L264" s="242">
        <v>1.24</v>
      </c>
      <c r="M264" s="242">
        <v>1.29</v>
      </c>
      <c r="N264" s="242">
        <v>1.43</v>
      </c>
      <c r="O264" s="242">
        <v>0.54</v>
      </c>
      <c r="P264" s="241" t="s">
        <v>3352</v>
      </c>
      <c r="Q264" s="241" t="s">
        <v>3347</v>
      </c>
      <c r="R264" s="243" t="s">
        <v>4562</v>
      </c>
      <c r="S264" s="270">
        <f>Scenarios!$B$55</f>
        <v>36526</v>
      </c>
      <c r="T264" s="270" t="s">
        <v>4798</v>
      </c>
      <c r="U264" s="270" t="str">
        <f>IFERROR(VLOOKUP($A264,GeneratingCapabilityList!$E$7:$O$1673,11,FALSE),"ID Not Found")</f>
        <v>UNK</v>
      </c>
      <c r="V264" s="271" t="str">
        <f>IFERROR(VLOOKUP($A264,GeneratingCapabilityList!$E$7:$O$1673,6,FALSE),"UNKNOWN")</f>
        <v>WIND</v>
      </c>
      <c r="W264" s="271">
        <f>IFERROR(VLOOKUP($A264,GeneratingCapabilityList!$E$7:$O$1673,3,FALSE),"ID Not Found")</f>
        <v>16.5</v>
      </c>
      <c r="Y264" s="270"/>
    </row>
    <row r="265" spans="1:25">
      <c r="A265" s="241" t="s">
        <v>2897</v>
      </c>
      <c r="B265" s="241" t="s">
        <v>3327</v>
      </c>
      <c r="C265" s="241" t="s">
        <v>2898</v>
      </c>
      <c r="D265" s="242">
        <v>0.13</v>
      </c>
      <c r="E265" s="242">
        <v>0.53</v>
      </c>
      <c r="F265" s="242">
        <v>1.43</v>
      </c>
      <c r="G265" s="242">
        <v>0.56000000000000005</v>
      </c>
      <c r="H265" s="242">
        <v>0.87</v>
      </c>
      <c r="I265" s="242">
        <v>2.72</v>
      </c>
      <c r="J265" s="242">
        <v>1.05</v>
      </c>
      <c r="K265" s="242">
        <v>0.38</v>
      </c>
      <c r="L265" s="242">
        <v>0.21</v>
      </c>
      <c r="M265" s="242">
        <v>0.39</v>
      </c>
      <c r="N265" s="242">
        <v>0.41</v>
      </c>
      <c r="O265" s="242">
        <v>0.21</v>
      </c>
      <c r="P265" s="241" t="s">
        <v>3352</v>
      </c>
      <c r="Q265" s="241" t="s">
        <v>3347</v>
      </c>
      <c r="R265" s="243" t="s">
        <v>4562</v>
      </c>
      <c r="S265" s="270">
        <f t="shared" ref="S265:S291" si="10">U265</f>
        <v>39966</v>
      </c>
      <c r="T265" s="270"/>
      <c r="U265" s="270">
        <f>IFERROR(VLOOKUP($A265,GeneratingCapabilityList!$E$7:$O$1673,11,FALSE),"ID Not Found")</f>
        <v>39966</v>
      </c>
      <c r="V265" s="271" t="str">
        <f>IFERROR(VLOOKUP($A265,GeneratingCapabilityList!$E$7:$O$1673,6,FALSE),"UNKNOWN")</f>
        <v>WIND</v>
      </c>
      <c r="W265" s="271">
        <f>IFERROR(VLOOKUP($A265,GeneratingCapabilityList!$E$7:$O$1673,3,FALSE),"ID Not Found")</f>
        <v>6.5</v>
      </c>
      <c r="Y265" s="270"/>
    </row>
    <row r="266" spans="1:25">
      <c r="A266" s="241" t="s">
        <v>4612</v>
      </c>
      <c r="B266" s="241" t="s">
        <v>3327</v>
      </c>
      <c r="C266" s="241" t="s">
        <v>4613</v>
      </c>
      <c r="D266" s="242">
        <v>0.48</v>
      </c>
      <c r="E266" s="242">
        <v>2.48</v>
      </c>
      <c r="F266" s="242">
        <v>5.25</v>
      </c>
      <c r="G266" s="242">
        <v>4.58</v>
      </c>
      <c r="H266" s="242">
        <v>7.88</v>
      </c>
      <c r="I266" s="242">
        <v>8.61</v>
      </c>
      <c r="J266" s="242">
        <v>4.3899999999999997</v>
      </c>
      <c r="K266" s="242">
        <v>3.6</v>
      </c>
      <c r="L266" s="242">
        <v>1.72</v>
      </c>
      <c r="M266" s="242">
        <v>1.83</v>
      </c>
      <c r="N266" s="242">
        <v>1.58</v>
      </c>
      <c r="O266" s="242">
        <v>1.41</v>
      </c>
      <c r="P266" s="241" t="s">
        <v>3352</v>
      </c>
      <c r="Q266" s="241" t="s">
        <v>3347</v>
      </c>
      <c r="R266" s="243" t="s">
        <v>4562</v>
      </c>
      <c r="S266" s="270">
        <f>Scenarios!$B$55</f>
        <v>36526</v>
      </c>
      <c r="T266" s="270" t="s">
        <v>4798</v>
      </c>
      <c r="U266" s="270" t="str">
        <f>IFERROR(VLOOKUP($A266,GeneratingCapabilityList!$E$7:$O$1673,11,FALSE),"ID Not Found")</f>
        <v>ID Not Found</v>
      </c>
      <c r="V266" s="271" t="str">
        <f>IFERROR(VLOOKUP($A266,GeneratingCapabilityList!$E$7:$O$1673,6,FALSE),"UNKNOWN")</f>
        <v>UNKNOWN</v>
      </c>
      <c r="W266" s="271" t="str">
        <f>IFERROR(VLOOKUP($A266,GeneratingCapabilityList!$E$7:$O$1673,3,FALSE),"ID Not Found")</f>
        <v>ID Not Found</v>
      </c>
      <c r="Y266" s="270"/>
    </row>
    <row r="267" spans="1:25">
      <c r="A267" s="241" t="s">
        <v>4522</v>
      </c>
      <c r="B267" s="245" t="s">
        <v>3327</v>
      </c>
      <c r="C267" s="241" t="s">
        <v>4523</v>
      </c>
      <c r="D267" s="249" t="s">
        <v>4573</v>
      </c>
      <c r="E267" s="249" t="s">
        <v>4573</v>
      </c>
      <c r="F267" s="249" t="s">
        <v>4573</v>
      </c>
      <c r="G267" s="249" t="s">
        <v>4573</v>
      </c>
      <c r="H267" s="249" t="s">
        <v>4573</v>
      </c>
      <c r="I267" s="249" t="s">
        <v>4573</v>
      </c>
      <c r="J267" s="249" t="s">
        <v>4573</v>
      </c>
      <c r="K267" s="249" t="s">
        <v>4573</v>
      </c>
      <c r="L267" s="249" t="s">
        <v>4573</v>
      </c>
      <c r="M267" s="249" t="s">
        <v>4573</v>
      </c>
      <c r="N267" s="249" t="s">
        <v>4573</v>
      </c>
      <c r="O267" s="249" t="s">
        <v>4573</v>
      </c>
      <c r="P267" s="245" t="s">
        <v>3352</v>
      </c>
      <c r="Q267" s="245" t="s">
        <v>3385</v>
      </c>
      <c r="R267" s="243" t="s">
        <v>4562</v>
      </c>
      <c r="S267" s="270">
        <f t="shared" si="10"/>
        <v>41264</v>
      </c>
      <c r="T267" s="270"/>
      <c r="U267" s="270">
        <f>IFERROR(VLOOKUP($A267,GeneratingCapabilityList!$E$7:$O$1673,11,FALSE),"ID Not Found")</f>
        <v>41264</v>
      </c>
      <c r="V267" s="271" t="str">
        <f>IFERROR(VLOOKUP($A267,GeneratingCapabilityList!$E$7:$O$1673,6,FALSE),"UNKNOWN")</f>
        <v>WIND</v>
      </c>
      <c r="W267" s="271">
        <f>IFERROR(VLOOKUP($A267,GeneratingCapabilityList!$E$7:$O$1673,3,FALSE),"ID Not Found")</f>
        <v>6</v>
      </c>
      <c r="Y267" s="270"/>
    </row>
    <row r="268" spans="1:25">
      <c r="A268" s="244" t="s">
        <v>4729</v>
      </c>
      <c r="B268" s="242" t="s">
        <v>3361</v>
      </c>
      <c r="C268" s="249" t="s">
        <v>4730</v>
      </c>
      <c r="D268" s="249">
        <v>0.16877173753959357</v>
      </c>
      <c r="E268" s="249">
        <v>1.5962804116120113</v>
      </c>
      <c r="F268" s="249">
        <v>3.7229130601825107</v>
      </c>
      <c r="G268" s="249">
        <v>12.037188803879566</v>
      </c>
      <c r="H268" s="249">
        <v>14.689627871413931</v>
      </c>
      <c r="I268" s="249">
        <v>17.347136879379306</v>
      </c>
      <c r="J268" s="249">
        <v>16.962300947020868</v>
      </c>
      <c r="K268" s="249">
        <v>16.289081898889542</v>
      </c>
      <c r="L268" s="249">
        <v>14.823805988776535</v>
      </c>
      <c r="M268" s="249">
        <v>9.3663127893615101</v>
      </c>
      <c r="N268" s="249">
        <v>1.2956176862513553</v>
      </c>
      <c r="O268" s="249">
        <v>0.54262219785377686</v>
      </c>
      <c r="P268" s="241" t="s">
        <v>3345</v>
      </c>
      <c r="Q268" s="245"/>
      <c r="R268" s="243"/>
      <c r="S268" s="270">
        <f t="shared" si="10"/>
        <v>41449</v>
      </c>
      <c r="T268" s="270"/>
      <c r="U268" s="270">
        <f>IFERROR(VLOOKUP($A268,GeneratingCapabilityList!$E$7:$O$1673,11,FALSE),"ID Not Found")</f>
        <v>41449</v>
      </c>
      <c r="V268" s="271" t="str">
        <f>IFERROR(VLOOKUP($A268,GeneratingCapabilityList!$E$7:$O$1673,6,FALSE),"UNKNOWN")</f>
        <v>SOLAR</v>
      </c>
      <c r="W268" s="271">
        <f>IFERROR(VLOOKUP($A268,GeneratingCapabilityList!$E$7:$O$1673,3,FALSE),"ID Not Found")</f>
        <v>20</v>
      </c>
      <c r="Y268" s="270"/>
    </row>
    <row r="269" spans="1:25">
      <c r="A269" s="267" t="s">
        <v>4779</v>
      </c>
      <c r="B269" s="246" t="s">
        <v>3361</v>
      </c>
      <c r="C269" s="246" t="s">
        <v>4780</v>
      </c>
      <c r="D269" s="829" t="s">
        <v>4573</v>
      </c>
      <c r="E269" s="829" t="s">
        <v>4573</v>
      </c>
      <c r="F269" s="829" t="s">
        <v>4573</v>
      </c>
      <c r="G269" s="829" t="s">
        <v>4573</v>
      </c>
      <c r="H269" s="829" t="s">
        <v>4573</v>
      </c>
      <c r="I269" s="829" t="s">
        <v>4573</v>
      </c>
      <c r="J269" s="829" t="s">
        <v>4573</v>
      </c>
      <c r="K269" s="829" t="s">
        <v>4573</v>
      </c>
      <c r="L269" s="829" t="s">
        <v>4573</v>
      </c>
      <c r="M269" s="829" t="s">
        <v>4573</v>
      </c>
      <c r="N269" s="829" t="s">
        <v>4573</v>
      </c>
      <c r="O269" s="829" t="s">
        <v>4573</v>
      </c>
      <c r="P269" s="826" t="s">
        <v>3345</v>
      </c>
      <c r="Q269" s="246" t="s">
        <v>3385</v>
      </c>
      <c r="R269" s="246" t="s">
        <v>4562</v>
      </c>
      <c r="S269" s="270">
        <f t="shared" si="10"/>
        <v>41449</v>
      </c>
      <c r="T269" s="270"/>
      <c r="U269" s="270">
        <f>IFERROR(VLOOKUP($A269,GeneratingCapabilityList!$E$7:$O$1673,11,FALSE),"ID Not Found")</f>
        <v>41449</v>
      </c>
      <c r="V269" s="271" t="str">
        <f>IFERROR(VLOOKUP($A269,GeneratingCapabilityList!$E$7:$O$1673,6,FALSE),"UNKNOWN")</f>
        <v>SOLAR</v>
      </c>
      <c r="W269" s="271">
        <f>IFERROR(VLOOKUP($A269,GeneratingCapabilityList!$E$7:$O$1673,3,FALSE),"ID Not Found")</f>
        <v>10</v>
      </c>
      <c r="Y269" s="270"/>
    </row>
    <row r="270" spans="1:25">
      <c r="A270" s="241" t="s">
        <v>2748</v>
      </c>
      <c r="B270" s="241" t="s">
        <v>3349</v>
      </c>
      <c r="C270" s="241" t="s">
        <v>3508</v>
      </c>
      <c r="D270" s="242">
        <v>0</v>
      </c>
      <c r="E270" s="242">
        <v>0</v>
      </c>
      <c r="F270" s="242">
        <v>0</v>
      </c>
      <c r="G270" s="242">
        <v>0</v>
      </c>
      <c r="H270" s="242">
        <v>0</v>
      </c>
      <c r="I270" s="242">
        <v>0</v>
      </c>
      <c r="J270" s="242">
        <v>0</v>
      </c>
      <c r="K270" s="242">
        <v>0</v>
      </c>
      <c r="L270" s="242">
        <v>0</v>
      </c>
      <c r="M270" s="242">
        <v>0</v>
      </c>
      <c r="N270" s="242">
        <v>0</v>
      </c>
      <c r="O270" s="242">
        <v>0</v>
      </c>
      <c r="P270" s="241" t="s">
        <v>3345</v>
      </c>
      <c r="Q270" s="241" t="s">
        <v>3347</v>
      </c>
      <c r="R270" s="243" t="s">
        <v>4561</v>
      </c>
      <c r="S270" s="270">
        <f t="shared" si="10"/>
        <v>38567</v>
      </c>
      <c r="T270" s="270"/>
      <c r="U270" s="270">
        <f>IFERROR(VLOOKUP($A270,GeneratingCapabilityList!$E$7:$O$1673,11,FALSE),"ID Not Found")</f>
        <v>38567</v>
      </c>
      <c r="V270" s="271" t="str">
        <f>IFERROR(VLOOKUP($A270,GeneratingCapabilityList!$E$7:$O$1673,6,FALSE),"UNKNOWN")</f>
        <v>PEAKER</v>
      </c>
      <c r="W270" s="271">
        <f>IFERROR(VLOOKUP($A270,GeneratingCapabilityList!$E$7:$O$1673,3,FALSE),"ID Not Found")</f>
        <v>46</v>
      </c>
      <c r="Y270" s="270"/>
    </row>
    <row r="271" spans="1:25">
      <c r="A271" s="241" t="s">
        <v>2877</v>
      </c>
      <c r="B271" s="241" t="s">
        <v>3324</v>
      </c>
      <c r="C271" s="241" t="s">
        <v>3509</v>
      </c>
      <c r="D271" s="242">
        <v>579</v>
      </c>
      <c r="E271" s="242">
        <v>579</v>
      </c>
      <c r="F271" s="242">
        <v>579</v>
      </c>
      <c r="G271" s="242">
        <v>579</v>
      </c>
      <c r="H271" s="242">
        <v>579</v>
      </c>
      <c r="I271" s="242">
        <v>564</v>
      </c>
      <c r="J271" s="242">
        <v>560</v>
      </c>
      <c r="K271" s="242">
        <v>560</v>
      </c>
      <c r="L271" s="242">
        <v>564</v>
      </c>
      <c r="M271" s="242">
        <v>579</v>
      </c>
      <c r="N271" s="242">
        <v>579</v>
      </c>
      <c r="O271" s="242">
        <v>579</v>
      </c>
      <c r="P271" s="241" t="s">
        <v>3345</v>
      </c>
      <c r="Q271" s="241" t="s">
        <v>3347</v>
      </c>
      <c r="R271" s="243" t="s">
        <v>4561</v>
      </c>
      <c r="S271" s="270">
        <f t="shared" si="10"/>
        <v>39817</v>
      </c>
      <c r="T271" s="270"/>
      <c r="U271" s="270">
        <f>IFERROR(VLOOKUP($A271,GeneratingCapabilityList!$E$7:$O$1673,11,FALSE),"ID Not Found")</f>
        <v>39817</v>
      </c>
      <c r="V271" s="271" t="str">
        <f>IFERROR(VLOOKUP($A271,GeneratingCapabilityList!$E$7:$O$1673,6,FALSE),"UNKNOWN")</f>
        <v>THERMAL</v>
      </c>
      <c r="W271" s="271">
        <f>IFERROR(VLOOKUP($A271,GeneratingCapabilityList!$E$7:$O$1673,3,FALSE),"ID Not Found")</f>
        <v>590</v>
      </c>
      <c r="Y271" s="270"/>
    </row>
    <row r="272" spans="1:25">
      <c r="A272" s="241" t="s">
        <v>681</v>
      </c>
      <c r="B272" s="241" t="s">
        <v>3346</v>
      </c>
      <c r="C272" s="241" t="s">
        <v>3510</v>
      </c>
      <c r="D272" s="242">
        <v>65</v>
      </c>
      <c r="E272" s="242">
        <v>65</v>
      </c>
      <c r="F272" s="242">
        <v>65</v>
      </c>
      <c r="G272" s="242">
        <v>65</v>
      </c>
      <c r="H272" s="242">
        <v>65</v>
      </c>
      <c r="I272" s="242">
        <v>65</v>
      </c>
      <c r="J272" s="242">
        <v>65</v>
      </c>
      <c r="K272" s="242">
        <v>65</v>
      </c>
      <c r="L272" s="242">
        <v>65</v>
      </c>
      <c r="M272" s="242">
        <v>65</v>
      </c>
      <c r="N272" s="242">
        <v>65</v>
      </c>
      <c r="O272" s="242">
        <v>65</v>
      </c>
      <c r="P272" s="241" t="s">
        <v>3345</v>
      </c>
      <c r="Q272" s="241" t="s">
        <v>3347</v>
      </c>
      <c r="R272" s="243" t="s">
        <v>4561</v>
      </c>
      <c r="S272" s="270">
        <f t="shared" si="10"/>
        <v>27395</v>
      </c>
      <c r="T272" s="270"/>
      <c r="U272" s="270">
        <f>IFERROR(VLOOKUP($A272,GeneratingCapabilityList!$E$7:$O$1673,11,FALSE),"ID Not Found")</f>
        <v>27395</v>
      </c>
      <c r="V272" s="271" t="str">
        <f>IFERROR(VLOOKUP($A272,GeneratingCapabilityList!$E$7:$O$1673,6,FALSE),"UNKNOWN")</f>
        <v>GEOTHERMAL</v>
      </c>
      <c r="W272" s="271">
        <f>IFERROR(VLOOKUP($A272,GeneratingCapabilityList!$E$7:$O$1673,3,FALSE),"ID Not Found")</f>
        <v>74.400000000000006</v>
      </c>
      <c r="Y272" s="270"/>
    </row>
    <row r="273" spans="1:25">
      <c r="A273" s="241" t="s">
        <v>738</v>
      </c>
      <c r="B273" s="241" t="s">
        <v>3346</v>
      </c>
      <c r="C273" s="241" t="s">
        <v>3511</v>
      </c>
      <c r="D273" s="242">
        <v>50</v>
      </c>
      <c r="E273" s="242">
        <v>50</v>
      </c>
      <c r="F273" s="242">
        <v>50</v>
      </c>
      <c r="G273" s="242">
        <v>50</v>
      </c>
      <c r="H273" s="242">
        <v>50</v>
      </c>
      <c r="I273" s="242">
        <v>50</v>
      </c>
      <c r="J273" s="242">
        <v>50</v>
      </c>
      <c r="K273" s="242">
        <v>50</v>
      </c>
      <c r="L273" s="242">
        <v>50</v>
      </c>
      <c r="M273" s="242">
        <v>50</v>
      </c>
      <c r="N273" s="242">
        <v>50</v>
      </c>
      <c r="O273" s="242">
        <v>50</v>
      </c>
      <c r="P273" s="241" t="s">
        <v>3345</v>
      </c>
      <c r="Q273" s="241" t="s">
        <v>3347</v>
      </c>
      <c r="R273" s="243" t="s">
        <v>4561</v>
      </c>
      <c r="S273" s="270">
        <f t="shared" si="10"/>
        <v>28856</v>
      </c>
      <c r="T273" s="270"/>
      <c r="U273" s="270">
        <f>IFERROR(VLOOKUP($A273,GeneratingCapabilityList!$E$7:$O$1673,11,FALSE),"ID Not Found")</f>
        <v>28856</v>
      </c>
      <c r="V273" s="271" t="str">
        <f>IFERROR(VLOOKUP($A273,GeneratingCapabilityList!$E$7:$O$1673,6,FALSE),"UNKNOWN")</f>
        <v>GEOTHERMAL</v>
      </c>
      <c r="W273" s="271">
        <f>IFERROR(VLOOKUP($A273,GeneratingCapabilityList!$E$7:$O$1673,3,FALSE),"ID Not Found")</f>
        <v>57</v>
      </c>
      <c r="Y273" s="270"/>
    </row>
    <row r="274" spans="1:25">
      <c r="A274" s="241" t="s">
        <v>751</v>
      </c>
      <c r="B274" s="241" t="s">
        <v>3346</v>
      </c>
      <c r="C274" s="241" t="s">
        <v>3512</v>
      </c>
      <c r="D274" s="242">
        <v>56</v>
      </c>
      <c r="E274" s="242">
        <v>56</v>
      </c>
      <c r="F274" s="242">
        <v>56</v>
      </c>
      <c r="G274" s="242">
        <v>56</v>
      </c>
      <c r="H274" s="242">
        <v>56</v>
      </c>
      <c r="I274" s="242">
        <v>56</v>
      </c>
      <c r="J274" s="242">
        <v>56</v>
      </c>
      <c r="K274" s="242">
        <v>56</v>
      </c>
      <c r="L274" s="242">
        <v>56</v>
      </c>
      <c r="M274" s="242">
        <v>56</v>
      </c>
      <c r="N274" s="242">
        <v>56</v>
      </c>
      <c r="O274" s="242">
        <v>56</v>
      </c>
      <c r="P274" s="241" t="s">
        <v>3345</v>
      </c>
      <c r="Q274" s="241" t="s">
        <v>3347</v>
      </c>
      <c r="R274" s="243" t="s">
        <v>4562</v>
      </c>
      <c r="S274" s="270">
        <f t="shared" si="10"/>
        <v>29221</v>
      </c>
      <c r="T274" s="270"/>
      <c r="U274" s="270">
        <f>IFERROR(VLOOKUP($A274,GeneratingCapabilityList!$E$7:$O$1673,11,FALSE),"ID Not Found")</f>
        <v>29221</v>
      </c>
      <c r="V274" s="271" t="str">
        <f>IFERROR(VLOOKUP($A274,GeneratingCapabilityList!$E$7:$O$1673,6,FALSE),"UNKNOWN")</f>
        <v>GEOTHERMAL</v>
      </c>
      <c r="W274" s="271">
        <f>IFERROR(VLOOKUP($A274,GeneratingCapabilityList!$E$7:$O$1673,3,FALSE),"ID Not Found")</f>
        <v>95</v>
      </c>
      <c r="Y274" s="270"/>
    </row>
    <row r="275" spans="1:25">
      <c r="A275" s="241" t="s">
        <v>753</v>
      </c>
      <c r="B275" s="241" t="s">
        <v>3346</v>
      </c>
      <c r="C275" s="241" t="s">
        <v>3513</v>
      </c>
      <c r="D275" s="242">
        <v>50</v>
      </c>
      <c r="E275" s="242">
        <v>50</v>
      </c>
      <c r="F275" s="242">
        <v>50</v>
      </c>
      <c r="G275" s="242">
        <v>50</v>
      </c>
      <c r="H275" s="242">
        <v>50</v>
      </c>
      <c r="I275" s="242">
        <v>50</v>
      </c>
      <c r="J275" s="242">
        <v>50</v>
      </c>
      <c r="K275" s="242">
        <v>50</v>
      </c>
      <c r="L275" s="242">
        <v>50</v>
      </c>
      <c r="M275" s="242">
        <v>50</v>
      </c>
      <c r="N275" s="242">
        <v>50</v>
      </c>
      <c r="O275" s="242">
        <v>50</v>
      </c>
      <c r="P275" s="241" t="s">
        <v>3345</v>
      </c>
      <c r="Q275" s="241" t="s">
        <v>3347</v>
      </c>
      <c r="R275" s="243" t="s">
        <v>4562</v>
      </c>
      <c r="S275" s="270">
        <f t="shared" si="10"/>
        <v>29221</v>
      </c>
      <c r="T275" s="270"/>
      <c r="U275" s="270">
        <f>IFERROR(VLOOKUP($A275,GeneratingCapabilityList!$E$7:$O$1673,11,FALSE),"ID Not Found")</f>
        <v>29221</v>
      </c>
      <c r="V275" s="271" t="str">
        <f>IFERROR(VLOOKUP($A275,GeneratingCapabilityList!$E$7:$O$1673,6,FALSE),"UNKNOWN")</f>
        <v>GEOTHERMAL</v>
      </c>
      <c r="W275" s="271">
        <f>IFERROR(VLOOKUP($A275,GeneratingCapabilityList!$E$7:$O$1673,3,FALSE),"ID Not Found")</f>
        <v>70</v>
      </c>
      <c r="Y275" s="270"/>
    </row>
    <row r="276" spans="1:25">
      <c r="A276" s="241" t="s">
        <v>1130</v>
      </c>
      <c r="B276" s="241" t="s">
        <v>3346</v>
      </c>
      <c r="C276" s="241" t="s">
        <v>3514</v>
      </c>
      <c r="D276" s="242">
        <v>49</v>
      </c>
      <c r="E276" s="242">
        <v>49</v>
      </c>
      <c r="F276" s="242">
        <v>49</v>
      </c>
      <c r="G276" s="242">
        <v>49</v>
      </c>
      <c r="H276" s="242">
        <v>49</v>
      </c>
      <c r="I276" s="242">
        <v>49</v>
      </c>
      <c r="J276" s="242">
        <v>49</v>
      </c>
      <c r="K276" s="242">
        <v>49</v>
      </c>
      <c r="L276" s="242">
        <v>49</v>
      </c>
      <c r="M276" s="242">
        <v>49</v>
      </c>
      <c r="N276" s="242">
        <v>49</v>
      </c>
      <c r="O276" s="242">
        <v>49</v>
      </c>
      <c r="P276" s="241" t="s">
        <v>3345</v>
      </c>
      <c r="Q276" s="241" t="s">
        <v>3347</v>
      </c>
      <c r="R276" s="243" t="s">
        <v>4562</v>
      </c>
      <c r="S276" s="270">
        <f t="shared" si="10"/>
        <v>31048</v>
      </c>
      <c r="T276" s="270"/>
      <c r="U276" s="270">
        <f>IFERROR(VLOOKUP($A276,GeneratingCapabilityList!$E$7:$O$1673,11,FALSE),"ID Not Found")</f>
        <v>31048</v>
      </c>
      <c r="V276" s="271" t="str">
        <f>IFERROR(VLOOKUP($A276,GeneratingCapabilityList!$E$7:$O$1673,6,FALSE),"UNKNOWN")</f>
        <v>GEOTHERMAL</v>
      </c>
      <c r="W276" s="271">
        <f>IFERROR(VLOOKUP($A276,GeneratingCapabilityList!$E$7:$O$1673,3,FALSE),"ID Not Found")</f>
        <v>85</v>
      </c>
      <c r="Y276" s="270"/>
    </row>
    <row r="277" spans="1:25">
      <c r="A277" s="241" t="s">
        <v>2861</v>
      </c>
      <c r="B277" s="241" t="s">
        <v>3346</v>
      </c>
      <c r="C277" s="241" t="s">
        <v>2861</v>
      </c>
      <c r="D277" s="242">
        <v>14.7</v>
      </c>
      <c r="E277" s="242">
        <v>14.7</v>
      </c>
      <c r="F277" s="242">
        <v>14.7</v>
      </c>
      <c r="G277" s="242">
        <v>14.7</v>
      </c>
      <c r="H277" s="242">
        <v>14.7</v>
      </c>
      <c r="I277" s="242">
        <v>14.7</v>
      </c>
      <c r="J277" s="242">
        <v>14.7</v>
      </c>
      <c r="K277" s="242">
        <v>14.7</v>
      </c>
      <c r="L277" s="242">
        <v>14.7</v>
      </c>
      <c r="M277" s="242">
        <v>14.7</v>
      </c>
      <c r="N277" s="242">
        <v>14.7</v>
      </c>
      <c r="O277" s="242">
        <v>14.7</v>
      </c>
      <c r="P277" s="241" t="s">
        <v>3345</v>
      </c>
      <c r="Q277" s="241" t="s">
        <v>3347</v>
      </c>
      <c r="R277" s="243" t="s">
        <v>4561</v>
      </c>
      <c r="S277" s="270">
        <f t="shared" si="10"/>
        <v>39347</v>
      </c>
      <c r="T277" s="270"/>
      <c r="U277" s="270">
        <f>IFERROR(VLOOKUP($A277,GeneratingCapabilityList!$E$7:$O$1673,11,FALSE),"ID Not Found")</f>
        <v>39347</v>
      </c>
      <c r="V277" s="271" t="str">
        <f>IFERROR(VLOOKUP($A277,GeneratingCapabilityList!$E$7:$O$1673,6,FALSE),"UNKNOWN")</f>
        <v>GEOTHERMAL</v>
      </c>
      <c r="W277" s="271">
        <f>IFERROR(VLOOKUP($A277,GeneratingCapabilityList!$E$7:$O$1673,3,FALSE),"ID Not Found")</f>
        <v>17</v>
      </c>
      <c r="Y277" s="270"/>
    </row>
    <row r="278" spans="1:25">
      <c r="A278" s="241" t="s">
        <v>795</v>
      </c>
      <c r="B278" s="241" t="s">
        <v>3346</v>
      </c>
      <c r="C278" s="241" t="s">
        <v>3515</v>
      </c>
      <c r="D278" s="242">
        <v>53</v>
      </c>
      <c r="E278" s="242">
        <v>53</v>
      </c>
      <c r="F278" s="242">
        <v>53</v>
      </c>
      <c r="G278" s="242">
        <v>53</v>
      </c>
      <c r="H278" s="242">
        <v>53</v>
      </c>
      <c r="I278" s="242">
        <v>53</v>
      </c>
      <c r="J278" s="242">
        <v>53</v>
      </c>
      <c r="K278" s="242">
        <v>53</v>
      </c>
      <c r="L278" s="242">
        <v>53</v>
      </c>
      <c r="M278" s="242">
        <v>53</v>
      </c>
      <c r="N278" s="242">
        <v>53</v>
      </c>
      <c r="O278" s="242">
        <v>53</v>
      </c>
      <c r="P278" s="241" t="s">
        <v>3345</v>
      </c>
      <c r="Q278" s="241" t="s">
        <v>3347</v>
      </c>
      <c r="R278" s="243" t="s">
        <v>4561</v>
      </c>
      <c r="S278" s="270">
        <f t="shared" si="10"/>
        <v>29952</v>
      </c>
      <c r="T278" s="270"/>
      <c r="U278" s="270">
        <f>IFERROR(VLOOKUP($A278,GeneratingCapabilityList!$E$7:$O$1673,11,FALSE),"ID Not Found")</f>
        <v>29952</v>
      </c>
      <c r="V278" s="271" t="str">
        <f>IFERROR(VLOOKUP($A278,GeneratingCapabilityList!$E$7:$O$1673,6,FALSE),"UNKNOWN")</f>
        <v>GEOTHERMAL</v>
      </c>
      <c r="W278" s="271">
        <f>IFERROR(VLOOKUP($A278,GeneratingCapabilityList!$E$7:$O$1673,3,FALSE),"ID Not Found")</f>
        <v>60</v>
      </c>
      <c r="Y278" s="270"/>
    </row>
    <row r="279" spans="1:25">
      <c r="A279" s="241" t="s">
        <v>862</v>
      </c>
      <c r="B279" s="241" t="s">
        <v>3346</v>
      </c>
      <c r="C279" s="241" t="s">
        <v>3516</v>
      </c>
      <c r="D279" s="242">
        <v>45</v>
      </c>
      <c r="E279" s="242">
        <v>45</v>
      </c>
      <c r="F279" s="242">
        <v>45</v>
      </c>
      <c r="G279" s="242">
        <v>45</v>
      </c>
      <c r="H279" s="242">
        <v>45</v>
      </c>
      <c r="I279" s="242">
        <v>45</v>
      </c>
      <c r="J279" s="242">
        <v>45</v>
      </c>
      <c r="K279" s="242">
        <v>45</v>
      </c>
      <c r="L279" s="242">
        <v>45</v>
      </c>
      <c r="M279" s="242">
        <v>45</v>
      </c>
      <c r="N279" s="242">
        <v>45</v>
      </c>
      <c r="O279" s="242">
        <v>45</v>
      </c>
      <c r="P279" s="241" t="s">
        <v>3345</v>
      </c>
      <c r="Q279" s="241" t="s">
        <v>3347</v>
      </c>
      <c r="R279" s="243" t="s">
        <v>4561</v>
      </c>
      <c r="S279" s="270">
        <f t="shared" si="10"/>
        <v>30317</v>
      </c>
      <c r="T279" s="270"/>
      <c r="U279" s="270">
        <f>IFERROR(VLOOKUP($A279,GeneratingCapabilityList!$E$7:$O$1673,11,FALSE),"ID Not Found")</f>
        <v>30317</v>
      </c>
      <c r="V279" s="271" t="str">
        <f>IFERROR(VLOOKUP($A279,GeneratingCapabilityList!$E$7:$O$1673,6,FALSE),"UNKNOWN")</f>
        <v>GEOTHERMAL</v>
      </c>
      <c r="W279" s="271">
        <f>IFERROR(VLOOKUP($A279,GeneratingCapabilityList!$E$7:$O$1673,3,FALSE),"ID Not Found")</f>
        <v>72</v>
      </c>
      <c r="Y279" s="270"/>
    </row>
    <row r="280" spans="1:25">
      <c r="A280" s="241" t="s">
        <v>1132</v>
      </c>
      <c r="B280" s="241" t="s">
        <v>3346</v>
      </c>
      <c r="C280" s="241" t="s">
        <v>3517</v>
      </c>
      <c r="D280" s="242">
        <v>40</v>
      </c>
      <c r="E280" s="242">
        <v>40</v>
      </c>
      <c r="F280" s="242">
        <v>40</v>
      </c>
      <c r="G280" s="242">
        <v>40</v>
      </c>
      <c r="H280" s="242">
        <v>40</v>
      </c>
      <c r="I280" s="242">
        <v>40</v>
      </c>
      <c r="J280" s="242">
        <v>40</v>
      </c>
      <c r="K280" s="242">
        <v>40</v>
      </c>
      <c r="L280" s="242">
        <v>40</v>
      </c>
      <c r="M280" s="242">
        <v>40</v>
      </c>
      <c r="N280" s="242">
        <v>40</v>
      </c>
      <c r="O280" s="242">
        <v>40</v>
      </c>
      <c r="P280" s="241" t="s">
        <v>3345</v>
      </c>
      <c r="Q280" s="241" t="s">
        <v>3347</v>
      </c>
      <c r="R280" s="243" t="s">
        <v>4561</v>
      </c>
      <c r="S280" s="270">
        <f t="shared" si="10"/>
        <v>31048</v>
      </c>
      <c r="T280" s="270"/>
      <c r="U280" s="270">
        <f>IFERROR(VLOOKUP($A280,GeneratingCapabilityList!$E$7:$O$1673,11,FALSE),"ID Not Found")</f>
        <v>31048</v>
      </c>
      <c r="V280" s="271" t="str">
        <f>IFERROR(VLOOKUP($A280,GeneratingCapabilityList!$E$7:$O$1673,6,FALSE),"UNKNOWN")</f>
        <v>GEOTHERMAL</v>
      </c>
      <c r="W280" s="271">
        <f>IFERROR(VLOOKUP($A280,GeneratingCapabilityList!$E$7:$O$1673,3,FALSE),"ID Not Found")</f>
        <v>62</v>
      </c>
      <c r="Y280" s="270"/>
    </row>
    <row r="281" spans="1:25">
      <c r="A281" s="241" t="s">
        <v>4466</v>
      </c>
      <c r="B281" s="245" t="s">
        <v>3361</v>
      </c>
      <c r="C281" s="241" t="s">
        <v>4614</v>
      </c>
      <c r="D281" s="249" t="s">
        <v>4573</v>
      </c>
      <c r="E281" s="249" t="s">
        <v>4573</v>
      </c>
      <c r="F281" s="249" t="s">
        <v>4573</v>
      </c>
      <c r="G281" s="249" t="s">
        <v>4573</v>
      </c>
      <c r="H281" s="249" t="s">
        <v>4573</v>
      </c>
      <c r="I281" s="249" t="s">
        <v>4573</v>
      </c>
      <c r="J281" s="249" t="s">
        <v>4573</v>
      </c>
      <c r="K281" s="249" t="s">
        <v>4573</v>
      </c>
      <c r="L281" s="249" t="s">
        <v>4573</v>
      </c>
      <c r="M281" s="249" t="s">
        <v>4573</v>
      </c>
      <c r="N281" s="249" t="s">
        <v>4573</v>
      </c>
      <c r="O281" s="249" t="s">
        <v>4573</v>
      </c>
      <c r="P281" s="245" t="s">
        <v>3345</v>
      </c>
      <c r="Q281" s="245" t="s">
        <v>3385</v>
      </c>
      <c r="R281" s="243" t="s">
        <v>4562</v>
      </c>
      <c r="S281" s="270">
        <f t="shared" si="10"/>
        <v>41115</v>
      </c>
      <c r="T281" s="270"/>
      <c r="U281" s="270">
        <f>IFERROR(VLOOKUP($A281,GeneratingCapabilityList!$E$7:$O$1673,11,FALSE),"ID Not Found")</f>
        <v>41115</v>
      </c>
      <c r="V281" s="271" t="str">
        <f>IFERROR(VLOOKUP($A281,GeneratingCapabilityList!$E$7:$O$1673,6,FALSE),"UNKNOWN")</f>
        <v>SOLAR</v>
      </c>
      <c r="W281" s="271">
        <f>IFERROR(VLOOKUP($A281,GeneratingCapabilityList!$E$7:$O$1673,3,FALSE),"ID Not Found")</f>
        <v>19</v>
      </c>
      <c r="Y281" s="270"/>
    </row>
    <row r="282" spans="1:25">
      <c r="A282" s="241" t="s">
        <v>1458</v>
      </c>
      <c r="B282" s="241" t="s">
        <v>3324</v>
      </c>
      <c r="C282" s="241" t="s">
        <v>3518</v>
      </c>
      <c r="D282" s="242">
        <v>120</v>
      </c>
      <c r="E282" s="242">
        <v>120</v>
      </c>
      <c r="F282" s="242">
        <v>120</v>
      </c>
      <c r="G282" s="242">
        <v>120</v>
      </c>
      <c r="H282" s="242">
        <v>115</v>
      </c>
      <c r="I282" s="242">
        <v>110</v>
      </c>
      <c r="J282" s="242">
        <v>105</v>
      </c>
      <c r="K282" s="242">
        <v>105</v>
      </c>
      <c r="L282" s="242">
        <v>110</v>
      </c>
      <c r="M282" s="242">
        <v>120</v>
      </c>
      <c r="N282" s="242">
        <v>120</v>
      </c>
      <c r="O282" s="242">
        <v>120</v>
      </c>
      <c r="P282" s="241" t="s">
        <v>3345</v>
      </c>
      <c r="Q282" s="241" t="s">
        <v>3347</v>
      </c>
      <c r="R282" s="243" t="s">
        <v>4562</v>
      </c>
      <c r="S282" s="270">
        <f t="shared" si="10"/>
        <v>31778</v>
      </c>
      <c r="T282" s="270"/>
      <c r="U282" s="270">
        <f>IFERROR(VLOOKUP($A282,GeneratingCapabilityList!$E$7:$O$1673,11,FALSE),"ID Not Found")</f>
        <v>31778</v>
      </c>
      <c r="V282" s="271" t="str">
        <f>IFERROR(VLOOKUP($A282,GeneratingCapabilityList!$E$7:$O$1673,6,FALSE),"UNKNOWN")</f>
        <v>COGENERATION</v>
      </c>
      <c r="W282" s="271">
        <f>IFERROR(VLOOKUP($A282,GeneratingCapabilityList!$E$7:$O$1673,3,FALSE),"ID Not Found")</f>
        <v>120</v>
      </c>
      <c r="Y282" s="270"/>
    </row>
    <row r="283" spans="1:25">
      <c r="A283" s="241" t="s">
        <v>2483</v>
      </c>
      <c r="B283" s="241" t="s">
        <v>3324</v>
      </c>
      <c r="C283" s="241" t="s">
        <v>3519</v>
      </c>
      <c r="D283" s="242">
        <v>94.5</v>
      </c>
      <c r="E283" s="242">
        <v>94.5</v>
      </c>
      <c r="F283" s="242">
        <v>94.5</v>
      </c>
      <c r="G283" s="242">
        <v>93</v>
      </c>
      <c r="H283" s="242">
        <v>92</v>
      </c>
      <c r="I283" s="242">
        <v>91</v>
      </c>
      <c r="J283" s="242">
        <v>91</v>
      </c>
      <c r="K283" s="242">
        <v>91</v>
      </c>
      <c r="L283" s="242">
        <v>92</v>
      </c>
      <c r="M283" s="242">
        <v>93</v>
      </c>
      <c r="N283" s="242">
        <v>94.5</v>
      </c>
      <c r="O283" s="242">
        <v>94.5</v>
      </c>
      <c r="P283" s="241" t="s">
        <v>3345</v>
      </c>
      <c r="Q283" s="241" t="s">
        <v>3347</v>
      </c>
      <c r="R283" s="243" t="s">
        <v>4561</v>
      </c>
      <c r="S283" s="270">
        <f t="shared" si="10"/>
        <v>37285</v>
      </c>
      <c r="T283" s="270"/>
      <c r="U283" s="270">
        <f>IFERROR(VLOOKUP($A283,GeneratingCapabilityList!$E$7:$O$1673,11,FALSE),"ID Not Found")</f>
        <v>37285</v>
      </c>
      <c r="V283" s="271" t="str">
        <f>IFERROR(VLOOKUP($A283,GeneratingCapabilityList!$E$7:$O$1673,6,FALSE),"UNKNOWN")</f>
        <v>PEAKER</v>
      </c>
      <c r="W283" s="271">
        <f>IFERROR(VLOOKUP($A283,GeneratingCapabilityList!$E$7:$O$1673,3,FALSE),"ID Not Found")</f>
        <v>95.4</v>
      </c>
      <c r="Y283" s="270"/>
    </row>
    <row r="284" spans="1:25">
      <c r="A284" s="241" t="s">
        <v>2489</v>
      </c>
      <c r="B284" s="241" t="s">
        <v>3324</v>
      </c>
      <c r="C284" s="241" t="s">
        <v>3520</v>
      </c>
      <c r="D284" s="242">
        <v>46.2</v>
      </c>
      <c r="E284" s="242">
        <v>46.2</v>
      </c>
      <c r="F284" s="242">
        <v>46.2</v>
      </c>
      <c r="G284" s="242">
        <v>46.2</v>
      </c>
      <c r="H284" s="242">
        <v>46.2</v>
      </c>
      <c r="I284" s="242">
        <v>46</v>
      </c>
      <c r="J284" s="242">
        <v>46</v>
      </c>
      <c r="K284" s="242">
        <v>46</v>
      </c>
      <c r="L284" s="242">
        <v>46</v>
      </c>
      <c r="M284" s="242">
        <v>46.2</v>
      </c>
      <c r="N284" s="242">
        <v>46.2</v>
      </c>
      <c r="O284" s="242">
        <v>46.2</v>
      </c>
      <c r="P284" s="241" t="s">
        <v>3345</v>
      </c>
      <c r="Q284" s="241" t="s">
        <v>3347</v>
      </c>
      <c r="R284" s="243" t="s">
        <v>4561</v>
      </c>
      <c r="S284" s="270">
        <f t="shared" si="10"/>
        <v>37315</v>
      </c>
      <c r="T284" s="270"/>
      <c r="U284" s="270">
        <f>IFERROR(VLOOKUP($A284,GeneratingCapabilityList!$E$7:$O$1673,11,FALSE),"ID Not Found")</f>
        <v>37315</v>
      </c>
      <c r="V284" s="271" t="str">
        <f>IFERROR(VLOOKUP($A284,GeneratingCapabilityList!$E$7:$O$1673,6,FALSE),"UNKNOWN")</f>
        <v>PEAKER</v>
      </c>
      <c r="W284" s="271">
        <f>IFERROR(VLOOKUP($A284,GeneratingCapabilityList!$E$7:$O$1673,3,FALSE),"ID Not Found")</f>
        <v>46.2</v>
      </c>
      <c r="Y284" s="270"/>
    </row>
    <row r="285" spans="1:25">
      <c r="A285" s="241" t="s">
        <v>687</v>
      </c>
      <c r="B285" s="241" t="s">
        <v>3327</v>
      </c>
      <c r="C285" s="241" t="s">
        <v>3521</v>
      </c>
      <c r="D285" s="242">
        <v>22.3</v>
      </c>
      <c r="E285" s="242">
        <v>22.3</v>
      </c>
      <c r="F285" s="242">
        <v>22.3</v>
      </c>
      <c r="G285" s="242">
        <v>22.3</v>
      </c>
      <c r="H285" s="242">
        <v>22.3</v>
      </c>
      <c r="I285" s="242">
        <v>22.3</v>
      </c>
      <c r="J285" s="242">
        <v>22.3</v>
      </c>
      <c r="K285" s="242">
        <v>22.3</v>
      </c>
      <c r="L285" s="242">
        <v>22.3</v>
      </c>
      <c r="M285" s="242">
        <v>22.3</v>
      </c>
      <c r="N285" s="242">
        <v>22.3</v>
      </c>
      <c r="O285" s="242">
        <v>22.3</v>
      </c>
      <c r="P285" s="241" t="s">
        <v>3352</v>
      </c>
      <c r="Q285" s="241" t="s">
        <v>3347</v>
      </c>
      <c r="R285" s="243" t="s">
        <v>4561</v>
      </c>
      <c r="S285" s="270">
        <f t="shared" si="10"/>
        <v>27760</v>
      </c>
      <c r="T285" s="270"/>
      <c r="U285" s="270">
        <f>IFERROR(VLOOKUP($A285,GeneratingCapabilityList!$E$7:$O$1673,11,FALSE),"ID Not Found")</f>
        <v>27760</v>
      </c>
      <c r="V285" s="271" t="str">
        <f>IFERROR(VLOOKUP($A285,GeneratingCapabilityList!$E$7:$O$1673,6,FALSE),"UNKNOWN")</f>
        <v>PEAKER</v>
      </c>
      <c r="W285" s="271">
        <f>IFERROR(VLOOKUP($A285,GeneratingCapabilityList!$E$7:$O$1673,3,FALSE),"ID Not Found")</f>
        <v>22.3</v>
      </c>
      <c r="Y285" s="270"/>
    </row>
    <row r="286" spans="1:25">
      <c r="A286" s="241" t="s">
        <v>690</v>
      </c>
      <c r="B286" s="241" t="s">
        <v>3327</v>
      </c>
      <c r="C286" s="241" t="s">
        <v>3522</v>
      </c>
      <c r="D286" s="242">
        <v>22.3</v>
      </c>
      <c r="E286" s="242">
        <v>22.3</v>
      </c>
      <c r="F286" s="242">
        <v>22.3</v>
      </c>
      <c r="G286" s="242">
        <v>22.3</v>
      </c>
      <c r="H286" s="242">
        <v>22.3</v>
      </c>
      <c r="I286" s="242">
        <v>22.3</v>
      </c>
      <c r="J286" s="242">
        <v>22.3</v>
      </c>
      <c r="K286" s="242">
        <v>22.3</v>
      </c>
      <c r="L286" s="242">
        <v>22.3</v>
      </c>
      <c r="M286" s="242">
        <v>22.3</v>
      </c>
      <c r="N286" s="242">
        <v>22.3</v>
      </c>
      <c r="O286" s="242">
        <v>22.3</v>
      </c>
      <c r="P286" s="241" t="s">
        <v>3352</v>
      </c>
      <c r="Q286" s="241" t="s">
        <v>3347</v>
      </c>
      <c r="R286" s="243" t="s">
        <v>4561</v>
      </c>
      <c r="S286" s="270">
        <f t="shared" si="10"/>
        <v>27760</v>
      </c>
      <c r="T286" s="270"/>
      <c r="U286" s="270">
        <f>IFERROR(VLOOKUP($A286,GeneratingCapabilityList!$E$7:$O$1673,11,FALSE),"ID Not Found")</f>
        <v>27760</v>
      </c>
      <c r="V286" s="271" t="str">
        <f>IFERROR(VLOOKUP($A286,GeneratingCapabilityList!$E$7:$O$1673,6,FALSE),"UNKNOWN")</f>
        <v>PEAKER</v>
      </c>
      <c r="W286" s="271">
        <f>IFERROR(VLOOKUP($A286,GeneratingCapabilityList!$E$7:$O$1673,3,FALSE),"ID Not Found")</f>
        <v>22.3</v>
      </c>
      <c r="Y286" s="270"/>
    </row>
    <row r="287" spans="1:25">
      <c r="A287" s="241" t="s">
        <v>2672</v>
      </c>
      <c r="B287" s="241" t="s">
        <v>3327</v>
      </c>
      <c r="C287" s="241" t="s">
        <v>3523</v>
      </c>
      <c r="D287" s="242">
        <v>44.83</v>
      </c>
      <c r="E287" s="242">
        <v>44.83</v>
      </c>
      <c r="F287" s="242">
        <v>44.83</v>
      </c>
      <c r="G287" s="242">
        <v>44.83</v>
      </c>
      <c r="H287" s="242">
        <v>44.83</v>
      </c>
      <c r="I287" s="242">
        <v>44.83</v>
      </c>
      <c r="J287" s="242">
        <v>44.83</v>
      </c>
      <c r="K287" s="242">
        <v>44.83</v>
      </c>
      <c r="L287" s="242">
        <v>44.83</v>
      </c>
      <c r="M287" s="242">
        <v>44.83</v>
      </c>
      <c r="N287" s="242">
        <v>44.83</v>
      </c>
      <c r="O287" s="242">
        <v>44.83</v>
      </c>
      <c r="P287" s="241" t="s">
        <v>3352</v>
      </c>
      <c r="Q287" s="241" t="s">
        <v>3347</v>
      </c>
      <c r="R287" s="243" t="s">
        <v>4561</v>
      </c>
      <c r="S287" s="270">
        <f t="shared" si="10"/>
        <v>37994</v>
      </c>
      <c r="T287" s="270"/>
      <c r="U287" s="270">
        <f>IFERROR(VLOOKUP($A287,GeneratingCapabilityList!$E$7:$O$1673,11,FALSE),"ID Not Found")</f>
        <v>37994</v>
      </c>
      <c r="V287" s="271" t="str">
        <f>IFERROR(VLOOKUP($A287,GeneratingCapabilityList!$E$7:$O$1673,6,FALSE),"UNKNOWN")</f>
        <v>PEAKER</v>
      </c>
      <c r="W287" s="271">
        <f>IFERROR(VLOOKUP($A287,GeneratingCapabilityList!$E$7:$O$1673,3,FALSE),"ID Not Found")</f>
        <v>44.83</v>
      </c>
      <c r="Y287" s="270"/>
    </row>
    <row r="288" spans="1:25">
      <c r="A288" s="241" t="s">
        <v>2674</v>
      </c>
      <c r="B288" s="241" t="s">
        <v>3327</v>
      </c>
      <c r="C288" s="241" t="s">
        <v>3524</v>
      </c>
      <c r="D288" s="242">
        <v>42.42</v>
      </c>
      <c r="E288" s="242">
        <v>42.42</v>
      </c>
      <c r="F288" s="242">
        <v>42.42</v>
      </c>
      <c r="G288" s="242">
        <v>42.42</v>
      </c>
      <c r="H288" s="242">
        <v>42.42</v>
      </c>
      <c r="I288" s="242">
        <v>42.42</v>
      </c>
      <c r="J288" s="242">
        <v>42.42</v>
      </c>
      <c r="K288" s="242">
        <v>42.42</v>
      </c>
      <c r="L288" s="242">
        <v>42.42</v>
      </c>
      <c r="M288" s="242">
        <v>42.42</v>
      </c>
      <c r="N288" s="242">
        <v>42.42</v>
      </c>
      <c r="O288" s="242">
        <v>42.42</v>
      </c>
      <c r="P288" s="241" t="s">
        <v>3352</v>
      </c>
      <c r="Q288" s="241" t="s">
        <v>3347</v>
      </c>
      <c r="R288" s="243" t="s">
        <v>4561</v>
      </c>
      <c r="S288" s="270">
        <f t="shared" si="10"/>
        <v>37994</v>
      </c>
      <c r="T288" s="270"/>
      <c r="U288" s="270">
        <f>IFERROR(VLOOKUP($A288,GeneratingCapabilityList!$E$7:$O$1673,11,FALSE),"ID Not Found")</f>
        <v>37994</v>
      </c>
      <c r="V288" s="271" t="str">
        <f>IFERROR(VLOOKUP($A288,GeneratingCapabilityList!$E$7:$O$1673,6,FALSE),"UNKNOWN")</f>
        <v>PEAKER</v>
      </c>
      <c r="W288" s="271">
        <f>IFERROR(VLOOKUP($A288,GeneratingCapabilityList!$E$7:$O$1673,3,FALSE),"ID Not Found")</f>
        <v>42.42</v>
      </c>
      <c r="Y288" s="270"/>
    </row>
    <row r="289" spans="1:25">
      <c r="A289" s="241" t="s">
        <v>4410</v>
      </c>
      <c r="B289" s="245" t="s">
        <v>3328</v>
      </c>
      <c r="C289" s="241" t="s">
        <v>4411</v>
      </c>
      <c r="D289" s="249" t="s">
        <v>4573</v>
      </c>
      <c r="E289" s="249" t="s">
        <v>4573</v>
      </c>
      <c r="F289" s="249" t="s">
        <v>4573</v>
      </c>
      <c r="G289" s="249" t="s">
        <v>4573</v>
      </c>
      <c r="H289" s="249" t="s">
        <v>4573</v>
      </c>
      <c r="I289" s="249" t="s">
        <v>4573</v>
      </c>
      <c r="J289" s="249" t="s">
        <v>4573</v>
      </c>
      <c r="K289" s="249" t="s">
        <v>4573</v>
      </c>
      <c r="L289" s="249" t="s">
        <v>4573</v>
      </c>
      <c r="M289" s="249" t="s">
        <v>4573</v>
      </c>
      <c r="N289" s="249" t="s">
        <v>4573</v>
      </c>
      <c r="O289" s="249" t="s">
        <v>4573</v>
      </c>
      <c r="P289" s="245" t="s">
        <v>3352</v>
      </c>
      <c r="Q289" s="245" t="s">
        <v>3385</v>
      </c>
      <c r="R289" s="243" t="s">
        <v>4562</v>
      </c>
      <c r="S289" s="270">
        <f t="shared" si="10"/>
        <v>41358</v>
      </c>
      <c r="T289" s="270"/>
      <c r="U289" s="270">
        <f>IFERROR(VLOOKUP($A289,GeneratingCapabilityList!$E$7:$O$1673,11,FALSE),"ID Not Found")</f>
        <v>41358</v>
      </c>
      <c r="V289" s="271" t="str">
        <f>IFERROR(VLOOKUP($A289,GeneratingCapabilityList!$E$7:$O$1673,6,FALSE),"UNKNOWN")</f>
        <v>SOLAR</v>
      </c>
      <c r="W289" s="271">
        <f>IFERROR(VLOOKUP($A289,GeneratingCapabilityList!$E$7:$O$1673,3,FALSE),"ID Not Found")</f>
        <v>20</v>
      </c>
      <c r="Y289" s="270"/>
    </row>
    <row r="290" spans="1:25">
      <c r="A290" s="241" t="s">
        <v>2118</v>
      </c>
      <c r="B290" s="241" t="s">
        <v>3375</v>
      </c>
      <c r="C290" s="241" t="s">
        <v>3525</v>
      </c>
      <c r="D290" s="242">
        <v>0</v>
      </c>
      <c r="E290" s="242">
        <v>0</v>
      </c>
      <c r="F290" s="242">
        <v>0</v>
      </c>
      <c r="G290" s="242">
        <v>0</v>
      </c>
      <c r="H290" s="242">
        <v>0</v>
      </c>
      <c r="I290" s="242">
        <v>0</v>
      </c>
      <c r="J290" s="242">
        <v>0</v>
      </c>
      <c r="K290" s="242">
        <v>0</v>
      </c>
      <c r="L290" s="242">
        <v>0</v>
      </c>
      <c r="M290" s="242">
        <v>0</v>
      </c>
      <c r="N290" s="242">
        <v>0</v>
      </c>
      <c r="O290" s="242">
        <v>0</v>
      </c>
      <c r="P290" s="241" t="s">
        <v>3345</v>
      </c>
      <c r="Q290" s="241" t="s">
        <v>3347</v>
      </c>
      <c r="R290" s="243" t="s">
        <v>4562</v>
      </c>
      <c r="S290" s="270">
        <f t="shared" si="10"/>
        <v>33926</v>
      </c>
      <c r="T290" s="270"/>
      <c r="U290" s="270">
        <f>IFERROR(VLOOKUP($A290,GeneratingCapabilityList!$E$7:$O$1673,11,FALSE),"ID Not Found")</f>
        <v>33926</v>
      </c>
      <c r="V290" s="271" t="str">
        <f>IFERROR(VLOOKUP($A290,GeneratingCapabilityList!$E$7:$O$1673,6,FALSE),"UNKNOWN")</f>
        <v>WIND</v>
      </c>
      <c r="W290" s="271">
        <f>IFERROR(VLOOKUP($A290,GeneratingCapabilityList!$E$7:$O$1673,3,FALSE),"ID Not Found")</f>
        <v>1.25</v>
      </c>
      <c r="Y290" s="270"/>
    </row>
    <row r="291" spans="1:25">
      <c r="A291" s="241" t="s">
        <v>1302</v>
      </c>
      <c r="B291" s="241" t="s">
        <v>3328</v>
      </c>
      <c r="C291" s="241" t="s">
        <v>3526</v>
      </c>
      <c r="D291" s="242">
        <v>7.0000000000000007E-2</v>
      </c>
      <c r="E291" s="242">
        <v>0.06</v>
      </c>
      <c r="F291" s="242">
        <v>7.0000000000000007E-2</v>
      </c>
      <c r="G291" s="242">
        <v>0.06</v>
      </c>
      <c r="H291" s="242">
        <v>0.08</v>
      </c>
      <c r="I291" s="242">
        <v>0.09</v>
      </c>
      <c r="J291" s="242">
        <v>0.08</v>
      </c>
      <c r="K291" s="242">
        <v>0.09</v>
      </c>
      <c r="L291" s="242">
        <v>0.08</v>
      </c>
      <c r="M291" s="242">
        <v>0.08</v>
      </c>
      <c r="N291" s="242">
        <v>0.08</v>
      </c>
      <c r="O291" s="242">
        <v>0.06</v>
      </c>
      <c r="P291" s="241" t="s">
        <v>3352</v>
      </c>
      <c r="Q291" s="241" t="s">
        <v>3347</v>
      </c>
      <c r="R291" s="243" t="s">
        <v>4562</v>
      </c>
      <c r="S291" s="270">
        <f t="shared" si="10"/>
        <v>31413</v>
      </c>
      <c r="T291" s="270"/>
      <c r="U291" s="270">
        <f>IFERROR(VLOOKUP($A291,GeneratingCapabilityList!$E$7:$O$1673,11,FALSE),"ID Not Found")</f>
        <v>31413</v>
      </c>
      <c r="V291" s="271" t="str">
        <f>IFERROR(VLOOKUP($A291,GeneratingCapabilityList!$E$7:$O$1673,6,FALSE),"UNKNOWN")</f>
        <v>VARIOUS</v>
      </c>
      <c r="W291" s="271">
        <f>IFERROR(VLOOKUP($A291,GeneratingCapabilityList!$E$7:$O$1673,3,FALSE),"ID Not Found")</f>
        <v>0.4</v>
      </c>
      <c r="Y291" s="270"/>
    </row>
    <row r="292" spans="1:25">
      <c r="A292" s="241" t="s">
        <v>3146</v>
      </c>
      <c r="B292" s="241" t="s">
        <v>3328</v>
      </c>
      <c r="C292" s="241" t="s">
        <v>3527</v>
      </c>
      <c r="D292" s="242">
        <v>54</v>
      </c>
      <c r="E292" s="242">
        <v>54</v>
      </c>
      <c r="F292" s="242">
        <v>54</v>
      </c>
      <c r="G292" s="242">
        <v>54</v>
      </c>
      <c r="H292" s="242">
        <v>54</v>
      </c>
      <c r="I292" s="242">
        <v>54</v>
      </c>
      <c r="J292" s="242">
        <v>54</v>
      </c>
      <c r="K292" s="242">
        <v>54</v>
      </c>
      <c r="L292" s="242">
        <v>54</v>
      </c>
      <c r="M292" s="242">
        <v>54</v>
      </c>
      <c r="N292" s="242">
        <v>54</v>
      </c>
      <c r="O292" s="242">
        <v>54</v>
      </c>
      <c r="P292" s="241" t="s">
        <v>3352</v>
      </c>
      <c r="Q292" s="241" t="s">
        <v>3347</v>
      </c>
      <c r="R292" s="243" t="s">
        <v>4561</v>
      </c>
      <c r="S292" s="270">
        <v>27030</v>
      </c>
      <c r="T292" s="270" t="s">
        <v>4250</v>
      </c>
      <c r="U292" s="270" t="str">
        <f>IFERROR(VLOOKUP($A292,GeneratingCapabilityList!$E$7:$O$1673,11,FALSE),"ID Not Found")</f>
        <v>UNK</v>
      </c>
      <c r="V292" s="271" t="str">
        <f>IFERROR(VLOOKUP($A292,GeneratingCapabilityList!$E$7:$O$1673,6,FALSE),"UNKNOWN")</f>
        <v>PEAKER</v>
      </c>
      <c r="W292" s="271">
        <f>IFERROR(VLOOKUP($A292,GeneratingCapabilityList!$E$7:$O$1673,3,FALSE),"ID Not Found")</f>
        <v>54</v>
      </c>
      <c r="Y292" s="270"/>
    </row>
    <row r="293" spans="1:25">
      <c r="A293" s="241" t="s">
        <v>2147</v>
      </c>
      <c r="B293" s="241" t="s">
        <v>3328</v>
      </c>
      <c r="C293" s="241" t="s">
        <v>3528</v>
      </c>
      <c r="D293" s="242">
        <v>0.87</v>
      </c>
      <c r="E293" s="242">
        <v>1.81</v>
      </c>
      <c r="F293" s="242">
        <v>0.91</v>
      </c>
      <c r="G293" s="242">
        <v>1.53</v>
      </c>
      <c r="H293" s="242">
        <v>0.94</v>
      </c>
      <c r="I293" s="242">
        <v>0.75</v>
      </c>
      <c r="J293" s="242">
        <v>1.1599999999999999</v>
      </c>
      <c r="K293" s="242">
        <v>1.37</v>
      </c>
      <c r="L293" s="242">
        <v>0.59</v>
      </c>
      <c r="M293" s="242">
        <v>0.71</v>
      </c>
      <c r="N293" s="242">
        <v>1.4</v>
      </c>
      <c r="O293" s="242">
        <v>2.39</v>
      </c>
      <c r="P293" s="241" t="s">
        <v>3352</v>
      </c>
      <c r="Q293" s="241" t="s">
        <v>3347</v>
      </c>
      <c r="R293" s="243" t="s">
        <v>4562</v>
      </c>
      <c r="S293" s="270">
        <f t="shared" ref="S293:S334" si="11">U293</f>
        <v>34200</v>
      </c>
      <c r="T293" s="270"/>
      <c r="U293" s="270">
        <f>IFERROR(VLOOKUP($A293,GeneratingCapabilityList!$E$7:$O$1673,11,FALSE),"ID Not Found")</f>
        <v>34200</v>
      </c>
      <c r="V293" s="271" t="str">
        <f>IFERROR(VLOOKUP($A293,GeneratingCapabilityList!$E$7:$O$1673,6,FALSE),"UNKNOWN")</f>
        <v>COGENERATION</v>
      </c>
      <c r="W293" s="271">
        <f>IFERROR(VLOOKUP($A293,GeneratingCapabilityList!$E$7:$O$1673,3,FALSE),"ID Not Found")</f>
        <v>48.2</v>
      </c>
      <c r="Y293" s="270"/>
    </row>
    <row r="294" spans="1:25">
      <c r="A294" s="241" t="s">
        <v>1450</v>
      </c>
      <c r="B294" s="241" t="s">
        <v>3328</v>
      </c>
      <c r="C294" s="241" t="s">
        <v>3529</v>
      </c>
      <c r="D294" s="242">
        <v>1.1399999999999999</v>
      </c>
      <c r="E294" s="242">
        <v>0.97</v>
      </c>
      <c r="F294" s="242">
        <v>0.89</v>
      </c>
      <c r="G294" s="242">
        <v>1.1100000000000001</v>
      </c>
      <c r="H294" s="242">
        <v>1.1000000000000001</v>
      </c>
      <c r="I294" s="242">
        <v>0.99</v>
      </c>
      <c r="J294" s="242">
        <v>0.98</v>
      </c>
      <c r="K294" s="242">
        <v>0.82</v>
      </c>
      <c r="L294" s="242">
        <v>0.38</v>
      </c>
      <c r="M294" s="242">
        <v>0.97</v>
      </c>
      <c r="N294" s="242">
        <v>0.76</v>
      </c>
      <c r="O294" s="242">
        <v>0.8</v>
      </c>
      <c r="P294" s="241" t="s">
        <v>3352</v>
      </c>
      <c r="Q294" s="241" t="s">
        <v>3347</v>
      </c>
      <c r="R294" s="243" t="s">
        <v>4562</v>
      </c>
      <c r="S294" s="270">
        <f t="shared" si="11"/>
        <v>31778</v>
      </c>
      <c r="T294" s="270"/>
      <c r="U294" s="270">
        <f>IFERROR(VLOOKUP($A294,GeneratingCapabilityList!$E$7:$O$1673,11,FALSE),"ID Not Found")</f>
        <v>31778</v>
      </c>
      <c r="V294" s="271" t="str">
        <f>IFERROR(VLOOKUP($A294,GeneratingCapabilityList!$E$7:$O$1673,6,FALSE),"UNKNOWN")</f>
        <v>COGENERATION</v>
      </c>
      <c r="W294" s="271">
        <f>IFERROR(VLOOKUP($A294,GeneratingCapabilityList!$E$7:$O$1673,3,FALSE),"ID Not Found")</f>
        <v>9.9</v>
      </c>
      <c r="Y294" s="270"/>
    </row>
    <row r="295" spans="1:25">
      <c r="A295" s="241" t="s">
        <v>2261</v>
      </c>
      <c r="B295" s="241" t="s">
        <v>3328</v>
      </c>
      <c r="C295" s="241" t="s">
        <v>2261</v>
      </c>
      <c r="D295" s="242">
        <v>2.89</v>
      </c>
      <c r="E295" s="242">
        <v>2.83</v>
      </c>
      <c r="F295" s="242">
        <v>2.83</v>
      </c>
      <c r="G295" s="242">
        <v>2.83</v>
      </c>
      <c r="H295" s="242">
        <v>2.9</v>
      </c>
      <c r="I295" s="242">
        <v>2.91</v>
      </c>
      <c r="J295" s="242">
        <v>2.93</v>
      </c>
      <c r="K295" s="242">
        <v>2.89</v>
      </c>
      <c r="L295" s="242">
        <v>2.96</v>
      </c>
      <c r="M295" s="242">
        <v>2.86</v>
      </c>
      <c r="N295" s="242">
        <v>2.95</v>
      </c>
      <c r="O295" s="242">
        <v>2.82</v>
      </c>
      <c r="P295" s="241" t="s">
        <v>3352</v>
      </c>
      <c r="Q295" s="241" t="s">
        <v>3347</v>
      </c>
      <c r="R295" s="243" t="s">
        <v>4562</v>
      </c>
      <c r="S295" s="270">
        <f t="shared" si="11"/>
        <v>36743</v>
      </c>
      <c r="T295" s="270"/>
      <c r="U295" s="270">
        <f>IFERROR(VLOOKUP($A295,GeneratingCapabilityList!$E$7:$O$1673,11,FALSE),"ID Not Found")</f>
        <v>36743</v>
      </c>
      <c r="V295" s="271" t="str">
        <f>IFERROR(VLOOKUP($A295,GeneratingCapabilityList!$E$7:$O$1673,6,FALSE),"UNKNOWN")</f>
        <v>BIOMASS</v>
      </c>
      <c r="W295" s="271">
        <f>IFERROR(VLOOKUP($A295,GeneratingCapabilityList!$E$7:$O$1673,3,FALSE),"ID Not Found")</f>
        <v>3.1</v>
      </c>
      <c r="Y295" s="270"/>
    </row>
    <row r="296" spans="1:25">
      <c r="A296" s="241" t="s">
        <v>4463</v>
      </c>
      <c r="B296" s="245" t="s">
        <v>3375</v>
      </c>
      <c r="C296" s="241" t="s">
        <v>4464</v>
      </c>
      <c r="D296" s="249" t="s">
        <v>4573</v>
      </c>
      <c r="E296" s="249" t="s">
        <v>4573</v>
      </c>
      <c r="F296" s="249" t="s">
        <v>4573</v>
      </c>
      <c r="G296" s="249" t="s">
        <v>4573</v>
      </c>
      <c r="H296" s="249" t="s">
        <v>4573</v>
      </c>
      <c r="I296" s="249" t="s">
        <v>4573</v>
      </c>
      <c r="J296" s="249" t="s">
        <v>4573</v>
      </c>
      <c r="K296" s="249" t="s">
        <v>4573</v>
      </c>
      <c r="L296" s="249" t="s">
        <v>4573</v>
      </c>
      <c r="M296" s="249" t="s">
        <v>4573</v>
      </c>
      <c r="N296" s="249" t="s">
        <v>4573</v>
      </c>
      <c r="O296" s="249" t="s">
        <v>4573</v>
      </c>
      <c r="P296" s="245" t="s">
        <v>3345</v>
      </c>
      <c r="Q296" s="245" t="s">
        <v>3385</v>
      </c>
      <c r="R296" s="243" t="s">
        <v>4562</v>
      </c>
      <c r="S296" s="270">
        <f t="shared" si="11"/>
        <v>41365</v>
      </c>
      <c r="T296" s="270"/>
      <c r="U296" s="270">
        <f>IFERROR(VLOOKUP($A296,GeneratingCapabilityList!$E$7:$O$1673,11,FALSE),"ID Not Found")</f>
        <v>41365</v>
      </c>
      <c r="V296" s="271" t="str">
        <f>IFERROR(VLOOKUP($A296,GeneratingCapabilityList!$E$7:$O$1673,6,FALSE),"UNKNOWN")</f>
        <v>SOLAR</v>
      </c>
      <c r="W296" s="271">
        <f>IFERROR(VLOOKUP($A296,GeneratingCapabilityList!$E$7:$O$1673,3,FALSE),"ID Not Found")</f>
        <v>2.5</v>
      </c>
      <c r="Y296" s="270"/>
    </row>
    <row r="297" spans="1:25">
      <c r="A297" s="241" t="s">
        <v>2125</v>
      </c>
      <c r="B297" s="241" t="s">
        <v>3361</v>
      </c>
      <c r="C297" s="241" t="s">
        <v>3530</v>
      </c>
      <c r="D297" s="242">
        <v>17.66</v>
      </c>
      <c r="E297" s="242">
        <v>17.66</v>
      </c>
      <c r="F297" s="242">
        <v>17.66</v>
      </c>
      <c r="G297" s="242">
        <v>17.66</v>
      </c>
      <c r="H297" s="242">
        <v>17.66</v>
      </c>
      <c r="I297" s="242">
        <v>17.66</v>
      </c>
      <c r="J297" s="242">
        <v>17.66</v>
      </c>
      <c r="K297" s="242">
        <v>17.66</v>
      </c>
      <c r="L297" s="242">
        <v>17.66</v>
      </c>
      <c r="M297" s="242">
        <v>17.66</v>
      </c>
      <c r="N297" s="242">
        <v>17.66</v>
      </c>
      <c r="O297" s="242">
        <v>17.66</v>
      </c>
      <c r="P297" s="241" t="s">
        <v>3345</v>
      </c>
      <c r="Q297" s="241" t="s">
        <v>3347</v>
      </c>
      <c r="R297" s="243" t="s">
        <v>4561</v>
      </c>
      <c r="S297" s="270">
        <f t="shared" si="11"/>
        <v>33970</v>
      </c>
      <c r="T297" s="270"/>
      <c r="U297" s="270">
        <f>IFERROR(VLOOKUP($A297,GeneratingCapabilityList!$E$7:$O$1673,11,FALSE),"ID Not Found")</f>
        <v>33970</v>
      </c>
      <c r="V297" s="271" t="str">
        <f>IFERROR(VLOOKUP($A297,GeneratingCapabilityList!$E$7:$O$1673,6,FALSE),"UNKNOWN")</f>
        <v>HYDRO</v>
      </c>
      <c r="W297" s="271">
        <f>IFERROR(VLOOKUP($A297,GeneratingCapabilityList!$E$7:$O$1673,3,FALSE),"ID Not Found")</f>
        <v>20</v>
      </c>
      <c r="Y297" s="270"/>
    </row>
    <row r="298" spans="1:25">
      <c r="A298" s="241" t="s">
        <v>1789</v>
      </c>
      <c r="B298" s="241" t="s">
        <v>3375</v>
      </c>
      <c r="C298" s="241" t="s">
        <v>3531</v>
      </c>
      <c r="D298" s="242">
        <v>19.079999999999998</v>
      </c>
      <c r="E298" s="242">
        <v>23.7</v>
      </c>
      <c r="F298" s="242">
        <v>26.01</v>
      </c>
      <c r="G298" s="242">
        <v>20.7</v>
      </c>
      <c r="H298" s="242">
        <v>23.36</v>
      </c>
      <c r="I298" s="242">
        <v>32.6</v>
      </c>
      <c r="J298" s="242">
        <v>31.69</v>
      </c>
      <c r="K298" s="242">
        <v>38.56</v>
      </c>
      <c r="L298" s="242">
        <v>29.96</v>
      </c>
      <c r="M298" s="242">
        <v>24.27</v>
      </c>
      <c r="N298" s="242">
        <v>18.760000000000002</v>
      </c>
      <c r="O298" s="242">
        <v>14.74</v>
      </c>
      <c r="P298" s="241" t="s">
        <v>3345</v>
      </c>
      <c r="Q298" s="241" t="s">
        <v>3347</v>
      </c>
      <c r="R298" s="243" t="s">
        <v>4562</v>
      </c>
      <c r="S298" s="270">
        <f t="shared" si="11"/>
        <v>32519</v>
      </c>
      <c r="T298" s="270"/>
      <c r="U298" s="270">
        <f>IFERROR(VLOOKUP($A298,GeneratingCapabilityList!$E$7:$O$1673,11,FALSE),"ID Not Found")</f>
        <v>32519</v>
      </c>
      <c r="V298" s="271" t="str">
        <f>IFERROR(VLOOKUP($A298,GeneratingCapabilityList!$E$7:$O$1673,6,FALSE),"UNKNOWN")</f>
        <v>COGENERATION</v>
      </c>
      <c r="W298" s="271">
        <f>IFERROR(VLOOKUP($A298,GeneratingCapabilityList!$E$7:$O$1673,3,FALSE),"ID Not Found")</f>
        <v>49.5</v>
      </c>
      <c r="Y298" s="270"/>
    </row>
    <row r="299" spans="1:25">
      <c r="A299" s="241" t="s">
        <v>1875</v>
      </c>
      <c r="B299" s="241" t="s">
        <v>3375</v>
      </c>
      <c r="C299" s="241" t="s">
        <v>3532</v>
      </c>
      <c r="D299" s="242">
        <v>36.17</v>
      </c>
      <c r="E299" s="242">
        <v>34.5</v>
      </c>
      <c r="F299" s="242">
        <v>40.729999999999997</v>
      </c>
      <c r="G299" s="242">
        <v>30.8</v>
      </c>
      <c r="H299" s="242">
        <v>35.799999999999997</v>
      </c>
      <c r="I299" s="242">
        <v>40.590000000000003</v>
      </c>
      <c r="J299" s="242">
        <v>37.06</v>
      </c>
      <c r="K299" s="242">
        <v>40.630000000000003</v>
      </c>
      <c r="L299" s="242">
        <v>37.01</v>
      </c>
      <c r="M299" s="242">
        <v>39.86</v>
      </c>
      <c r="N299" s="242">
        <v>31.08</v>
      </c>
      <c r="O299" s="242">
        <v>28.37</v>
      </c>
      <c r="P299" s="241" t="s">
        <v>3345</v>
      </c>
      <c r="Q299" s="241" t="s">
        <v>3347</v>
      </c>
      <c r="R299" s="243" t="s">
        <v>4562</v>
      </c>
      <c r="S299" s="270">
        <f t="shared" si="11"/>
        <v>32793</v>
      </c>
      <c r="T299" s="270"/>
      <c r="U299" s="270">
        <f>IFERROR(VLOOKUP($A299,GeneratingCapabilityList!$E$7:$O$1673,11,FALSE),"ID Not Found")</f>
        <v>32793</v>
      </c>
      <c r="V299" s="271" t="str">
        <f>IFERROR(VLOOKUP($A299,GeneratingCapabilityList!$E$7:$O$1673,6,FALSE),"UNKNOWN")</f>
        <v>COGENERATION</v>
      </c>
      <c r="W299" s="271">
        <f>IFERROR(VLOOKUP($A299,GeneratingCapabilityList!$E$7:$O$1673,3,FALSE),"ID Not Found")</f>
        <v>63.75</v>
      </c>
      <c r="Y299" s="270"/>
    </row>
    <row r="300" spans="1:25">
      <c r="A300" s="259" t="s">
        <v>2794</v>
      </c>
      <c r="B300" s="250" t="s">
        <v>3361</v>
      </c>
      <c r="C300" s="250" t="s">
        <v>2795</v>
      </c>
      <c r="D300" s="281">
        <v>2.3445816129032262</v>
      </c>
      <c r="E300" s="281">
        <v>2.5251565165631469</v>
      </c>
      <c r="F300" s="281">
        <v>2.5921044086021507</v>
      </c>
      <c r="G300" s="281">
        <v>2.4722071111111106</v>
      </c>
      <c r="H300" s="281">
        <v>2.3826264516129032</v>
      </c>
      <c r="I300" s="281">
        <v>2.1108752222222225</v>
      </c>
      <c r="J300" s="281">
        <v>2.1921034296885922</v>
      </c>
      <c r="K300" s="281">
        <v>2.2183464516129034</v>
      </c>
      <c r="L300" s="281">
        <v>2.2296856666666667</v>
      </c>
      <c r="M300" s="281">
        <v>2.2685261290322583</v>
      </c>
      <c r="N300" s="281">
        <v>2.3978232222222231</v>
      </c>
      <c r="O300" s="281">
        <v>2.5294683870967751</v>
      </c>
      <c r="P300" s="252" t="s">
        <v>3345</v>
      </c>
      <c r="Q300" s="252" t="s">
        <v>3347</v>
      </c>
      <c r="R300" s="253" t="s">
        <v>4562</v>
      </c>
      <c r="S300" s="270">
        <f t="shared" si="11"/>
        <v>38750</v>
      </c>
      <c r="T300" s="270"/>
      <c r="U300" s="270">
        <f>IFERROR(VLOOKUP($A300,GeneratingCapabilityList!$E$7:$O$1673,11,FALSE),"ID Not Found")</f>
        <v>38750</v>
      </c>
      <c r="V300" s="271" t="str">
        <f>IFERROR(VLOOKUP($A300,GeneratingCapabilityList!$E$7:$O$1673,6,FALSE),"UNKNOWN")</f>
        <v>THERMAL</v>
      </c>
      <c r="W300" s="271">
        <f>IFERROR(VLOOKUP($A300,GeneratingCapabilityList!$E$7:$O$1673,3,FALSE),"ID Not Found")</f>
        <v>3.04</v>
      </c>
      <c r="Y300" s="270"/>
    </row>
    <row r="301" spans="1:25">
      <c r="A301" s="241" t="s">
        <v>1445</v>
      </c>
      <c r="B301" s="241" t="s">
        <v>3384</v>
      </c>
      <c r="C301" s="241" t="s">
        <v>4615</v>
      </c>
      <c r="D301" s="249" t="s">
        <v>4573</v>
      </c>
      <c r="E301" s="249" t="s">
        <v>4573</v>
      </c>
      <c r="F301" s="249" t="s">
        <v>4573</v>
      </c>
      <c r="G301" s="249" t="s">
        <v>4573</v>
      </c>
      <c r="H301" s="249" t="s">
        <v>4573</v>
      </c>
      <c r="I301" s="249" t="s">
        <v>4573</v>
      </c>
      <c r="J301" s="249" t="s">
        <v>4573</v>
      </c>
      <c r="K301" s="249" t="s">
        <v>4573</v>
      </c>
      <c r="L301" s="249" t="s">
        <v>4573</v>
      </c>
      <c r="M301" s="249" t="s">
        <v>4573</v>
      </c>
      <c r="N301" s="249" t="s">
        <v>4573</v>
      </c>
      <c r="O301" s="249" t="s">
        <v>4573</v>
      </c>
      <c r="P301" s="241" t="s">
        <v>3345</v>
      </c>
      <c r="Q301" s="241" t="s">
        <v>3385</v>
      </c>
      <c r="R301" s="246" t="s">
        <v>4562</v>
      </c>
      <c r="S301" s="270">
        <f t="shared" si="11"/>
        <v>31778</v>
      </c>
      <c r="T301" s="270"/>
      <c r="U301" s="270">
        <f>IFERROR(VLOOKUP($A301,GeneratingCapabilityList!$E$7:$O$1673,11,FALSE),"ID Not Found")</f>
        <v>31778</v>
      </c>
      <c r="V301" s="271" t="str">
        <f>IFERROR(VLOOKUP($A301,GeneratingCapabilityList!$E$7:$O$1673,6,FALSE),"UNKNOWN")</f>
        <v>HYDRO</v>
      </c>
      <c r="W301" s="271">
        <f>IFERROR(VLOOKUP($A301,GeneratingCapabilityList!$E$7:$O$1673,3,FALSE),"ID Not Found")</f>
        <v>5</v>
      </c>
      <c r="Y301" s="270"/>
    </row>
    <row r="302" spans="1:25">
      <c r="A302" s="241" t="s">
        <v>1551</v>
      </c>
      <c r="B302" s="241" t="s">
        <v>3324</v>
      </c>
      <c r="C302" s="241" t="s">
        <v>1552</v>
      </c>
      <c r="D302" s="242">
        <v>23.4</v>
      </c>
      <c r="E302" s="242">
        <v>23.52</v>
      </c>
      <c r="F302" s="242">
        <v>23.62</v>
      </c>
      <c r="G302" s="242">
        <v>20.91</v>
      </c>
      <c r="H302" s="242">
        <v>24.77</v>
      </c>
      <c r="I302" s="242">
        <v>24.3</v>
      </c>
      <c r="J302" s="242">
        <v>24.06</v>
      </c>
      <c r="K302" s="242">
        <v>24.92</v>
      </c>
      <c r="L302" s="242">
        <v>23.48</v>
      </c>
      <c r="M302" s="242">
        <v>24.88</v>
      </c>
      <c r="N302" s="242">
        <v>21.32</v>
      </c>
      <c r="O302" s="242">
        <v>23.72</v>
      </c>
      <c r="P302" s="241" t="s">
        <v>3345</v>
      </c>
      <c r="Q302" s="241" t="s">
        <v>3347</v>
      </c>
      <c r="R302" s="243" t="s">
        <v>4562</v>
      </c>
      <c r="S302" s="270">
        <f t="shared" si="11"/>
        <v>31916</v>
      </c>
      <c r="T302" s="270"/>
      <c r="U302" s="270">
        <f>IFERROR(VLOOKUP($A302,GeneratingCapabilityList!$E$7:$O$1673,11,FALSE),"ID Not Found")</f>
        <v>31916</v>
      </c>
      <c r="V302" s="271" t="str">
        <f>IFERROR(VLOOKUP($A302,GeneratingCapabilityList!$E$7:$O$1673,6,FALSE),"UNKNOWN")</f>
        <v>COGENERATION</v>
      </c>
      <c r="W302" s="271">
        <f>IFERROR(VLOOKUP($A302,GeneratingCapabilityList!$E$7:$O$1673,3,FALSE),"ID Not Found")</f>
        <v>32.5</v>
      </c>
      <c r="Y302" s="270"/>
    </row>
    <row r="303" spans="1:25">
      <c r="A303" s="820" t="s">
        <v>4616</v>
      </c>
      <c r="B303" s="830" t="s">
        <v>3349</v>
      </c>
      <c r="C303" s="245" t="s">
        <v>4617</v>
      </c>
      <c r="D303" s="281">
        <v>0.16877173753959357</v>
      </c>
      <c r="E303" s="281">
        <v>1.5962804116120113</v>
      </c>
      <c r="F303" s="281">
        <v>3.7229130601825107</v>
      </c>
      <c r="G303" s="281">
        <v>12.037188803879566</v>
      </c>
      <c r="H303" s="281">
        <v>14.689627871413931</v>
      </c>
      <c r="I303" s="281">
        <v>17.347136879379306</v>
      </c>
      <c r="J303" s="281">
        <v>16.962300947020868</v>
      </c>
      <c r="K303" s="281">
        <v>16.289081898889542</v>
      </c>
      <c r="L303" s="281">
        <v>14.823805988776535</v>
      </c>
      <c r="M303" s="281">
        <v>9.3663127893615101</v>
      </c>
      <c r="N303" s="281">
        <v>1.2956176862513553</v>
      </c>
      <c r="O303" s="281">
        <v>0.54262219785377686</v>
      </c>
      <c r="P303" s="245" t="s">
        <v>3345</v>
      </c>
      <c r="Q303" s="825" t="s">
        <v>3347</v>
      </c>
      <c r="R303" s="243" t="s">
        <v>4562</v>
      </c>
      <c r="S303" s="270">
        <f t="shared" si="11"/>
        <v>41535</v>
      </c>
      <c r="T303" s="270"/>
      <c r="U303" s="270">
        <f>IFERROR(VLOOKUP($A303,GeneratingCapabilityList!$E$7:$O$1673,11,FALSE),"ID Not Found")</f>
        <v>41535</v>
      </c>
      <c r="V303" s="271" t="str">
        <f>IFERROR(VLOOKUP($A303,GeneratingCapabilityList!$E$7:$O$1673,6,FALSE),"UNKNOWN")</f>
        <v>SOLAR</v>
      </c>
      <c r="W303" s="271">
        <f>IFERROR(VLOOKUP($A303,GeneratingCapabilityList!$E$7:$O$1673,3,FALSE),"ID Not Found")</f>
        <v>20</v>
      </c>
      <c r="Y303" s="270"/>
    </row>
    <row r="304" spans="1:25">
      <c r="A304" s="241" t="s">
        <v>2442</v>
      </c>
      <c r="B304" s="241" t="s">
        <v>3349</v>
      </c>
      <c r="C304" s="241" t="s">
        <v>4618</v>
      </c>
      <c r="D304" s="242">
        <v>84.4</v>
      </c>
      <c r="E304" s="242">
        <v>84.4</v>
      </c>
      <c r="F304" s="242">
        <v>84.4</v>
      </c>
      <c r="G304" s="242">
        <v>84.4</v>
      </c>
      <c r="H304" s="242">
        <v>84.4</v>
      </c>
      <c r="I304" s="242">
        <v>84.4</v>
      </c>
      <c r="J304" s="242">
        <v>84.4</v>
      </c>
      <c r="K304" s="242">
        <v>84.4</v>
      </c>
      <c r="L304" s="242">
        <v>84.4</v>
      </c>
      <c r="M304" s="242">
        <v>84.4</v>
      </c>
      <c r="N304" s="242">
        <v>84.4</v>
      </c>
      <c r="O304" s="242">
        <v>84.4</v>
      </c>
      <c r="P304" s="241" t="s">
        <v>3345</v>
      </c>
      <c r="Q304" s="241" t="s">
        <v>3347</v>
      </c>
      <c r="R304" s="243" t="s">
        <v>4561</v>
      </c>
      <c r="S304" s="270">
        <f t="shared" si="11"/>
        <v>37130</v>
      </c>
      <c r="T304" s="270"/>
      <c r="U304" s="270">
        <f>IFERROR(VLOOKUP($A304,GeneratingCapabilityList!$E$7:$O$1673,11,FALSE),"ID Not Found")</f>
        <v>37130</v>
      </c>
      <c r="V304" s="271" t="str">
        <f>IFERROR(VLOOKUP($A304,GeneratingCapabilityList!$E$7:$O$1673,6,FALSE),"UNKNOWN")</f>
        <v>PEAKER</v>
      </c>
      <c r="W304" s="271">
        <f>IFERROR(VLOOKUP($A304,GeneratingCapabilityList!$E$7:$O$1673,3,FALSE),"ID Not Found")</f>
        <v>98.46</v>
      </c>
      <c r="Y304" s="270"/>
    </row>
    <row r="305" spans="1:25">
      <c r="A305" s="241" t="s">
        <v>641</v>
      </c>
      <c r="B305" s="241" t="s">
        <v>3346</v>
      </c>
      <c r="C305" s="241" t="s">
        <v>3533</v>
      </c>
      <c r="D305" s="242">
        <v>80</v>
      </c>
      <c r="E305" s="242">
        <v>80</v>
      </c>
      <c r="F305" s="242">
        <v>80</v>
      </c>
      <c r="G305" s="242">
        <v>80</v>
      </c>
      <c r="H305" s="242">
        <v>80</v>
      </c>
      <c r="I305" s="242">
        <v>80</v>
      </c>
      <c r="J305" s="242">
        <v>80</v>
      </c>
      <c r="K305" s="242">
        <v>80</v>
      </c>
      <c r="L305" s="242">
        <v>80</v>
      </c>
      <c r="M305" s="242">
        <v>80</v>
      </c>
      <c r="N305" s="242">
        <v>80</v>
      </c>
      <c r="O305" s="242">
        <v>80</v>
      </c>
      <c r="P305" s="241" t="s">
        <v>3345</v>
      </c>
      <c r="Q305" s="241" t="s">
        <v>3347</v>
      </c>
      <c r="R305" s="243" t="s">
        <v>4561</v>
      </c>
      <c r="S305" s="270">
        <f t="shared" si="11"/>
        <v>25934</v>
      </c>
      <c r="T305" s="270"/>
      <c r="U305" s="270">
        <f>IFERROR(VLOOKUP($A305,GeneratingCapabilityList!$E$7:$O$1673,11,FALSE),"ID Not Found")</f>
        <v>25934</v>
      </c>
      <c r="V305" s="271" t="str">
        <f>IFERROR(VLOOKUP($A305,GeneratingCapabilityList!$E$7:$O$1673,6,FALSE),"UNKNOWN")</f>
        <v>GEOTHERMAL</v>
      </c>
      <c r="W305" s="271">
        <f>IFERROR(VLOOKUP($A305,GeneratingCapabilityList!$E$7:$O$1673,3,FALSE),"ID Not Found")</f>
        <v>85</v>
      </c>
      <c r="Y305" s="270"/>
    </row>
    <row r="306" spans="1:25">
      <c r="A306" s="241" t="s">
        <v>658</v>
      </c>
      <c r="B306" s="241" t="s">
        <v>3346</v>
      </c>
      <c r="C306" s="241" t="s">
        <v>3534</v>
      </c>
      <c r="D306" s="242">
        <v>76</v>
      </c>
      <c r="E306" s="242">
        <v>76</v>
      </c>
      <c r="F306" s="242">
        <v>76</v>
      </c>
      <c r="G306" s="242">
        <v>76</v>
      </c>
      <c r="H306" s="242">
        <v>76</v>
      </c>
      <c r="I306" s="242">
        <v>76</v>
      </c>
      <c r="J306" s="242">
        <v>76</v>
      </c>
      <c r="K306" s="242">
        <v>76</v>
      </c>
      <c r="L306" s="242">
        <v>76</v>
      </c>
      <c r="M306" s="242">
        <v>76</v>
      </c>
      <c r="N306" s="242">
        <v>76</v>
      </c>
      <c r="O306" s="242">
        <v>76</v>
      </c>
      <c r="P306" s="241" t="s">
        <v>3345</v>
      </c>
      <c r="Q306" s="241" t="s">
        <v>3347</v>
      </c>
      <c r="R306" s="243" t="s">
        <v>4561</v>
      </c>
      <c r="S306" s="270">
        <f t="shared" si="11"/>
        <v>26299</v>
      </c>
      <c r="T306" s="270"/>
      <c r="U306" s="270">
        <f>IFERROR(VLOOKUP($A306,GeneratingCapabilityList!$E$7:$O$1673,11,FALSE),"ID Not Found")</f>
        <v>26299</v>
      </c>
      <c r="V306" s="271" t="str">
        <f>IFERROR(VLOOKUP($A306,GeneratingCapabilityList!$E$7:$O$1673,6,FALSE),"UNKNOWN")</f>
        <v>GEOTHERMAL</v>
      </c>
      <c r="W306" s="271">
        <f>IFERROR(VLOOKUP($A306,GeneratingCapabilityList!$E$7:$O$1673,3,FALSE),"ID Not Found")</f>
        <v>82</v>
      </c>
      <c r="Y306" s="270"/>
    </row>
    <row r="307" spans="1:25">
      <c r="A307" s="241" t="s">
        <v>1757</v>
      </c>
      <c r="B307" s="241" t="s">
        <v>3346</v>
      </c>
      <c r="C307" s="241" t="s">
        <v>3535</v>
      </c>
      <c r="D307" s="242">
        <v>1.33</v>
      </c>
      <c r="E307" s="242">
        <v>2.35</v>
      </c>
      <c r="F307" s="242">
        <v>2.33</v>
      </c>
      <c r="G307" s="242">
        <v>1.68</v>
      </c>
      <c r="H307" s="242">
        <v>0.88</v>
      </c>
      <c r="I307" s="242">
        <v>1.68</v>
      </c>
      <c r="J307" s="242">
        <v>1.76</v>
      </c>
      <c r="K307" s="242">
        <v>1.68</v>
      </c>
      <c r="L307" s="242">
        <v>0.94</v>
      </c>
      <c r="M307" s="242">
        <v>1.42</v>
      </c>
      <c r="N307" s="242">
        <v>1.44</v>
      </c>
      <c r="O307" s="242">
        <v>1.43</v>
      </c>
      <c r="P307" s="241" t="s">
        <v>3345</v>
      </c>
      <c r="Q307" s="241" t="s">
        <v>3347</v>
      </c>
      <c r="R307" s="243" t="s">
        <v>4562</v>
      </c>
      <c r="S307" s="270">
        <f t="shared" si="11"/>
        <v>32499</v>
      </c>
      <c r="T307" s="270"/>
      <c r="U307" s="270">
        <f>IFERROR(VLOOKUP($A307,GeneratingCapabilityList!$E$7:$O$1673,11,FALSE),"ID Not Found")</f>
        <v>32499</v>
      </c>
      <c r="V307" s="271" t="str">
        <f>IFERROR(VLOOKUP($A307,GeneratingCapabilityList!$E$7:$O$1673,6,FALSE),"UNKNOWN")</f>
        <v>HYDRO</v>
      </c>
      <c r="W307" s="271">
        <f>IFERROR(VLOOKUP($A307,GeneratingCapabilityList!$E$7:$O$1673,3,FALSE),"ID Not Found")</f>
        <v>3.75</v>
      </c>
      <c r="Y307" s="270"/>
    </row>
    <row r="308" spans="1:25">
      <c r="A308" s="241" t="s">
        <v>408</v>
      </c>
      <c r="B308" s="241" t="s">
        <v>3349</v>
      </c>
      <c r="C308" s="241" t="s">
        <v>3536</v>
      </c>
      <c r="D308" s="242">
        <v>136.31</v>
      </c>
      <c r="E308" s="242">
        <v>136.05000000000001</v>
      </c>
      <c r="F308" s="242">
        <v>136.38999999999999</v>
      </c>
      <c r="G308" s="242">
        <v>136.44</v>
      </c>
      <c r="H308" s="242">
        <v>136.88</v>
      </c>
      <c r="I308" s="242">
        <v>139.81</v>
      </c>
      <c r="J308" s="242">
        <v>138.59</v>
      </c>
      <c r="K308" s="242">
        <v>136.30000000000001</v>
      </c>
      <c r="L308" s="242">
        <v>138.81</v>
      </c>
      <c r="M308" s="242">
        <v>142.9</v>
      </c>
      <c r="N308" s="242">
        <v>140.74</v>
      </c>
      <c r="O308" s="242">
        <v>136.54</v>
      </c>
      <c r="P308" s="241" t="s">
        <v>3345</v>
      </c>
      <c r="Q308" s="241" t="s">
        <v>3347</v>
      </c>
      <c r="R308" s="243" t="s">
        <v>4561</v>
      </c>
      <c r="S308" s="270">
        <f t="shared" si="11"/>
        <v>21186</v>
      </c>
      <c r="T308" s="270"/>
      <c r="U308" s="270">
        <f>IFERROR(VLOOKUP($A308,GeneratingCapabilityList!$E$7:$O$1673,11,FALSE),"ID Not Found")</f>
        <v>21186</v>
      </c>
      <c r="V308" s="271" t="str">
        <f>IFERROR(VLOOKUP($A308,GeneratingCapabilityList!$E$7:$O$1673,6,FALSE),"UNKNOWN")</f>
        <v>HYDRO</v>
      </c>
      <c r="W308" s="271">
        <f>IFERROR(VLOOKUP($A308,GeneratingCapabilityList!$E$7:$O$1673,3,FALSE),"ID Not Found")</f>
        <v>144</v>
      </c>
      <c r="Y308" s="270"/>
    </row>
    <row r="309" spans="1:25">
      <c r="A309" s="241" t="s">
        <v>145</v>
      </c>
      <c r="B309" s="241" t="s">
        <v>3375</v>
      </c>
      <c r="C309" s="241" t="s">
        <v>3537</v>
      </c>
      <c r="D309" s="242">
        <v>5.86</v>
      </c>
      <c r="E309" s="242">
        <v>5.94</v>
      </c>
      <c r="F309" s="242">
        <v>4.82</v>
      </c>
      <c r="G309" s="242">
        <v>5.42</v>
      </c>
      <c r="H309" s="242">
        <v>8.0399999999999991</v>
      </c>
      <c r="I309" s="242">
        <v>7.62</v>
      </c>
      <c r="J309" s="242">
        <v>7.65</v>
      </c>
      <c r="K309" s="242">
        <v>7.03</v>
      </c>
      <c r="L309" s="242">
        <v>7.26</v>
      </c>
      <c r="M309" s="242">
        <v>4.1500000000000004</v>
      </c>
      <c r="N309" s="242">
        <v>3.63</v>
      </c>
      <c r="O309" s="242">
        <v>3.97</v>
      </c>
      <c r="P309" s="241" t="s">
        <v>3345</v>
      </c>
      <c r="Q309" s="241" t="s">
        <v>3347</v>
      </c>
      <c r="R309" s="243" t="s">
        <v>4561</v>
      </c>
      <c r="S309" s="270">
        <f t="shared" si="11"/>
        <v>5845</v>
      </c>
      <c r="T309" s="270"/>
      <c r="U309" s="270">
        <f>IFERROR(VLOOKUP($A309,GeneratingCapabilityList!$E$7:$O$1673,11,FALSE),"ID Not Found")</f>
        <v>5845</v>
      </c>
      <c r="V309" s="271" t="str">
        <f>IFERROR(VLOOKUP($A309,GeneratingCapabilityList!$E$7:$O$1673,6,FALSE),"UNKNOWN")</f>
        <v>HYDRO</v>
      </c>
      <c r="W309" s="271">
        <f>IFERROR(VLOOKUP($A309,GeneratingCapabilityList!$E$7:$O$1673,3,FALSE),"ID Not Found")</f>
        <v>13.5</v>
      </c>
      <c r="Y309" s="270"/>
    </row>
    <row r="310" spans="1:25">
      <c r="A310" s="241" t="s">
        <v>2374</v>
      </c>
      <c r="B310" s="241" t="s">
        <v>3327</v>
      </c>
      <c r="C310" s="241" t="s">
        <v>3538</v>
      </c>
      <c r="D310" s="242">
        <v>100</v>
      </c>
      <c r="E310" s="242">
        <v>100</v>
      </c>
      <c r="F310" s="242">
        <v>100</v>
      </c>
      <c r="G310" s="242">
        <v>100</v>
      </c>
      <c r="H310" s="242">
        <v>100</v>
      </c>
      <c r="I310" s="242">
        <v>100</v>
      </c>
      <c r="J310" s="242">
        <v>100</v>
      </c>
      <c r="K310" s="242">
        <v>100</v>
      </c>
      <c r="L310" s="242">
        <v>100</v>
      </c>
      <c r="M310" s="242">
        <v>100</v>
      </c>
      <c r="N310" s="242">
        <v>100</v>
      </c>
      <c r="O310" s="242">
        <v>100</v>
      </c>
      <c r="P310" s="241" t="s">
        <v>3352</v>
      </c>
      <c r="Q310" s="241" t="s">
        <v>3347</v>
      </c>
      <c r="R310" s="243" t="s">
        <v>4561</v>
      </c>
      <c r="S310" s="270">
        <f t="shared" si="11"/>
        <v>37056</v>
      </c>
      <c r="T310" s="270"/>
      <c r="U310" s="270">
        <f>IFERROR(VLOOKUP($A310,GeneratingCapabilityList!$E$7:$O$1673,11,FALSE),"ID Not Found")</f>
        <v>37056</v>
      </c>
      <c r="V310" s="271" t="str">
        <f>IFERROR(VLOOKUP($A310,GeneratingCapabilityList!$E$7:$O$1673,6,FALSE),"UNKNOWN")</f>
        <v>THERMAL</v>
      </c>
      <c r="W310" s="271">
        <f>IFERROR(VLOOKUP($A310,GeneratingCapabilityList!$E$7:$O$1673,3,FALSE),"ID Not Found")</f>
        <v>109.01</v>
      </c>
      <c r="Y310" s="270"/>
    </row>
    <row r="311" spans="1:25">
      <c r="A311" s="241" t="s">
        <v>186</v>
      </c>
      <c r="B311" s="241" t="s">
        <v>3361</v>
      </c>
      <c r="C311" s="241" t="s">
        <v>3539</v>
      </c>
      <c r="D311" s="242">
        <v>3.81</v>
      </c>
      <c r="E311" s="242">
        <v>3.7</v>
      </c>
      <c r="F311" s="242">
        <v>3.76</v>
      </c>
      <c r="G311" s="242">
        <v>2.96</v>
      </c>
      <c r="H311" s="242">
        <v>3.01</v>
      </c>
      <c r="I311" s="242">
        <v>3.63</v>
      </c>
      <c r="J311" s="242">
        <v>3.4</v>
      </c>
      <c r="K311" s="242">
        <v>2.92</v>
      </c>
      <c r="L311" s="242">
        <v>2.46</v>
      </c>
      <c r="M311" s="242">
        <v>3.28</v>
      </c>
      <c r="N311" s="242">
        <v>3.91</v>
      </c>
      <c r="O311" s="242">
        <v>3.96</v>
      </c>
      <c r="P311" s="241" t="s">
        <v>3345</v>
      </c>
      <c r="Q311" s="241" t="s">
        <v>3347</v>
      </c>
      <c r="R311" s="243" t="s">
        <v>4561</v>
      </c>
      <c r="S311" s="270">
        <f t="shared" si="11"/>
        <v>7672</v>
      </c>
      <c r="T311" s="270"/>
      <c r="U311" s="270">
        <f>IFERROR(VLOOKUP($A311,GeneratingCapabilityList!$E$7:$O$1673,11,FALSE),"ID Not Found")</f>
        <v>7672</v>
      </c>
      <c r="V311" s="271" t="str">
        <f>IFERROR(VLOOKUP($A311,GeneratingCapabilityList!$E$7:$O$1673,6,FALSE),"UNKNOWN")</f>
        <v>HYDRO</v>
      </c>
      <c r="W311" s="271">
        <f>IFERROR(VLOOKUP($A311,GeneratingCapabilityList!$E$7:$O$1673,3,FALSE),"ID Not Found")</f>
        <v>8.5</v>
      </c>
      <c r="Y311" s="270"/>
    </row>
    <row r="312" spans="1:25">
      <c r="A312" s="241" t="s">
        <v>189</v>
      </c>
      <c r="B312" s="241" t="s">
        <v>3361</v>
      </c>
      <c r="C312" s="241" t="s">
        <v>3540</v>
      </c>
      <c r="D312" s="242">
        <v>5.01</v>
      </c>
      <c r="E312" s="242">
        <v>4.92</v>
      </c>
      <c r="F312" s="242">
        <v>5.04</v>
      </c>
      <c r="G312" s="242">
        <v>4.43</v>
      </c>
      <c r="H312" s="242">
        <v>3.96</v>
      </c>
      <c r="I312" s="242">
        <v>4.72</v>
      </c>
      <c r="J312" s="242">
        <v>4.51</v>
      </c>
      <c r="K312" s="242">
        <v>4.0999999999999996</v>
      </c>
      <c r="L312" s="242">
        <v>3.65</v>
      </c>
      <c r="M312" s="242">
        <v>4.33</v>
      </c>
      <c r="N312" s="242">
        <v>5.07</v>
      </c>
      <c r="O312" s="242">
        <v>5.32</v>
      </c>
      <c r="P312" s="241" t="s">
        <v>3345</v>
      </c>
      <c r="Q312" s="241" t="s">
        <v>3347</v>
      </c>
      <c r="R312" s="243" t="s">
        <v>4561</v>
      </c>
      <c r="S312" s="270">
        <f t="shared" si="11"/>
        <v>7672</v>
      </c>
      <c r="T312" s="270"/>
      <c r="U312" s="270">
        <f>IFERROR(VLOOKUP($A312,GeneratingCapabilityList!$E$7:$O$1673,11,FALSE),"ID Not Found")</f>
        <v>7672</v>
      </c>
      <c r="V312" s="271" t="str">
        <f>IFERROR(VLOOKUP($A312,GeneratingCapabilityList!$E$7:$O$1673,6,FALSE),"UNKNOWN")</f>
        <v>HYDRO</v>
      </c>
      <c r="W312" s="271">
        <f>IFERROR(VLOOKUP($A312,GeneratingCapabilityList!$E$7:$O$1673,3,FALSE),"ID Not Found")</f>
        <v>8.5</v>
      </c>
      <c r="Y312" s="270"/>
    </row>
    <row r="313" spans="1:25">
      <c r="A313" s="241" t="s">
        <v>1846</v>
      </c>
      <c r="B313" s="241" t="s">
        <v>3361</v>
      </c>
      <c r="C313" s="241" t="s">
        <v>1847</v>
      </c>
      <c r="D313" s="242">
        <v>0.82</v>
      </c>
      <c r="E313" s="242">
        <v>0.82</v>
      </c>
      <c r="F313" s="242">
        <v>0.89</v>
      </c>
      <c r="G313" s="242">
        <v>0.89</v>
      </c>
      <c r="H313" s="242">
        <v>0.82</v>
      </c>
      <c r="I313" s="242">
        <v>0.78</v>
      </c>
      <c r="J313" s="242">
        <v>0.73</v>
      </c>
      <c r="K313" s="242">
        <v>0.67</v>
      </c>
      <c r="L313" s="242">
        <v>0.67</v>
      </c>
      <c r="M313" s="242">
        <v>0.79</v>
      </c>
      <c r="N313" s="242">
        <v>0.78</v>
      </c>
      <c r="O313" s="242">
        <v>0.82</v>
      </c>
      <c r="P313" s="241" t="s">
        <v>3345</v>
      </c>
      <c r="Q313" s="241" t="s">
        <v>3347</v>
      </c>
      <c r="R313" s="243" t="s">
        <v>4561</v>
      </c>
      <c r="S313" s="270">
        <f t="shared" si="11"/>
        <v>32674</v>
      </c>
      <c r="T313" s="270"/>
      <c r="U313" s="270">
        <f>IFERROR(VLOOKUP($A313,GeneratingCapabilityList!$E$7:$O$1673,11,FALSE),"ID Not Found")</f>
        <v>32674</v>
      </c>
      <c r="V313" s="271" t="str">
        <f>IFERROR(VLOOKUP($A313,GeneratingCapabilityList!$E$7:$O$1673,6,FALSE),"UNKNOWN")</f>
        <v>HYDRO</v>
      </c>
      <c r="W313" s="271">
        <f>IFERROR(VLOOKUP($A313,GeneratingCapabilityList!$E$7:$O$1673,3,FALSE),"ID Not Found")</f>
        <v>1.7</v>
      </c>
      <c r="Y313" s="270"/>
    </row>
    <row r="314" spans="1:25">
      <c r="A314" s="241" t="s">
        <v>1850</v>
      </c>
      <c r="B314" s="241" t="s">
        <v>3361</v>
      </c>
      <c r="C314" s="241" t="s">
        <v>3541</v>
      </c>
      <c r="D314" s="242">
        <v>1.1599999999999999</v>
      </c>
      <c r="E314" s="242">
        <v>1.17</v>
      </c>
      <c r="F314" s="242">
        <v>1.2</v>
      </c>
      <c r="G314" s="242">
        <v>1.22</v>
      </c>
      <c r="H314" s="242">
        <v>1.2</v>
      </c>
      <c r="I314" s="242">
        <v>1.1599999999999999</v>
      </c>
      <c r="J314" s="242">
        <v>1.1200000000000001</v>
      </c>
      <c r="K314" s="242">
        <v>0.98</v>
      </c>
      <c r="L314" s="242">
        <v>1.0900000000000001</v>
      </c>
      <c r="M314" s="242">
        <v>1.1499999999999999</v>
      </c>
      <c r="N314" s="242">
        <v>1.1399999999999999</v>
      </c>
      <c r="O314" s="242">
        <v>1.1200000000000001</v>
      </c>
      <c r="P314" s="241" t="s">
        <v>3345</v>
      </c>
      <c r="Q314" s="241" t="s">
        <v>3347</v>
      </c>
      <c r="R314" s="243" t="s">
        <v>4562</v>
      </c>
      <c r="S314" s="270">
        <f t="shared" si="11"/>
        <v>32674</v>
      </c>
      <c r="T314" s="270"/>
      <c r="U314" s="270">
        <f>IFERROR(VLOOKUP($A314,GeneratingCapabilityList!$E$7:$O$1673,11,FALSE),"ID Not Found")</f>
        <v>32674</v>
      </c>
      <c r="V314" s="271" t="str">
        <f>IFERROR(VLOOKUP($A314,GeneratingCapabilityList!$E$7:$O$1673,6,FALSE),"UNKNOWN")</f>
        <v>HYDRO</v>
      </c>
      <c r="W314" s="271">
        <f>IFERROR(VLOOKUP($A314,GeneratingCapabilityList!$E$7:$O$1673,3,FALSE),"ID Not Found")</f>
        <v>2.75</v>
      </c>
      <c r="Y314" s="270"/>
    </row>
    <row r="315" spans="1:25">
      <c r="A315" s="241" t="s">
        <v>2964</v>
      </c>
      <c r="B315" s="241" t="s">
        <v>3361</v>
      </c>
      <c r="C315" s="241" t="s">
        <v>2965</v>
      </c>
      <c r="D315" s="242">
        <v>3.73</v>
      </c>
      <c r="E315" s="242">
        <v>8.0399999999999991</v>
      </c>
      <c r="F315" s="242">
        <v>20.149999999999999</v>
      </c>
      <c r="G315" s="242">
        <v>17.93</v>
      </c>
      <c r="H315" s="242">
        <v>22.35</v>
      </c>
      <c r="I315" s="242">
        <v>16.87</v>
      </c>
      <c r="J315" s="242">
        <v>14.3</v>
      </c>
      <c r="K315" s="242">
        <v>15.89</v>
      </c>
      <c r="L315" s="242">
        <v>8.11</v>
      </c>
      <c r="M315" s="242">
        <v>10.67</v>
      </c>
      <c r="N315" s="242">
        <v>9.93</v>
      </c>
      <c r="O315" s="242">
        <v>15.63</v>
      </c>
      <c r="P315" s="241" t="s">
        <v>3345</v>
      </c>
      <c r="Q315" s="241" t="s">
        <v>3347</v>
      </c>
      <c r="R315" s="243" t="s">
        <v>4562</v>
      </c>
      <c r="S315" s="270">
        <f t="shared" si="11"/>
        <v>40501</v>
      </c>
      <c r="T315" s="270"/>
      <c r="U315" s="270">
        <f>IFERROR(VLOOKUP($A315,GeneratingCapabilityList!$E$7:$O$1673,11,FALSE),"ID Not Found")</f>
        <v>40501</v>
      </c>
      <c r="V315" s="271" t="str">
        <f>IFERROR(VLOOKUP($A315,GeneratingCapabilityList!$E$7:$O$1673,6,FALSE),"UNKNOWN")</f>
        <v>WIND</v>
      </c>
      <c r="W315" s="271">
        <f>IFERROR(VLOOKUP($A315,GeneratingCapabilityList!$E$7:$O$1673,3,FALSE),"ID Not Found")</f>
        <v>102</v>
      </c>
      <c r="Y315" s="270"/>
    </row>
    <row r="316" spans="1:25">
      <c r="A316" s="241" t="s">
        <v>1826</v>
      </c>
      <c r="B316" s="241" t="s">
        <v>3375</v>
      </c>
      <c r="C316" s="241" t="s">
        <v>3542</v>
      </c>
      <c r="D316" s="242">
        <v>0.45</v>
      </c>
      <c r="E316" s="242">
        <v>0.35</v>
      </c>
      <c r="F316" s="242">
        <v>0.94</v>
      </c>
      <c r="G316" s="242">
        <v>4.16</v>
      </c>
      <c r="H316" s="242">
        <v>9.24</v>
      </c>
      <c r="I316" s="242">
        <v>8</v>
      </c>
      <c r="J316" s="242">
        <v>3.23</v>
      </c>
      <c r="K316" s="242">
        <v>0.28999999999999998</v>
      </c>
      <c r="L316" s="242">
        <v>0</v>
      </c>
      <c r="M316" s="242">
        <v>0</v>
      </c>
      <c r="N316" s="242">
        <v>0.14000000000000001</v>
      </c>
      <c r="O316" s="242">
        <v>1.33</v>
      </c>
      <c r="P316" s="241" t="s">
        <v>3345</v>
      </c>
      <c r="Q316" s="241" t="s">
        <v>3347</v>
      </c>
      <c r="R316" s="243" t="s">
        <v>4562</v>
      </c>
      <c r="S316" s="270">
        <f t="shared" si="11"/>
        <v>32609</v>
      </c>
      <c r="T316" s="270"/>
      <c r="U316" s="270">
        <f>IFERROR(VLOOKUP($A316,GeneratingCapabilityList!$E$7:$O$1673,11,FALSE),"ID Not Found")</f>
        <v>32609</v>
      </c>
      <c r="V316" s="271" t="str">
        <f>IFERROR(VLOOKUP($A316,GeneratingCapabilityList!$E$7:$O$1673,6,FALSE),"UNKNOWN")</f>
        <v>HYDRO</v>
      </c>
      <c r="W316" s="271">
        <f>IFERROR(VLOOKUP($A316,GeneratingCapabilityList!$E$7:$O$1673,3,FALSE),"ID Not Found")</f>
        <v>18.75</v>
      </c>
      <c r="Y316" s="270"/>
    </row>
    <row r="317" spans="1:25">
      <c r="A317" s="241" t="s">
        <v>983</v>
      </c>
      <c r="B317" s="241" t="s">
        <v>3349</v>
      </c>
      <c r="C317" s="241" t="s">
        <v>3543</v>
      </c>
      <c r="D317" s="242">
        <v>404</v>
      </c>
      <c r="E317" s="242">
        <v>404</v>
      </c>
      <c r="F317" s="242">
        <v>404</v>
      </c>
      <c r="G317" s="242">
        <v>404</v>
      </c>
      <c r="H317" s="242">
        <v>404</v>
      </c>
      <c r="I317" s="242">
        <v>404</v>
      </c>
      <c r="J317" s="242">
        <v>404</v>
      </c>
      <c r="K317" s="242">
        <v>404</v>
      </c>
      <c r="L317" s="242">
        <v>404</v>
      </c>
      <c r="M317" s="242">
        <v>404</v>
      </c>
      <c r="N317" s="242">
        <v>404</v>
      </c>
      <c r="O317" s="242">
        <v>404</v>
      </c>
      <c r="P317" s="241" t="s">
        <v>3345</v>
      </c>
      <c r="Q317" s="241" t="s">
        <v>3347</v>
      </c>
      <c r="R317" s="243" t="s">
        <v>4561</v>
      </c>
      <c r="S317" s="270">
        <f t="shared" si="11"/>
        <v>30682</v>
      </c>
      <c r="T317" s="270"/>
      <c r="U317" s="270">
        <f>IFERROR(VLOOKUP($A317,GeneratingCapabilityList!$E$7:$O$1673,11,FALSE),"ID Not Found")</f>
        <v>30682</v>
      </c>
      <c r="V317" s="271" t="str">
        <f>IFERROR(VLOOKUP($A317,GeneratingCapabilityList!$E$7:$O$1673,6,FALSE),"UNKNOWN")</f>
        <v>HYDRO</v>
      </c>
      <c r="W317" s="271">
        <f>IFERROR(VLOOKUP($A317,GeneratingCapabilityList!$E$7:$O$1673,3,FALSE),"ID Not Found")</f>
        <v>407</v>
      </c>
      <c r="Y317" s="270"/>
    </row>
    <row r="318" spans="1:25">
      <c r="A318" s="241" t="s">
        <v>985</v>
      </c>
      <c r="B318" s="241" t="s">
        <v>3349</v>
      </c>
      <c r="C318" s="241" t="s">
        <v>3544</v>
      </c>
      <c r="D318" s="242">
        <v>404</v>
      </c>
      <c r="E318" s="242">
        <v>404</v>
      </c>
      <c r="F318" s="242">
        <v>404</v>
      </c>
      <c r="G318" s="242">
        <v>404</v>
      </c>
      <c r="H318" s="242">
        <v>404</v>
      </c>
      <c r="I318" s="242">
        <v>404</v>
      </c>
      <c r="J318" s="242">
        <v>404</v>
      </c>
      <c r="K318" s="242">
        <v>404</v>
      </c>
      <c r="L318" s="242">
        <v>404</v>
      </c>
      <c r="M318" s="242">
        <v>404</v>
      </c>
      <c r="N318" s="242">
        <v>404</v>
      </c>
      <c r="O318" s="242">
        <v>404</v>
      </c>
      <c r="P318" s="241" t="s">
        <v>3345</v>
      </c>
      <c r="Q318" s="241" t="s">
        <v>3347</v>
      </c>
      <c r="R318" s="243" t="s">
        <v>4561</v>
      </c>
      <c r="S318" s="270">
        <f t="shared" si="11"/>
        <v>30682</v>
      </c>
      <c r="T318" s="270"/>
      <c r="U318" s="270">
        <f>IFERROR(VLOOKUP($A318,GeneratingCapabilityList!$E$7:$O$1673,11,FALSE),"ID Not Found")</f>
        <v>30682</v>
      </c>
      <c r="V318" s="271" t="str">
        <f>IFERROR(VLOOKUP($A318,GeneratingCapabilityList!$E$7:$O$1673,6,FALSE),"UNKNOWN")</f>
        <v>HYDRO</v>
      </c>
      <c r="W318" s="271">
        <f>IFERROR(VLOOKUP($A318,GeneratingCapabilityList!$E$7:$O$1673,3,FALSE),"ID Not Found")</f>
        <v>407</v>
      </c>
      <c r="Y318" s="270"/>
    </row>
    <row r="319" spans="1:25">
      <c r="A319" s="241" t="s">
        <v>987</v>
      </c>
      <c r="B319" s="241" t="s">
        <v>3349</v>
      </c>
      <c r="C319" s="241" t="s">
        <v>3545</v>
      </c>
      <c r="D319" s="242">
        <v>404</v>
      </c>
      <c r="E319" s="242">
        <v>404</v>
      </c>
      <c r="F319" s="242">
        <v>404</v>
      </c>
      <c r="G319" s="242">
        <v>404</v>
      </c>
      <c r="H319" s="242">
        <v>404</v>
      </c>
      <c r="I319" s="242">
        <v>404</v>
      </c>
      <c r="J319" s="242">
        <v>404</v>
      </c>
      <c r="K319" s="242">
        <v>404</v>
      </c>
      <c r="L319" s="242">
        <v>404</v>
      </c>
      <c r="M319" s="242">
        <v>404</v>
      </c>
      <c r="N319" s="242">
        <v>404</v>
      </c>
      <c r="O319" s="242">
        <v>404</v>
      </c>
      <c r="P319" s="241" t="s">
        <v>3345</v>
      </c>
      <c r="Q319" s="241" t="s">
        <v>3347</v>
      </c>
      <c r="R319" s="243" t="s">
        <v>4561</v>
      </c>
      <c r="S319" s="270">
        <f t="shared" si="11"/>
        <v>30682</v>
      </c>
      <c r="T319" s="270"/>
      <c r="U319" s="270">
        <f>IFERROR(VLOOKUP($A319,GeneratingCapabilityList!$E$7:$O$1673,11,FALSE),"ID Not Found")</f>
        <v>30682</v>
      </c>
      <c r="V319" s="271" t="str">
        <f>IFERROR(VLOOKUP($A319,GeneratingCapabilityList!$E$7:$O$1673,6,FALSE),"UNKNOWN")</f>
        <v>HYDRO</v>
      </c>
      <c r="W319" s="271">
        <f>IFERROR(VLOOKUP($A319,GeneratingCapabilityList!$E$7:$O$1673,3,FALSE),"ID Not Found")</f>
        <v>404</v>
      </c>
      <c r="Y319" s="270"/>
    </row>
    <row r="320" spans="1:25">
      <c r="A320" s="241" t="s">
        <v>2525</v>
      </c>
      <c r="B320" s="241" t="s">
        <v>3349</v>
      </c>
      <c r="C320" s="241" t="s">
        <v>3546</v>
      </c>
      <c r="D320" s="242">
        <v>45.33</v>
      </c>
      <c r="E320" s="242">
        <v>45.33</v>
      </c>
      <c r="F320" s="242">
        <v>45.33</v>
      </c>
      <c r="G320" s="242">
        <v>45.33</v>
      </c>
      <c r="H320" s="242">
        <v>45.33</v>
      </c>
      <c r="I320" s="242">
        <v>45.33</v>
      </c>
      <c r="J320" s="242">
        <v>45.33</v>
      </c>
      <c r="K320" s="242">
        <v>45.33</v>
      </c>
      <c r="L320" s="242">
        <v>45.33</v>
      </c>
      <c r="M320" s="242">
        <v>45.33</v>
      </c>
      <c r="N320" s="242">
        <v>45.33</v>
      </c>
      <c r="O320" s="242">
        <v>45.33</v>
      </c>
      <c r="P320" s="241" t="s">
        <v>3345</v>
      </c>
      <c r="Q320" s="241" t="s">
        <v>3347</v>
      </c>
      <c r="R320" s="243" t="s">
        <v>4561</v>
      </c>
      <c r="S320" s="270">
        <f t="shared" si="11"/>
        <v>37438</v>
      </c>
      <c r="T320" s="270"/>
      <c r="U320" s="270">
        <f>IFERROR(VLOOKUP($A320,GeneratingCapabilityList!$E$7:$O$1673,11,FALSE),"ID Not Found")</f>
        <v>37438</v>
      </c>
      <c r="V320" s="271" t="str">
        <f>IFERROR(VLOOKUP($A320,GeneratingCapabilityList!$E$7:$O$1673,6,FALSE),"UNKNOWN")</f>
        <v>PEAKER</v>
      </c>
      <c r="W320" s="271">
        <f>IFERROR(VLOOKUP($A320,GeneratingCapabilityList!$E$7:$O$1673,3,FALSE),"ID Not Found")</f>
        <v>49.98</v>
      </c>
      <c r="Y320" s="270"/>
    </row>
    <row r="321" spans="1:25">
      <c r="A321" s="241" t="s">
        <v>2527</v>
      </c>
      <c r="B321" s="241" t="s">
        <v>3349</v>
      </c>
      <c r="C321" s="241" t="s">
        <v>3547</v>
      </c>
      <c r="D321" s="242">
        <v>45.23</v>
      </c>
      <c r="E321" s="242">
        <v>45.23</v>
      </c>
      <c r="F321" s="242">
        <v>45.23</v>
      </c>
      <c r="G321" s="242">
        <v>45.23</v>
      </c>
      <c r="H321" s="242">
        <v>45.23</v>
      </c>
      <c r="I321" s="242">
        <v>45.23</v>
      </c>
      <c r="J321" s="242">
        <v>45.23</v>
      </c>
      <c r="K321" s="242">
        <v>45.23</v>
      </c>
      <c r="L321" s="242">
        <v>45.23</v>
      </c>
      <c r="M321" s="242">
        <v>45.23</v>
      </c>
      <c r="N321" s="242">
        <v>45.23</v>
      </c>
      <c r="O321" s="242">
        <v>45.23</v>
      </c>
      <c r="P321" s="241" t="s">
        <v>3345</v>
      </c>
      <c r="Q321" s="241" t="s">
        <v>3347</v>
      </c>
      <c r="R321" s="243" t="s">
        <v>4561</v>
      </c>
      <c r="S321" s="270">
        <f t="shared" si="11"/>
        <v>37438</v>
      </c>
      <c r="T321" s="270"/>
      <c r="U321" s="270">
        <f>IFERROR(VLOOKUP($A321,GeneratingCapabilityList!$E$7:$O$1673,11,FALSE),"ID Not Found")</f>
        <v>37438</v>
      </c>
      <c r="V321" s="271" t="str">
        <f>IFERROR(VLOOKUP($A321,GeneratingCapabilityList!$E$7:$O$1673,6,FALSE),"UNKNOWN")</f>
        <v>PEAKER</v>
      </c>
      <c r="W321" s="271">
        <f>IFERROR(VLOOKUP($A321,GeneratingCapabilityList!$E$7:$O$1673,3,FALSE),"ID Not Found")</f>
        <v>49.42</v>
      </c>
      <c r="Y321" s="270"/>
    </row>
    <row r="322" spans="1:25">
      <c r="A322" s="241" t="s">
        <v>1033</v>
      </c>
      <c r="B322" s="241" t="s">
        <v>3324</v>
      </c>
      <c r="C322" s="241" t="s">
        <v>1034</v>
      </c>
      <c r="D322" s="242">
        <v>1.99</v>
      </c>
      <c r="E322" s="242">
        <v>1.94</v>
      </c>
      <c r="F322" s="242">
        <v>1.89</v>
      </c>
      <c r="G322" s="242">
        <v>1.71</v>
      </c>
      <c r="H322" s="242">
        <v>1.88</v>
      </c>
      <c r="I322" s="242">
        <v>1.83</v>
      </c>
      <c r="J322" s="242">
        <v>1.81</v>
      </c>
      <c r="K322" s="242">
        <v>1.74</v>
      </c>
      <c r="L322" s="242">
        <v>1.89</v>
      </c>
      <c r="M322" s="242">
        <v>1.99</v>
      </c>
      <c r="N322" s="242">
        <v>2.0299999999999998</v>
      </c>
      <c r="O322" s="242">
        <v>1.77</v>
      </c>
      <c r="P322" s="241" t="s">
        <v>3345</v>
      </c>
      <c r="Q322" s="241" t="s">
        <v>3347</v>
      </c>
      <c r="R322" s="243" t="s">
        <v>4562</v>
      </c>
      <c r="S322" s="270">
        <f t="shared" si="11"/>
        <v>30693</v>
      </c>
      <c r="T322" s="270"/>
      <c r="U322" s="270">
        <f>IFERROR(VLOOKUP($A322,GeneratingCapabilityList!$E$7:$O$1673,11,FALSE),"ID Not Found")</f>
        <v>30693</v>
      </c>
      <c r="V322" s="271" t="str">
        <f>IFERROR(VLOOKUP($A322,GeneratingCapabilityList!$E$7:$O$1673,6,FALSE),"UNKNOWN")</f>
        <v>BIOMASS</v>
      </c>
      <c r="W322" s="271">
        <f>IFERROR(VLOOKUP($A322,GeneratingCapabilityList!$E$7:$O$1673,3,FALSE),"ID Not Found")</f>
        <v>3.7</v>
      </c>
      <c r="Y322" s="270"/>
    </row>
    <row r="323" spans="1:25">
      <c r="A323" s="241" t="s">
        <v>2599</v>
      </c>
      <c r="B323" s="241" t="s">
        <v>3361</v>
      </c>
      <c r="C323" s="241" t="s">
        <v>3548</v>
      </c>
      <c r="D323" s="242">
        <v>746</v>
      </c>
      <c r="E323" s="242">
        <v>746</v>
      </c>
      <c r="F323" s="242">
        <v>746</v>
      </c>
      <c r="G323" s="242">
        <v>746</v>
      </c>
      <c r="H323" s="242">
        <v>746</v>
      </c>
      <c r="I323" s="242">
        <v>746</v>
      </c>
      <c r="J323" s="242">
        <v>746</v>
      </c>
      <c r="K323" s="242">
        <v>746</v>
      </c>
      <c r="L323" s="242">
        <v>746</v>
      </c>
      <c r="M323" s="242">
        <v>746</v>
      </c>
      <c r="N323" s="242">
        <v>746</v>
      </c>
      <c r="O323" s="242">
        <v>746</v>
      </c>
      <c r="P323" s="241" t="s">
        <v>3352</v>
      </c>
      <c r="Q323" s="241" t="s">
        <v>3347</v>
      </c>
      <c r="R323" s="243" t="s">
        <v>4561</v>
      </c>
      <c r="S323" s="270">
        <f t="shared" si="11"/>
        <v>37732</v>
      </c>
      <c r="T323" s="270"/>
      <c r="U323" s="270">
        <f>IFERROR(VLOOKUP($A323,GeneratingCapabilityList!$E$7:$O$1673,11,FALSE),"ID Not Found")</f>
        <v>37732</v>
      </c>
      <c r="V323" s="271" t="str">
        <f>IFERROR(VLOOKUP($A323,GeneratingCapabilityList!$E$7:$O$1673,6,FALSE),"UNKNOWN")</f>
        <v>THERMAL</v>
      </c>
      <c r="W323" s="271">
        <f>IFERROR(VLOOKUP($A323,GeneratingCapabilityList!$E$7:$O$1673,3,FALSE),"ID Not Found")</f>
        <v>830</v>
      </c>
      <c r="Y323" s="270"/>
    </row>
    <row r="324" spans="1:25">
      <c r="A324" s="241" t="s">
        <v>3132</v>
      </c>
      <c r="B324" s="241" t="s">
        <v>3375</v>
      </c>
      <c r="C324" s="241" t="s">
        <v>4619</v>
      </c>
      <c r="D324" s="249" t="s">
        <v>4573</v>
      </c>
      <c r="E324" s="249" t="s">
        <v>4573</v>
      </c>
      <c r="F324" s="249" t="s">
        <v>4573</v>
      </c>
      <c r="G324" s="249" t="s">
        <v>4573</v>
      </c>
      <c r="H324" s="249" t="s">
        <v>4573</v>
      </c>
      <c r="I324" s="249" t="s">
        <v>4573</v>
      </c>
      <c r="J324" s="249" t="s">
        <v>4573</v>
      </c>
      <c r="K324" s="249" t="s">
        <v>4573</v>
      </c>
      <c r="L324" s="249" t="s">
        <v>4573</v>
      </c>
      <c r="M324" s="249" t="s">
        <v>4573</v>
      </c>
      <c r="N324" s="249" t="s">
        <v>4573</v>
      </c>
      <c r="O324" s="249" t="s">
        <v>4573</v>
      </c>
      <c r="P324" s="241" t="s">
        <v>3345</v>
      </c>
      <c r="Q324" s="241" t="s">
        <v>3385</v>
      </c>
      <c r="R324" s="246" t="s">
        <v>4562</v>
      </c>
      <c r="S324" s="270">
        <f t="shared" si="11"/>
        <v>30798</v>
      </c>
      <c r="T324" s="270"/>
      <c r="U324" s="270">
        <f>IFERROR(VLOOKUP($A324,GeneratingCapabilityList!$E$7:$O$1673,11,FALSE),"ID Not Found")</f>
        <v>30798</v>
      </c>
      <c r="V324" s="271" t="str">
        <f>IFERROR(VLOOKUP($A324,GeneratingCapabilityList!$E$7:$O$1673,6,FALSE),"UNKNOWN")</f>
        <v>HYDRO</v>
      </c>
      <c r="W324" s="271">
        <f>IFERROR(VLOOKUP($A324,GeneratingCapabilityList!$E$7:$O$1673,3,FALSE),"ID Not Found")</f>
        <v>1.5</v>
      </c>
      <c r="Y324" s="270"/>
    </row>
    <row r="325" spans="1:25">
      <c r="A325" s="245" t="s">
        <v>3549</v>
      </c>
      <c r="B325" s="241" t="s">
        <v>3375</v>
      </c>
      <c r="C325" s="241" t="s">
        <v>3549</v>
      </c>
      <c r="D325" s="242">
        <v>0.38</v>
      </c>
      <c r="E325" s="242">
        <v>0.41</v>
      </c>
      <c r="F325" s="242">
        <v>0.57999999999999996</v>
      </c>
      <c r="G325" s="242">
        <v>0.56999999999999995</v>
      </c>
      <c r="H325" s="242">
        <v>0.28999999999999998</v>
      </c>
      <c r="I325" s="242">
        <v>0.28000000000000003</v>
      </c>
      <c r="J325" s="242">
        <v>0.26</v>
      </c>
      <c r="K325" s="242">
        <v>0.25</v>
      </c>
      <c r="L325" s="242">
        <v>0.22</v>
      </c>
      <c r="M325" s="242">
        <v>0.11</v>
      </c>
      <c r="N325" s="242">
        <v>0.15</v>
      </c>
      <c r="O325" s="242">
        <v>0.2</v>
      </c>
      <c r="P325" s="241" t="s">
        <v>3345</v>
      </c>
      <c r="Q325" s="241" t="s">
        <v>3347</v>
      </c>
      <c r="R325" s="243" t="s">
        <v>4562</v>
      </c>
      <c r="S325" s="270">
        <f>Scenarios!$B$55</f>
        <v>36526</v>
      </c>
      <c r="T325" s="270" t="s">
        <v>4798</v>
      </c>
      <c r="U325" s="270" t="str">
        <f>IFERROR(VLOOKUP($A325,GeneratingCapabilityList!$E$7:$O$1673,11,FALSE),"ID Not Found")</f>
        <v>ID Not Found</v>
      </c>
      <c r="V325" s="271" t="str">
        <f>IFERROR(VLOOKUP($A325,GeneratingCapabilityList!$E$7:$O$1673,6,FALSE),"UNKNOWN")</f>
        <v>UNKNOWN</v>
      </c>
      <c r="W325" s="271" t="str">
        <f>IFERROR(VLOOKUP($A325,GeneratingCapabilityList!$E$7:$O$1673,3,FALSE),"ID Not Found")</f>
        <v>ID Not Found</v>
      </c>
      <c r="Y325" s="270"/>
    </row>
    <row r="326" spans="1:25">
      <c r="A326" s="241" t="s">
        <v>1228</v>
      </c>
      <c r="B326" s="241" t="s">
        <v>3346</v>
      </c>
      <c r="C326" s="241" t="s">
        <v>4620</v>
      </c>
      <c r="D326" s="249" t="s">
        <v>4573</v>
      </c>
      <c r="E326" s="249" t="s">
        <v>4573</v>
      </c>
      <c r="F326" s="249" t="s">
        <v>4573</v>
      </c>
      <c r="G326" s="249" t="s">
        <v>4573</v>
      </c>
      <c r="H326" s="249" t="s">
        <v>4573</v>
      </c>
      <c r="I326" s="249" t="s">
        <v>4573</v>
      </c>
      <c r="J326" s="249" t="s">
        <v>4573</v>
      </c>
      <c r="K326" s="249" t="s">
        <v>4573</v>
      </c>
      <c r="L326" s="249" t="s">
        <v>4573</v>
      </c>
      <c r="M326" s="249" t="s">
        <v>4573</v>
      </c>
      <c r="N326" s="249" t="s">
        <v>4573</v>
      </c>
      <c r="O326" s="249" t="s">
        <v>4573</v>
      </c>
      <c r="P326" s="241" t="s">
        <v>3345</v>
      </c>
      <c r="Q326" s="241" t="s">
        <v>3385</v>
      </c>
      <c r="R326" s="246" t="s">
        <v>4562</v>
      </c>
      <c r="S326" s="270">
        <f t="shared" si="11"/>
        <v>31297</v>
      </c>
      <c r="T326" s="270"/>
      <c r="U326" s="270">
        <f>IFERROR(VLOOKUP($A326,GeneratingCapabilityList!$E$7:$O$1673,11,FALSE),"ID Not Found")</f>
        <v>31297</v>
      </c>
      <c r="V326" s="271" t="str">
        <f>IFERROR(VLOOKUP($A326,GeneratingCapabilityList!$E$7:$O$1673,6,FALSE),"UNKNOWN")</f>
        <v>HYDRO</v>
      </c>
      <c r="W326" s="271">
        <f>IFERROR(VLOOKUP($A326,GeneratingCapabilityList!$E$7:$O$1673,3,FALSE),"ID Not Found")</f>
        <v>3.75</v>
      </c>
      <c r="Y326" s="270"/>
    </row>
    <row r="327" spans="1:25">
      <c r="A327" s="241" t="s">
        <v>792</v>
      </c>
      <c r="B327" s="241" t="s">
        <v>3327</v>
      </c>
      <c r="C327" s="241" t="s">
        <v>3550</v>
      </c>
      <c r="D327" s="242">
        <v>29</v>
      </c>
      <c r="E327" s="242">
        <v>29</v>
      </c>
      <c r="F327" s="242">
        <v>28.96</v>
      </c>
      <c r="G327" s="242">
        <v>28.99</v>
      </c>
      <c r="H327" s="242">
        <v>29</v>
      </c>
      <c r="I327" s="242">
        <v>29</v>
      </c>
      <c r="J327" s="242">
        <v>29</v>
      </c>
      <c r="K327" s="242">
        <v>29</v>
      </c>
      <c r="L327" s="242">
        <v>15.63</v>
      </c>
      <c r="M327" s="242">
        <v>26.47</v>
      </c>
      <c r="N327" s="242">
        <v>28.05</v>
      </c>
      <c r="O327" s="242">
        <v>28.64</v>
      </c>
      <c r="P327" s="241" t="s">
        <v>3352</v>
      </c>
      <c r="Q327" s="241" t="s">
        <v>3347</v>
      </c>
      <c r="R327" s="243" t="s">
        <v>4562</v>
      </c>
      <c r="S327" s="270">
        <f t="shared" si="11"/>
        <v>29952</v>
      </c>
      <c r="T327" s="270"/>
      <c r="U327" s="270">
        <f>IFERROR(VLOOKUP($A327,GeneratingCapabilityList!$E$7:$O$1673,11,FALSE),"ID Not Found")</f>
        <v>29952</v>
      </c>
      <c r="V327" s="271" t="str">
        <f>IFERROR(VLOOKUP($A327,GeneratingCapabilityList!$E$7:$O$1673,6,FALSE),"UNKNOWN")</f>
        <v>COGENERATION</v>
      </c>
      <c r="W327" s="271">
        <f>IFERROR(VLOOKUP($A327,GeneratingCapabilityList!$E$7:$O$1673,3,FALSE),"ID Not Found")</f>
        <v>29</v>
      </c>
      <c r="Y327" s="270"/>
    </row>
    <row r="328" spans="1:25">
      <c r="A328" s="241" t="s">
        <v>2841</v>
      </c>
      <c r="B328" s="241" t="s">
        <v>3327</v>
      </c>
      <c r="C328" s="241" t="s">
        <v>2841</v>
      </c>
      <c r="D328" s="242">
        <v>65</v>
      </c>
      <c r="E328" s="242">
        <v>65</v>
      </c>
      <c r="F328" s="242">
        <v>65</v>
      </c>
      <c r="G328" s="242">
        <v>65</v>
      </c>
      <c r="H328" s="242">
        <v>65</v>
      </c>
      <c r="I328" s="242">
        <v>65</v>
      </c>
      <c r="J328" s="242">
        <v>65</v>
      </c>
      <c r="K328" s="242">
        <v>65</v>
      </c>
      <c r="L328" s="242">
        <v>65</v>
      </c>
      <c r="M328" s="242">
        <v>65</v>
      </c>
      <c r="N328" s="242">
        <v>65</v>
      </c>
      <c r="O328" s="242">
        <v>65</v>
      </c>
      <c r="P328" s="241" t="s">
        <v>3352</v>
      </c>
      <c r="Q328" s="241" t="s">
        <v>3347</v>
      </c>
      <c r="R328" s="243" t="s">
        <v>4562</v>
      </c>
      <c r="S328" s="270">
        <f t="shared" si="11"/>
        <v>39295</v>
      </c>
      <c r="T328" s="270"/>
      <c r="U328" s="270">
        <f>IFERROR(VLOOKUP($A328,GeneratingCapabilityList!$E$7:$O$1673,11,FALSE),"ID Not Found")</f>
        <v>39295</v>
      </c>
      <c r="V328" s="271" t="str">
        <f>IFERROR(VLOOKUP($A328,GeneratingCapabilityList!$E$7:$O$1673,6,FALSE),"UNKNOWN")</f>
        <v>PEAKER</v>
      </c>
      <c r="W328" s="271">
        <f>IFERROR(VLOOKUP($A328,GeneratingCapabilityList!$E$7:$O$1673,3,FALSE),"ID Not Found")</f>
        <v>65</v>
      </c>
      <c r="Y328" s="270"/>
    </row>
    <row r="329" spans="1:25">
      <c r="A329" s="241" t="s">
        <v>2844</v>
      </c>
      <c r="B329" s="241" t="s">
        <v>3327</v>
      </c>
      <c r="C329" s="241" t="s">
        <v>2844</v>
      </c>
      <c r="D329" s="242">
        <v>65</v>
      </c>
      <c r="E329" s="242">
        <v>65</v>
      </c>
      <c r="F329" s="242">
        <v>65</v>
      </c>
      <c r="G329" s="242">
        <v>65</v>
      </c>
      <c r="H329" s="242">
        <v>65</v>
      </c>
      <c r="I329" s="242">
        <v>65</v>
      </c>
      <c r="J329" s="242">
        <v>65</v>
      </c>
      <c r="K329" s="242">
        <v>65</v>
      </c>
      <c r="L329" s="242">
        <v>65</v>
      </c>
      <c r="M329" s="242">
        <v>65</v>
      </c>
      <c r="N329" s="242">
        <v>65</v>
      </c>
      <c r="O329" s="242">
        <v>65</v>
      </c>
      <c r="P329" s="241" t="s">
        <v>3352</v>
      </c>
      <c r="Q329" s="241" t="s">
        <v>3347</v>
      </c>
      <c r="R329" s="243" t="s">
        <v>4562</v>
      </c>
      <c r="S329" s="270">
        <f t="shared" si="11"/>
        <v>39295</v>
      </c>
      <c r="T329" s="270"/>
      <c r="U329" s="270">
        <f>IFERROR(VLOOKUP($A329,GeneratingCapabilityList!$E$7:$O$1673,11,FALSE),"ID Not Found")</f>
        <v>39295</v>
      </c>
      <c r="V329" s="271" t="str">
        <f>IFERROR(VLOOKUP($A329,GeneratingCapabilityList!$E$7:$O$1673,6,FALSE),"UNKNOWN")</f>
        <v>PEAKER</v>
      </c>
      <c r="W329" s="271">
        <f>IFERROR(VLOOKUP($A329,GeneratingCapabilityList!$E$7:$O$1673,3,FALSE),"ID Not Found")</f>
        <v>65</v>
      </c>
      <c r="Y329" s="270"/>
    </row>
    <row r="330" spans="1:25">
      <c r="A330" s="241" t="s">
        <v>2846</v>
      </c>
      <c r="B330" s="241" t="s">
        <v>3327</v>
      </c>
      <c r="C330" s="241" t="s">
        <v>2846</v>
      </c>
      <c r="D330" s="242">
        <v>65</v>
      </c>
      <c r="E330" s="242">
        <v>65</v>
      </c>
      <c r="F330" s="242">
        <v>65</v>
      </c>
      <c r="G330" s="242">
        <v>65</v>
      </c>
      <c r="H330" s="242">
        <v>65</v>
      </c>
      <c r="I330" s="242">
        <v>65</v>
      </c>
      <c r="J330" s="242">
        <v>65</v>
      </c>
      <c r="K330" s="242">
        <v>65</v>
      </c>
      <c r="L330" s="242">
        <v>65</v>
      </c>
      <c r="M330" s="242">
        <v>65</v>
      </c>
      <c r="N330" s="242">
        <v>65</v>
      </c>
      <c r="O330" s="242">
        <v>65</v>
      </c>
      <c r="P330" s="241" t="s">
        <v>3352</v>
      </c>
      <c r="Q330" s="241" t="s">
        <v>3347</v>
      </c>
      <c r="R330" s="243" t="s">
        <v>4562</v>
      </c>
      <c r="S330" s="270">
        <f t="shared" si="11"/>
        <v>39295</v>
      </c>
      <c r="T330" s="270"/>
      <c r="U330" s="270">
        <f>IFERROR(VLOOKUP($A330,GeneratingCapabilityList!$E$7:$O$1673,11,FALSE),"ID Not Found")</f>
        <v>39295</v>
      </c>
      <c r="V330" s="271" t="str">
        <f>IFERROR(VLOOKUP($A330,GeneratingCapabilityList!$E$7:$O$1673,6,FALSE),"UNKNOWN")</f>
        <v>PEAKER</v>
      </c>
      <c r="W330" s="271">
        <f>IFERROR(VLOOKUP($A330,GeneratingCapabilityList!$E$7:$O$1673,3,FALSE),"ID Not Found")</f>
        <v>65</v>
      </c>
      <c r="Y330" s="270"/>
    </row>
    <row r="331" spans="1:25">
      <c r="A331" s="241" t="s">
        <v>2848</v>
      </c>
      <c r="B331" s="241" t="s">
        <v>3327</v>
      </c>
      <c r="C331" s="241" t="s">
        <v>2848</v>
      </c>
      <c r="D331" s="242">
        <v>65</v>
      </c>
      <c r="E331" s="242">
        <v>65</v>
      </c>
      <c r="F331" s="242">
        <v>65</v>
      </c>
      <c r="G331" s="242">
        <v>65</v>
      </c>
      <c r="H331" s="242">
        <v>65</v>
      </c>
      <c r="I331" s="242">
        <v>65</v>
      </c>
      <c r="J331" s="242">
        <v>65</v>
      </c>
      <c r="K331" s="242">
        <v>65</v>
      </c>
      <c r="L331" s="242">
        <v>65</v>
      </c>
      <c r="M331" s="242">
        <v>65</v>
      </c>
      <c r="N331" s="242">
        <v>65</v>
      </c>
      <c r="O331" s="242">
        <v>65</v>
      </c>
      <c r="P331" s="241" t="s">
        <v>3352</v>
      </c>
      <c r="Q331" s="241" t="s">
        <v>3347</v>
      </c>
      <c r="R331" s="243" t="s">
        <v>4562</v>
      </c>
      <c r="S331" s="270">
        <f t="shared" si="11"/>
        <v>39295</v>
      </c>
      <c r="T331" s="270"/>
      <c r="U331" s="270">
        <f>IFERROR(VLOOKUP($A331,GeneratingCapabilityList!$E$7:$O$1673,11,FALSE),"ID Not Found")</f>
        <v>39295</v>
      </c>
      <c r="V331" s="271" t="str">
        <f>IFERROR(VLOOKUP($A331,GeneratingCapabilityList!$E$7:$O$1673,6,FALSE),"UNKNOWN")</f>
        <v>PEAKER</v>
      </c>
      <c r="W331" s="271">
        <f>IFERROR(VLOOKUP($A331,GeneratingCapabilityList!$E$7:$O$1673,3,FALSE),"ID Not Found")</f>
        <v>65</v>
      </c>
      <c r="Y331" s="270"/>
    </row>
    <row r="332" spans="1:25">
      <c r="A332" s="241" t="s">
        <v>1632</v>
      </c>
      <c r="B332" s="241" t="s">
        <v>3327</v>
      </c>
      <c r="C332" s="241" t="s">
        <v>1633</v>
      </c>
      <c r="D332" s="242">
        <v>25.65</v>
      </c>
      <c r="E332" s="242">
        <v>25.32</v>
      </c>
      <c r="F332" s="242">
        <v>26.52</v>
      </c>
      <c r="G332" s="242">
        <v>27.79</v>
      </c>
      <c r="H332" s="242">
        <v>28.59</v>
      </c>
      <c r="I332" s="242">
        <v>29.5</v>
      </c>
      <c r="J332" s="242">
        <v>27.63</v>
      </c>
      <c r="K332" s="242">
        <v>28.26</v>
      </c>
      <c r="L332" s="242">
        <v>26.53</v>
      </c>
      <c r="M332" s="242">
        <v>23.66</v>
      </c>
      <c r="N332" s="242">
        <v>26.8</v>
      </c>
      <c r="O332" s="242">
        <v>25.73</v>
      </c>
      <c r="P332" s="241" t="s">
        <v>3352</v>
      </c>
      <c r="Q332" s="241" t="s">
        <v>3347</v>
      </c>
      <c r="R332" s="243" t="s">
        <v>4562</v>
      </c>
      <c r="S332" s="270">
        <f t="shared" si="11"/>
        <v>32143</v>
      </c>
      <c r="T332" s="270"/>
      <c r="U332" s="270">
        <f>IFERROR(VLOOKUP($A332,GeneratingCapabilityList!$E$7:$O$1673,11,FALSE),"ID Not Found")</f>
        <v>32143</v>
      </c>
      <c r="V332" s="271" t="str">
        <f>IFERROR(VLOOKUP($A332,GeneratingCapabilityList!$E$7:$O$1673,6,FALSE),"UNKNOWN")</f>
        <v>BIOMASS</v>
      </c>
      <c r="W332" s="271">
        <f>IFERROR(VLOOKUP($A332,GeneratingCapabilityList!$E$7:$O$1673,3,FALSE),"ID Not Found")</f>
        <v>38.909999999999997</v>
      </c>
      <c r="Y332" s="270"/>
    </row>
    <row r="333" spans="1:25">
      <c r="A333" s="241" t="s">
        <v>1252</v>
      </c>
      <c r="B333" s="241" t="s">
        <v>3346</v>
      </c>
      <c r="C333" s="241" t="s">
        <v>3551</v>
      </c>
      <c r="D333" s="242">
        <v>0.54</v>
      </c>
      <c r="E333" s="242">
        <v>0.63</v>
      </c>
      <c r="F333" s="242">
        <v>0.65</v>
      </c>
      <c r="G333" s="242">
        <v>0.65</v>
      </c>
      <c r="H333" s="242">
        <v>0.64</v>
      </c>
      <c r="I333" s="242">
        <v>0.6</v>
      </c>
      <c r="J333" s="242">
        <v>0.53</v>
      </c>
      <c r="K333" s="242">
        <v>0.59</v>
      </c>
      <c r="L333" s="242">
        <v>0.57999999999999996</v>
      </c>
      <c r="M333" s="242">
        <v>0.62</v>
      </c>
      <c r="N333" s="242">
        <v>0.52</v>
      </c>
      <c r="O333" s="242">
        <v>0.39</v>
      </c>
      <c r="P333" s="241" t="s">
        <v>3345</v>
      </c>
      <c r="Q333" s="241" t="s">
        <v>3347</v>
      </c>
      <c r="R333" s="243" t="s">
        <v>4562</v>
      </c>
      <c r="S333" s="270">
        <f t="shared" si="11"/>
        <v>31408</v>
      </c>
      <c r="T333" s="270"/>
      <c r="U333" s="270">
        <f>IFERROR(VLOOKUP($A333,GeneratingCapabilityList!$E$7:$O$1673,11,FALSE),"ID Not Found")</f>
        <v>31408</v>
      </c>
      <c r="V333" s="271" t="str">
        <f>IFERROR(VLOOKUP($A333,GeneratingCapabilityList!$E$7:$O$1673,6,FALSE),"UNKNOWN")</f>
        <v>BIOMASS</v>
      </c>
      <c r="W333" s="271">
        <f>IFERROR(VLOOKUP($A333,GeneratingCapabilityList!$E$7:$O$1673,3,FALSE),"ID Not Found")</f>
        <v>2.5</v>
      </c>
      <c r="Y333" s="270"/>
    </row>
    <row r="334" spans="1:25">
      <c r="A334" s="241" t="s">
        <v>180</v>
      </c>
      <c r="B334" s="241" t="s">
        <v>3361</v>
      </c>
      <c r="C334" s="241" t="s">
        <v>3552</v>
      </c>
      <c r="D334" s="242">
        <v>0.73</v>
      </c>
      <c r="E334" s="242">
        <v>0.95</v>
      </c>
      <c r="F334" s="242">
        <v>1.01</v>
      </c>
      <c r="G334" s="242">
        <v>2.1</v>
      </c>
      <c r="H334" s="242">
        <v>1.06</v>
      </c>
      <c r="I334" s="242">
        <v>1.08</v>
      </c>
      <c r="J334" s="242">
        <v>4.9000000000000004</v>
      </c>
      <c r="K334" s="242">
        <v>4.9000000000000004</v>
      </c>
      <c r="L334" s="242">
        <v>0.54</v>
      </c>
      <c r="M334" s="242">
        <v>0.67</v>
      </c>
      <c r="N334" s="242">
        <v>0.73</v>
      </c>
      <c r="O334" s="242">
        <v>0.7</v>
      </c>
      <c r="P334" s="241" t="s">
        <v>3345</v>
      </c>
      <c r="Q334" s="241" t="s">
        <v>3347</v>
      </c>
      <c r="R334" s="243" t="s">
        <v>4561</v>
      </c>
      <c r="S334" s="270">
        <f t="shared" si="11"/>
        <v>7672</v>
      </c>
      <c r="T334" s="270"/>
      <c r="U334" s="270">
        <f>IFERROR(VLOOKUP($A334,GeneratingCapabilityList!$E$7:$O$1673,11,FALSE),"ID Not Found")</f>
        <v>7672</v>
      </c>
      <c r="V334" s="271" t="str">
        <f>IFERROR(VLOOKUP($A334,GeneratingCapabilityList!$E$7:$O$1673,6,FALSE),"UNKNOWN")</f>
        <v>HYDRO</v>
      </c>
      <c r="W334" s="271">
        <f>IFERROR(VLOOKUP($A334,GeneratingCapabilityList!$E$7:$O$1673,3,FALSE),"ID Not Found")</f>
        <v>4.9000000000000004</v>
      </c>
      <c r="Y334" s="270"/>
    </row>
    <row r="335" spans="1:25">
      <c r="A335" s="241" t="s">
        <v>3161</v>
      </c>
      <c r="B335" s="241" t="s">
        <v>3327</v>
      </c>
      <c r="C335" s="241" t="s">
        <v>3553</v>
      </c>
      <c r="D335" s="242">
        <v>225.75</v>
      </c>
      <c r="E335" s="242">
        <v>225.75</v>
      </c>
      <c r="F335" s="242">
        <v>225.75</v>
      </c>
      <c r="G335" s="242">
        <v>225.75</v>
      </c>
      <c r="H335" s="242">
        <v>225.75</v>
      </c>
      <c r="I335" s="242">
        <v>225.75</v>
      </c>
      <c r="J335" s="242">
        <v>225.75</v>
      </c>
      <c r="K335" s="242">
        <v>225.75</v>
      </c>
      <c r="L335" s="242">
        <v>225.75</v>
      </c>
      <c r="M335" s="242">
        <v>225.75</v>
      </c>
      <c r="N335" s="242">
        <v>225.75</v>
      </c>
      <c r="O335" s="242">
        <v>225.75</v>
      </c>
      <c r="P335" s="241" t="s">
        <v>3352</v>
      </c>
      <c r="Q335" s="241" t="s">
        <v>3347</v>
      </c>
      <c r="R335" s="243" t="s">
        <v>4561</v>
      </c>
      <c r="S335" s="270">
        <v>21186</v>
      </c>
      <c r="T335" s="270" t="s">
        <v>4251</v>
      </c>
      <c r="U335" s="270" t="str">
        <f>IFERROR(VLOOKUP($A335,GeneratingCapabilityList!$E$7:$O$1673,11,FALSE),"ID Not Found")</f>
        <v>UNK</v>
      </c>
      <c r="V335" s="271" t="str">
        <f>IFERROR(VLOOKUP($A335,GeneratingCapabilityList!$E$7:$O$1673,6,FALSE),"UNKNOWN")</f>
        <v>THERMAL</v>
      </c>
      <c r="W335" s="271">
        <f>IFERROR(VLOOKUP($A335,GeneratingCapabilityList!$E$7:$O$1673,3,FALSE),"ID Not Found")</f>
        <v>225.75</v>
      </c>
      <c r="X335" s="271" t="s">
        <v>12</v>
      </c>
      <c r="Y335" s="270">
        <v>44196</v>
      </c>
    </row>
    <row r="336" spans="1:25">
      <c r="A336" s="241" t="s">
        <v>3163</v>
      </c>
      <c r="B336" s="241" t="s">
        <v>3327</v>
      </c>
      <c r="C336" s="241" t="s">
        <v>3554</v>
      </c>
      <c r="D336" s="242">
        <v>225.8</v>
      </c>
      <c r="E336" s="242">
        <v>225.8</v>
      </c>
      <c r="F336" s="242">
        <v>225.8</v>
      </c>
      <c r="G336" s="242">
        <v>225.8</v>
      </c>
      <c r="H336" s="242">
        <v>225.8</v>
      </c>
      <c r="I336" s="242">
        <v>225.8</v>
      </c>
      <c r="J336" s="242">
        <v>225.8</v>
      </c>
      <c r="K336" s="242">
        <v>225.8</v>
      </c>
      <c r="L336" s="242">
        <v>225.8</v>
      </c>
      <c r="M336" s="242">
        <v>225.8</v>
      </c>
      <c r="N336" s="242">
        <v>225.8</v>
      </c>
      <c r="O336" s="242">
        <v>225.8</v>
      </c>
      <c r="P336" s="241" t="s">
        <v>3352</v>
      </c>
      <c r="Q336" s="241" t="s">
        <v>3347</v>
      </c>
      <c r="R336" s="243" t="s">
        <v>4561</v>
      </c>
      <c r="S336" s="270">
        <v>21186</v>
      </c>
      <c r="T336" s="270" t="s">
        <v>4251</v>
      </c>
      <c r="U336" s="270" t="str">
        <f>IFERROR(VLOOKUP($A336,GeneratingCapabilityList!$E$7:$O$1673,11,FALSE),"ID Not Found")</f>
        <v>UNK</v>
      </c>
      <c r="V336" s="271" t="str">
        <f>IFERROR(VLOOKUP($A336,GeneratingCapabilityList!$E$7:$O$1673,6,FALSE),"UNKNOWN")</f>
        <v>THERMAL</v>
      </c>
      <c r="W336" s="271">
        <f>IFERROR(VLOOKUP($A336,GeneratingCapabilityList!$E$7:$O$1673,3,FALSE),"ID Not Found")</f>
        <v>225.8</v>
      </c>
      <c r="X336" s="271" t="s">
        <v>12</v>
      </c>
      <c r="Y336" s="270">
        <v>44196</v>
      </c>
    </row>
    <row r="337" spans="1:25">
      <c r="A337" s="241" t="s">
        <v>1058</v>
      </c>
      <c r="B337" s="241" t="s">
        <v>3361</v>
      </c>
      <c r="C337" s="241" t="s">
        <v>4621</v>
      </c>
      <c r="D337" s="242">
        <v>24.22</v>
      </c>
      <c r="E337" s="242">
        <v>25.98</v>
      </c>
      <c r="F337" s="242">
        <v>24.12</v>
      </c>
      <c r="G337" s="242">
        <v>16.14</v>
      </c>
      <c r="H337" s="242">
        <v>23.12</v>
      </c>
      <c r="I337" s="242">
        <v>21.15</v>
      </c>
      <c r="J337" s="242">
        <v>18.96</v>
      </c>
      <c r="K337" s="242">
        <v>20.03</v>
      </c>
      <c r="L337" s="242">
        <v>20.43</v>
      </c>
      <c r="M337" s="242">
        <v>19.14</v>
      </c>
      <c r="N337" s="242">
        <v>21.93</v>
      </c>
      <c r="O337" s="242">
        <v>23.76</v>
      </c>
      <c r="P337" s="241" t="s">
        <v>3352</v>
      </c>
      <c r="Q337" s="241" t="s">
        <v>3347</v>
      </c>
      <c r="R337" s="243" t="s">
        <v>4562</v>
      </c>
      <c r="S337" s="270">
        <f t="shared" ref="S337:S357" si="12">U337</f>
        <v>30834</v>
      </c>
      <c r="T337" s="270"/>
      <c r="U337" s="270">
        <f>IFERROR(VLOOKUP($A337,GeneratingCapabilityList!$E$7:$O$1673,11,FALSE),"ID Not Found")</f>
        <v>30834</v>
      </c>
      <c r="V337" s="271" t="str">
        <f>IFERROR(VLOOKUP($A337,GeneratingCapabilityList!$E$7:$O$1673,6,FALSE),"UNKNOWN")</f>
        <v>COGENERATION</v>
      </c>
      <c r="W337" s="271">
        <f>IFERROR(VLOOKUP($A337,GeneratingCapabilityList!$E$7:$O$1673,3,FALSE),"ID Not Found")</f>
        <v>48.2</v>
      </c>
      <c r="Y337" s="270"/>
    </row>
    <row r="338" spans="1:25">
      <c r="A338" s="241" t="s">
        <v>2016</v>
      </c>
      <c r="B338" s="241" t="s">
        <v>3361</v>
      </c>
      <c r="C338" s="241" t="s">
        <v>3555</v>
      </c>
      <c r="D338" s="242">
        <v>46.87</v>
      </c>
      <c r="E338" s="242">
        <v>47.04</v>
      </c>
      <c r="F338" s="242">
        <v>47.48</v>
      </c>
      <c r="G338" s="242">
        <v>45.93</v>
      </c>
      <c r="H338" s="242">
        <v>46.93</v>
      </c>
      <c r="I338" s="242">
        <v>51.82</v>
      </c>
      <c r="J338" s="242">
        <v>50.14</v>
      </c>
      <c r="K338" s="242">
        <v>51.19</v>
      </c>
      <c r="L338" s="242">
        <v>50.41</v>
      </c>
      <c r="M338" s="242">
        <v>46.22</v>
      </c>
      <c r="N338" s="242">
        <v>46.05</v>
      </c>
      <c r="O338" s="242">
        <v>46.5</v>
      </c>
      <c r="P338" s="241" t="s">
        <v>3352</v>
      </c>
      <c r="Q338" s="241" t="s">
        <v>3347</v>
      </c>
      <c r="R338" s="243" t="s">
        <v>4562</v>
      </c>
      <c r="S338" s="270">
        <f t="shared" si="12"/>
        <v>33037</v>
      </c>
      <c r="T338" s="270"/>
      <c r="U338" s="270">
        <f>IFERROR(VLOOKUP($A338,GeneratingCapabilityList!$E$7:$O$1673,11,FALSE),"ID Not Found")</f>
        <v>33037</v>
      </c>
      <c r="V338" s="271" t="str">
        <f>IFERROR(VLOOKUP($A338,GeneratingCapabilityList!$E$7:$O$1673,6,FALSE),"UNKNOWN")</f>
        <v>COGENERATION</v>
      </c>
      <c r="W338" s="271">
        <f>IFERROR(VLOOKUP($A338,GeneratingCapabilityList!$E$7:$O$1673,3,FALSE),"ID Not Found")</f>
        <v>62.54</v>
      </c>
      <c r="Y338" s="270"/>
    </row>
    <row r="339" spans="1:25">
      <c r="A339" s="241" t="s">
        <v>2959</v>
      </c>
      <c r="B339" s="241" t="s">
        <v>3384</v>
      </c>
      <c r="C339" s="241" t="s">
        <v>2960</v>
      </c>
      <c r="D339" s="242">
        <v>65.08</v>
      </c>
      <c r="E339" s="242">
        <v>65.08</v>
      </c>
      <c r="F339" s="242">
        <v>65.08</v>
      </c>
      <c r="G339" s="242">
        <v>65.08</v>
      </c>
      <c r="H339" s="242">
        <v>65.08</v>
      </c>
      <c r="I339" s="242">
        <v>65.08</v>
      </c>
      <c r="J339" s="242">
        <v>65.08</v>
      </c>
      <c r="K339" s="242">
        <v>65.08</v>
      </c>
      <c r="L339" s="242">
        <v>65.08</v>
      </c>
      <c r="M339" s="242">
        <v>65.08</v>
      </c>
      <c r="N339" s="242">
        <v>65.08</v>
      </c>
      <c r="O339" s="242">
        <v>65.08</v>
      </c>
      <c r="P339" s="241" t="s">
        <v>3345</v>
      </c>
      <c r="Q339" s="241" t="s">
        <v>3347</v>
      </c>
      <c r="R339" s="243" t="s">
        <v>4561</v>
      </c>
      <c r="S339" s="270">
        <f t="shared" si="12"/>
        <v>40450</v>
      </c>
      <c r="T339" s="270"/>
      <c r="U339" s="270">
        <f>IFERROR(VLOOKUP($A339,GeneratingCapabilityList!$E$7:$O$1673,11,FALSE),"ID Not Found")</f>
        <v>40450</v>
      </c>
      <c r="V339" s="271" t="str">
        <f>IFERROR(VLOOKUP($A339,GeneratingCapabilityList!$E$7:$O$1673,6,FALSE),"UNKNOWN")</f>
        <v>THERMAL</v>
      </c>
      <c r="W339" s="271">
        <f>IFERROR(VLOOKUP($A339,GeneratingCapabilityList!$E$7:$O$1673,3,FALSE),"ID Not Found")</f>
        <v>65.08</v>
      </c>
      <c r="Y339" s="270"/>
    </row>
    <row r="340" spans="1:25">
      <c r="A340" s="241" t="s">
        <v>2955</v>
      </c>
      <c r="B340" s="241" t="s">
        <v>3384</v>
      </c>
      <c r="C340" s="241" t="s">
        <v>2956</v>
      </c>
      <c r="D340" s="242">
        <v>48.81</v>
      </c>
      <c r="E340" s="242">
        <v>48.81</v>
      </c>
      <c r="F340" s="242">
        <v>48.81</v>
      </c>
      <c r="G340" s="242">
        <v>48.81</v>
      </c>
      <c r="H340" s="242">
        <v>48.81</v>
      </c>
      <c r="I340" s="242">
        <v>48.81</v>
      </c>
      <c r="J340" s="242">
        <v>48.81</v>
      </c>
      <c r="K340" s="242">
        <v>48.81</v>
      </c>
      <c r="L340" s="242">
        <v>48.81</v>
      </c>
      <c r="M340" s="242">
        <v>48.81</v>
      </c>
      <c r="N340" s="242">
        <v>48.81</v>
      </c>
      <c r="O340" s="242">
        <v>48.81</v>
      </c>
      <c r="P340" s="241" t="s">
        <v>3345</v>
      </c>
      <c r="Q340" s="241" t="s">
        <v>3347</v>
      </c>
      <c r="R340" s="243" t="s">
        <v>4561</v>
      </c>
      <c r="S340" s="270">
        <f t="shared" si="12"/>
        <v>40450</v>
      </c>
      <c r="T340" s="270"/>
      <c r="U340" s="270">
        <f>IFERROR(VLOOKUP($A340,GeneratingCapabilityList!$E$7:$O$1673,11,FALSE),"ID Not Found")</f>
        <v>40450</v>
      </c>
      <c r="V340" s="271" t="str">
        <f>IFERROR(VLOOKUP($A340,GeneratingCapabilityList!$E$7:$O$1673,6,FALSE),"UNKNOWN")</f>
        <v>THERMAL</v>
      </c>
      <c r="W340" s="271">
        <f>IFERROR(VLOOKUP($A340,GeneratingCapabilityList!$E$7:$O$1673,3,FALSE),"ID Not Found")</f>
        <v>48.81</v>
      </c>
      <c r="Y340" s="270"/>
    </row>
    <row r="341" spans="1:25">
      <c r="A341" s="241" t="s">
        <v>2957</v>
      </c>
      <c r="B341" s="241" t="s">
        <v>3384</v>
      </c>
      <c r="C341" s="241" t="s">
        <v>2958</v>
      </c>
      <c r="D341" s="242">
        <v>48.81</v>
      </c>
      <c r="E341" s="242">
        <v>48.81</v>
      </c>
      <c r="F341" s="242">
        <v>48.81</v>
      </c>
      <c r="G341" s="242">
        <v>48.81</v>
      </c>
      <c r="H341" s="242">
        <v>48.81</v>
      </c>
      <c r="I341" s="242">
        <v>48.81</v>
      </c>
      <c r="J341" s="242">
        <v>48.81</v>
      </c>
      <c r="K341" s="242">
        <v>48.81</v>
      </c>
      <c r="L341" s="242">
        <v>48.81</v>
      </c>
      <c r="M341" s="242">
        <v>48.81</v>
      </c>
      <c r="N341" s="242">
        <v>48.81</v>
      </c>
      <c r="O341" s="242">
        <v>48.81</v>
      </c>
      <c r="P341" s="241" t="s">
        <v>3345</v>
      </c>
      <c r="Q341" s="241" t="s">
        <v>3347</v>
      </c>
      <c r="R341" s="243" t="s">
        <v>4561</v>
      </c>
      <c r="S341" s="270">
        <f t="shared" si="12"/>
        <v>40450</v>
      </c>
      <c r="T341" s="270"/>
      <c r="U341" s="270">
        <f>IFERROR(VLOOKUP($A341,GeneratingCapabilityList!$E$7:$O$1673,11,FALSE),"ID Not Found")</f>
        <v>40450</v>
      </c>
      <c r="V341" s="271" t="str">
        <f>IFERROR(VLOOKUP($A341,GeneratingCapabilityList!$E$7:$O$1673,6,FALSE),"UNKNOWN")</f>
        <v>THERMAL</v>
      </c>
      <c r="W341" s="271">
        <f>IFERROR(VLOOKUP($A341,GeneratingCapabilityList!$E$7:$O$1673,3,FALSE),"ID Not Found")</f>
        <v>48.81</v>
      </c>
      <c r="Y341" s="270"/>
    </row>
    <row r="342" spans="1:25">
      <c r="A342" s="241" t="s">
        <v>3223</v>
      </c>
      <c r="B342" s="241" t="s">
        <v>3384</v>
      </c>
      <c r="C342" s="241" t="s">
        <v>3556</v>
      </c>
      <c r="D342" s="242">
        <v>0</v>
      </c>
      <c r="E342" s="242">
        <v>0</v>
      </c>
      <c r="F342" s="242">
        <v>0</v>
      </c>
      <c r="G342" s="242">
        <v>0</v>
      </c>
      <c r="H342" s="242">
        <v>0</v>
      </c>
      <c r="I342" s="242">
        <v>0</v>
      </c>
      <c r="J342" s="242">
        <v>0</v>
      </c>
      <c r="K342" s="242">
        <v>0</v>
      </c>
      <c r="L342" s="242">
        <v>0</v>
      </c>
      <c r="M342" s="242">
        <v>0</v>
      </c>
      <c r="N342" s="242">
        <v>0</v>
      </c>
      <c r="O342" s="242">
        <v>0</v>
      </c>
      <c r="P342" s="241" t="s">
        <v>3345</v>
      </c>
      <c r="Q342" s="241" t="s">
        <v>3347</v>
      </c>
      <c r="R342" s="243" t="s">
        <v>4562</v>
      </c>
      <c r="S342" s="270">
        <f t="shared" si="12"/>
        <v>30655</v>
      </c>
      <c r="T342" s="270"/>
      <c r="U342" s="270">
        <f>IFERROR(VLOOKUP($A342,GeneratingCapabilityList!$E$7:$O$1673,11,FALSE),"ID Not Found")</f>
        <v>30655</v>
      </c>
      <c r="V342" s="271" t="str">
        <f>IFERROR(VLOOKUP($A342,GeneratingCapabilityList!$E$7:$O$1673,6,FALSE),"UNKNOWN")</f>
        <v>HYDRO</v>
      </c>
      <c r="W342" s="271">
        <f>IFERROR(VLOOKUP($A342,GeneratingCapabilityList!$E$7:$O$1673,3,FALSE),"ID Not Found")</f>
        <v>1.25</v>
      </c>
      <c r="Y342" s="270"/>
    </row>
    <row r="343" spans="1:25">
      <c r="A343" s="241" t="s">
        <v>4468</v>
      </c>
      <c r="B343" s="245" t="s">
        <v>3349</v>
      </c>
      <c r="C343" s="241" t="s">
        <v>4469</v>
      </c>
      <c r="D343" s="249" t="s">
        <v>4573</v>
      </c>
      <c r="E343" s="249" t="s">
        <v>4573</v>
      </c>
      <c r="F343" s="249" t="s">
        <v>4573</v>
      </c>
      <c r="G343" s="249" t="s">
        <v>4573</v>
      </c>
      <c r="H343" s="249" t="s">
        <v>4573</v>
      </c>
      <c r="I343" s="249" t="s">
        <v>4573</v>
      </c>
      <c r="J343" s="249" t="s">
        <v>4573</v>
      </c>
      <c r="K343" s="249" t="s">
        <v>4573</v>
      </c>
      <c r="L343" s="249" t="s">
        <v>4573</v>
      </c>
      <c r="M343" s="249" t="s">
        <v>4573</v>
      </c>
      <c r="N343" s="249" t="s">
        <v>4573</v>
      </c>
      <c r="O343" s="249" t="s">
        <v>4573</v>
      </c>
      <c r="P343" s="245" t="s">
        <v>3345</v>
      </c>
      <c r="Q343" s="245" t="s">
        <v>3385</v>
      </c>
      <c r="R343" s="243" t="s">
        <v>4562</v>
      </c>
      <c r="S343" s="270">
        <f t="shared" si="12"/>
        <v>41151</v>
      </c>
      <c r="T343" s="270"/>
      <c r="U343" s="270">
        <f>IFERROR(VLOOKUP($A343,GeneratingCapabilityList!$E$7:$O$1673,11,FALSE),"ID Not Found")</f>
        <v>41151</v>
      </c>
      <c r="V343" s="271" t="str">
        <f>IFERROR(VLOOKUP($A343,GeneratingCapabilityList!$E$7:$O$1673,6,FALSE),"UNKNOWN")</f>
        <v>SOLAR</v>
      </c>
      <c r="W343" s="271">
        <f>IFERROR(VLOOKUP($A343,GeneratingCapabilityList!$E$7:$O$1673,3,FALSE),"ID Not Found")</f>
        <v>20</v>
      </c>
      <c r="Y343" s="270"/>
    </row>
    <row r="344" spans="1:25">
      <c r="A344" s="245" t="s">
        <v>583</v>
      </c>
      <c r="B344" s="245" t="s">
        <v>3361</v>
      </c>
      <c r="C344" s="245" t="s">
        <v>3557</v>
      </c>
      <c r="D344" s="249">
        <v>186.93502807617187</v>
      </c>
      <c r="E344" s="249">
        <v>134.98631286621094</v>
      </c>
      <c r="F344" s="249">
        <v>154.08218383789062</v>
      </c>
      <c r="G344" s="249">
        <v>263.79690551757812</v>
      </c>
      <c r="H344" s="249">
        <v>422</v>
      </c>
      <c r="I344" s="249">
        <v>561.57196044921875</v>
      </c>
      <c r="J344" s="249">
        <v>542.1326904296875</v>
      </c>
      <c r="K344" s="249">
        <v>508</v>
      </c>
      <c r="L344" s="249">
        <v>348.54949951171875</v>
      </c>
      <c r="M344" s="249">
        <v>314.8935546875</v>
      </c>
      <c r="N344" s="249">
        <v>282.7518310546875</v>
      </c>
      <c r="O344" s="249">
        <v>280.46328735351562</v>
      </c>
      <c r="P344" s="245" t="s">
        <v>3345</v>
      </c>
      <c r="Q344" s="245" t="s">
        <v>3347</v>
      </c>
      <c r="R344" s="246" t="s">
        <v>4561</v>
      </c>
      <c r="S344" s="270">
        <f t="shared" si="12"/>
        <v>24838</v>
      </c>
      <c r="T344" s="270"/>
      <c r="U344" s="270">
        <f>IFERROR(VLOOKUP($A344,GeneratingCapabilityList!$E$7:$O$1673,11,FALSE),"ID Not Found")</f>
        <v>24838</v>
      </c>
      <c r="V344" s="271" t="str">
        <f>IFERROR(VLOOKUP($A344,GeneratingCapabilityList!$E$7:$O$1673,6,FALSE),"UNKNOWN")</f>
        <v>HYDRO</v>
      </c>
      <c r="W344" s="271">
        <f>IFERROR(VLOOKUP($A344,GeneratingCapabilityList!$E$7:$O$1673,3,FALSE),"ID Not Found")</f>
        <v>933.1</v>
      </c>
      <c r="Y344" s="270"/>
    </row>
    <row r="345" spans="1:25">
      <c r="A345" s="241" t="s">
        <v>1162</v>
      </c>
      <c r="B345" s="241" t="s">
        <v>3346</v>
      </c>
      <c r="C345" s="241" t="s">
        <v>3558</v>
      </c>
      <c r="D345" s="242">
        <v>0</v>
      </c>
      <c r="E345" s="242">
        <v>0.01</v>
      </c>
      <c r="F345" s="242">
        <v>0.02</v>
      </c>
      <c r="G345" s="242">
        <v>0.01</v>
      </c>
      <c r="H345" s="242">
        <v>0</v>
      </c>
      <c r="I345" s="242">
        <v>0</v>
      </c>
      <c r="J345" s="242">
        <v>0</v>
      </c>
      <c r="K345" s="242">
        <v>0</v>
      </c>
      <c r="L345" s="242">
        <v>0</v>
      </c>
      <c r="M345" s="242">
        <v>0</v>
      </c>
      <c r="N345" s="242">
        <v>0</v>
      </c>
      <c r="O345" s="242">
        <v>0</v>
      </c>
      <c r="P345" s="241" t="s">
        <v>3345</v>
      </c>
      <c r="Q345" s="241" t="s">
        <v>3347</v>
      </c>
      <c r="R345" s="243" t="s">
        <v>4562</v>
      </c>
      <c r="S345" s="270">
        <f t="shared" si="12"/>
        <v>31048</v>
      </c>
      <c r="T345" s="270"/>
      <c r="U345" s="270">
        <f>IFERROR(VLOOKUP($A345,GeneratingCapabilityList!$E$7:$O$1673,11,FALSE),"ID Not Found")</f>
        <v>31048</v>
      </c>
      <c r="V345" s="271" t="str">
        <f>IFERROR(VLOOKUP($A345,GeneratingCapabilityList!$E$7:$O$1673,6,FALSE),"UNKNOWN")</f>
        <v>WIND</v>
      </c>
      <c r="W345" s="271">
        <f>IFERROR(VLOOKUP($A345,GeneratingCapabilityList!$E$7:$O$1673,3,FALSE),"ID Not Found")</f>
        <v>1</v>
      </c>
      <c r="Y345" s="270"/>
    </row>
    <row r="346" spans="1:25">
      <c r="A346" s="241" t="s">
        <v>2462</v>
      </c>
      <c r="B346" s="241" t="s">
        <v>3327</v>
      </c>
      <c r="C346" s="241" t="s">
        <v>3559</v>
      </c>
      <c r="D346" s="242">
        <v>42</v>
      </c>
      <c r="E346" s="242">
        <v>42</v>
      </c>
      <c r="F346" s="242">
        <v>42</v>
      </c>
      <c r="G346" s="242">
        <v>42</v>
      </c>
      <c r="H346" s="242">
        <v>42</v>
      </c>
      <c r="I346" s="242">
        <v>42</v>
      </c>
      <c r="J346" s="242">
        <v>42</v>
      </c>
      <c r="K346" s="242">
        <v>42</v>
      </c>
      <c r="L346" s="242">
        <v>42</v>
      </c>
      <c r="M346" s="242">
        <v>42</v>
      </c>
      <c r="N346" s="242">
        <v>42</v>
      </c>
      <c r="O346" s="242">
        <v>42</v>
      </c>
      <c r="P346" s="241" t="s">
        <v>3352</v>
      </c>
      <c r="Q346" s="241" t="s">
        <v>3347</v>
      </c>
      <c r="R346" s="243" t="s">
        <v>4561</v>
      </c>
      <c r="S346" s="270">
        <f t="shared" si="12"/>
        <v>37153</v>
      </c>
      <c r="T346" s="270"/>
      <c r="U346" s="270">
        <f>IFERROR(VLOOKUP($A346,GeneratingCapabilityList!$E$7:$O$1673,11,FALSE),"ID Not Found")</f>
        <v>37153</v>
      </c>
      <c r="V346" s="271" t="str">
        <f>IFERROR(VLOOKUP($A346,GeneratingCapabilityList!$E$7:$O$1673,6,FALSE),"UNKNOWN")</f>
        <v>PEAKER</v>
      </c>
      <c r="W346" s="271">
        <f>IFERROR(VLOOKUP($A346,GeneratingCapabilityList!$E$7:$O$1673,3,FALSE),"ID Not Found")</f>
        <v>44</v>
      </c>
      <c r="Y346" s="270"/>
    </row>
    <row r="347" spans="1:25">
      <c r="A347" s="241" t="s">
        <v>2464</v>
      </c>
      <c r="B347" s="241" t="s">
        <v>3327</v>
      </c>
      <c r="C347" s="241" t="s">
        <v>3560</v>
      </c>
      <c r="D347" s="242">
        <v>42</v>
      </c>
      <c r="E347" s="242">
        <v>42</v>
      </c>
      <c r="F347" s="242">
        <v>42</v>
      </c>
      <c r="G347" s="242">
        <v>42</v>
      </c>
      <c r="H347" s="242">
        <v>42</v>
      </c>
      <c r="I347" s="242">
        <v>42</v>
      </c>
      <c r="J347" s="242">
        <v>42</v>
      </c>
      <c r="K347" s="242">
        <v>42</v>
      </c>
      <c r="L347" s="242">
        <v>42</v>
      </c>
      <c r="M347" s="242">
        <v>42</v>
      </c>
      <c r="N347" s="242">
        <v>42</v>
      </c>
      <c r="O347" s="242">
        <v>42</v>
      </c>
      <c r="P347" s="241" t="s">
        <v>3352</v>
      </c>
      <c r="Q347" s="241" t="s">
        <v>3347</v>
      </c>
      <c r="R347" s="243" t="s">
        <v>4561</v>
      </c>
      <c r="S347" s="270">
        <f t="shared" si="12"/>
        <v>37153</v>
      </c>
      <c r="T347" s="270"/>
      <c r="U347" s="270">
        <f>IFERROR(VLOOKUP($A347,GeneratingCapabilityList!$E$7:$O$1673,11,FALSE),"ID Not Found")</f>
        <v>37153</v>
      </c>
      <c r="V347" s="271" t="str">
        <f>IFERROR(VLOOKUP($A347,GeneratingCapabilityList!$E$7:$O$1673,6,FALSE),"UNKNOWN")</f>
        <v>PEAKER</v>
      </c>
      <c r="W347" s="271">
        <f>IFERROR(VLOOKUP($A347,GeneratingCapabilityList!$E$7:$O$1673,3,FALSE),"ID Not Found")</f>
        <v>44.53</v>
      </c>
      <c r="Y347" s="270"/>
    </row>
    <row r="348" spans="1:25">
      <c r="A348" s="241" t="s">
        <v>2466</v>
      </c>
      <c r="B348" s="241" t="s">
        <v>3327</v>
      </c>
      <c r="C348" s="241" t="s">
        <v>3561</v>
      </c>
      <c r="D348" s="242">
        <v>42</v>
      </c>
      <c r="E348" s="242">
        <v>42</v>
      </c>
      <c r="F348" s="242">
        <v>42</v>
      </c>
      <c r="G348" s="242">
        <v>42</v>
      </c>
      <c r="H348" s="242">
        <v>42</v>
      </c>
      <c r="I348" s="242">
        <v>42</v>
      </c>
      <c r="J348" s="242">
        <v>42</v>
      </c>
      <c r="K348" s="242">
        <v>42</v>
      </c>
      <c r="L348" s="242">
        <v>42</v>
      </c>
      <c r="M348" s="242">
        <v>42</v>
      </c>
      <c r="N348" s="242">
        <v>42</v>
      </c>
      <c r="O348" s="242">
        <v>42</v>
      </c>
      <c r="P348" s="241" t="s">
        <v>3352</v>
      </c>
      <c r="Q348" s="241" t="s">
        <v>3347</v>
      </c>
      <c r="R348" s="243" t="s">
        <v>4561</v>
      </c>
      <c r="S348" s="270">
        <f t="shared" si="12"/>
        <v>37153</v>
      </c>
      <c r="T348" s="270"/>
      <c r="U348" s="270">
        <f>IFERROR(VLOOKUP($A348,GeneratingCapabilityList!$E$7:$O$1673,11,FALSE),"ID Not Found")</f>
        <v>37153</v>
      </c>
      <c r="V348" s="271" t="str">
        <f>IFERROR(VLOOKUP($A348,GeneratingCapabilityList!$E$7:$O$1673,6,FALSE),"UNKNOWN")</f>
        <v>PEAKER</v>
      </c>
      <c r="W348" s="271">
        <f>IFERROR(VLOOKUP($A348,GeneratingCapabilityList!$E$7:$O$1673,3,FALSE),"ID Not Found")</f>
        <v>43.69</v>
      </c>
      <c r="Y348" s="270"/>
    </row>
    <row r="349" spans="1:25">
      <c r="A349" s="241" t="s">
        <v>956</v>
      </c>
      <c r="B349" s="241" t="s">
        <v>3346</v>
      </c>
      <c r="C349" s="241" t="s">
        <v>957</v>
      </c>
      <c r="D349" s="242">
        <v>0.01</v>
      </c>
      <c r="E349" s="242">
        <v>0.02</v>
      </c>
      <c r="F349" s="242">
        <v>0.02</v>
      </c>
      <c r="G349" s="242">
        <v>0.03</v>
      </c>
      <c r="H349" s="242">
        <v>1.05</v>
      </c>
      <c r="I349" s="242">
        <v>1.18</v>
      </c>
      <c r="J349" s="242">
        <v>1.32</v>
      </c>
      <c r="K349" s="242">
        <v>1.28</v>
      </c>
      <c r="L349" s="242">
        <v>1.18</v>
      </c>
      <c r="M349" s="242">
        <v>0.18</v>
      </c>
      <c r="N349" s="242">
        <v>0.01</v>
      </c>
      <c r="O349" s="242">
        <v>0.02</v>
      </c>
      <c r="P349" s="241" t="s">
        <v>3345</v>
      </c>
      <c r="Q349" s="241" t="s">
        <v>3347</v>
      </c>
      <c r="R349" s="243" t="s">
        <v>4562</v>
      </c>
      <c r="S349" s="270">
        <f t="shared" si="12"/>
        <v>30574</v>
      </c>
      <c r="T349" s="270"/>
      <c r="U349" s="270">
        <f>IFERROR(VLOOKUP($A349,GeneratingCapabilityList!$E$7:$O$1673,11,FALSE),"ID Not Found")</f>
        <v>30574</v>
      </c>
      <c r="V349" s="271" t="str">
        <f>IFERROR(VLOOKUP($A349,GeneratingCapabilityList!$E$7:$O$1673,6,FALSE),"UNKNOWN")</f>
        <v>HYDRO</v>
      </c>
      <c r="W349" s="271">
        <f>IFERROR(VLOOKUP($A349,GeneratingCapabilityList!$E$7:$O$1673,3,FALSE),"ID Not Found")</f>
        <v>5</v>
      </c>
      <c r="Y349" s="270"/>
    </row>
    <row r="350" spans="1:25">
      <c r="A350" s="241" t="s">
        <v>2900</v>
      </c>
      <c r="B350" s="241" t="s">
        <v>3327</v>
      </c>
      <c r="C350" s="241" t="s">
        <v>2901</v>
      </c>
      <c r="D350" s="242">
        <v>365</v>
      </c>
      <c r="E350" s="242">
        <v>365</v>
      </c>
      <c r="F350" s="242">
        <v>365</v>
      </c>
      <c r="G350" s="242">
        <v>360</v>
      </c>
      <c r="H350" s="242">
        <v>350</v>
      </c>
      <c r="I350" s="242">
        <v>340</v>
      </c>
      <c r="J350" s="242">
        <v>335</v>
      </c>
      <c r="K350" s="242">
        <v>335</v>
      </c>
      <c r="L350" s="242">
        <v>340</v>
      </c>
      <c r="M350" s="242">
        <v>350</v>
      </c>
      <c r="N350" s="242">
        <v>360</v>
      </c>
      <c r="O350" s="242">
        <v>365</v>
      </c>
      <c r="P350" s="241" t="s">
        <v>3352</v>
      </c>
      <c r="Q350" s="241" t="s">
        <v>3347</v>
      </c>
      <c r="R350" s="243" t="s">
        <v>4561</v>
      </c>
      <c r="S350" s="270">
        <f t="shared" si="12"/>
        <v>39993</v>
      </c>
      <c r="T350" s="270"/>
      <c r="U350" s="270">
        <f>IFERROR(VLOOKUP($A350,GeneratingCapabilityList!$E$7:$O$1673,11,FALSE),"ID Not Found")</f>
        <v>39993</v>
      </c>
      <c r="V350" s="271" t="str">
        <f>IFERROR(VLOOKUP($A350,GeneratingCapabilityList!$E$7:$O$1673,6,FALSE),"UNKNOWN")</f>
        <v>THERMAL</v>
      </c>
      <c r="W350" s="271">
        <f>IFERROR(VLOOKUP($A350,GeneratingCapabilityList!$E$7:$O$1673,3,FALSE),"ID Not Found")</f>
        <v>376.2</v>
      </c>
      <c r="Y350" s="270"/>
    </row>
    <row r="351" spans="1:25">
      <c r="A351" s="241" t="s">
        <v>2929</v>
      </c>
      <c r="B351" s="241" t="s">
        <v>3327</v>
      </c>
      <c r="C351" s="241" t="s">
        <v>3562</v>
      </c>
      <c r="D351" s="242">
        <v>365</v>
      </c>
      <c r="E351" s="242">
        <v>365</v>
      </c>
      <c r="F351" s="242">
        <v>365</v>
      </c>
      <c r="G351" s="242">
        <v>360</v>
      </c>
      <c r="H351" s="242">
        <v>350</v>
      </c>
      <c r="I351" s="242">
        <v>340</v>
      </c>
      <c r="J351" s="242">
        <v>335</v>
      </c>
      <c r="K351" s="242">
        <v>335</v>
      </c>
      <c r="L351" s="242">
        <v>340</v>
      </c>
      <c r="M351" s="242">
        <v>350</v>
      </c>
      <c r="N351" s="242">
        <v>360</v>
      </c>
      <c r="O351" s="242">
        <v>365</v>
      </c>
      <c r="P351" s="241" t="s">
        <v>3352</v>
      </c>
      <c r="Q351" s="241" t="s">
        <v>3347</v>
      </c>
      <c r="R351" s="243" t="s">
        <v>4561</v>
      </c>
      <c r="S351" s="270">
        <f t="shared" si="12"/>
        <v>40337</v>
      </c>
      <c r="T351" s="270"/>
      <c r="U351" s="270">
        <f>IFERROR(VLOOKUP($A351,GeneratingCapabilityList!$E$7:$O$1673,11,FALSE),"ID Not Found")</f>
        <v>40337</v>
      </c>
      <c r="V351" s="271" t="str">
        <f>IFERROR(VLOOKUP($A351,GeneratingCapabilityList!$E$7:$O$1673,6,FALSE),"UNKNOWN")</f>
        <v>THERMAL</v>
      </c>
      <c r="W351" s="271">
        <f>IFERROR(VLOOKUP($A351,GeneratingCapabilityList!$E$7:$O$1673,3,FALSE),"ID Not Found")</f>
        <v>366.32</v>
      </c>
      <c r="Y351" s="270"/>
    </row>
    <row r="352" spans="1:25">
      <c r="A352" s="241" t="s">
        <v>740</v>
      </c>
      <c r="B352" s="241" t="s">
        <v>3361</v>
      </c>
      <c r="C352" s="241" t="s">
        <v>3563</v>
      </c>
      <c r="D352" s="242">
        <v>4.71</v>
      </c>
      <c r="E352" s="242">
        <v>5.57</v>
      </c>
      <c r="F352" s="242">
        <v>6.13</v>
      </c>
      <c r="G352" s="242">
        <v>6.56</v>
      </c>
      <c r="H352" s="242">
        <v>5.83</v>
      </c>
      <c r="I352" s="242">
        <v>6.26</v>
      </c>
      <c r="J352" s="242">
        <v>4.8899999999999997</v>
      </c>
      <c r="K352" s="242">
        <v>3.56</v>
      </c>
      <c r="L352" s="242">
        <v>3.09</v>
      </c>
      <c r="M352" s="242">
        <v>3.49</v>
      </c>
      <c r="N352" s="242">
        <v>3.68</v>
      </c>
      <c r="O352" s="242">
        <v>4.54</v>
      </c>
      <c r="P352" s="241" t="s">
        <v>3345</v>
      </c>
      <c r="Q352" s="241" t="s">
        <v>3347</v>
      </c>
      <c r="R352" s="243" t="s">
        <v>4561</v>
      </c>
      <c r="S352" s="270">
        <f t="shared" si="12"/>
        <v>28856</v>
      </c>
      <c r="T352" s="270"/>
      <c r="U352" s="270">
        <f>IFERROR(VLOOKUP($A352,GeneratingCapabilityList!$E$7:$O$1673,11,FALSE),"ID Not Found")</f>
        <v>28856</v>
      </c>
      <c r="V352" s="271" t="str">
        <f>IFERROR(VLOOKUP($A352,GeneratingCapabilityList!$E$7:$O$1673,6,FALSE),"UNKNOWN")</f>
        <v>HYDRO</v>
      </c>
      <c r="W352" s="271">
        <f>IFERROR(VLOOKUP($A352,GeneratingCapabilityList!$E$7:$O$1673,3,FALSE),"ID Not Found")</f>
        <v>8</v>
      </c>
      <c r="Y352" s="270"/>
    </row>
    <row r="353" spans="1:35">
      <c r="A353" s="267" t="s">
        <v>4789</v>
      </c>
      <c r="B353" s="246" t="s">
        <v>3361</v>
      </c>
      <c r="C353" s="246" t="s">
        <v>4790</v>
      </c>
      <c r="D353" s="268">
        <v>307</v>
      </c>
      <c r="E353" s="268">
        <v>307</v>
      </c>
      <c r="F353" s="268">
        <v>307</v>
      </c>
      <c r="G353" s="268">
        <v>307</v>
      </c>
      <c r="H353" s="268">
        <v>307</v>
      </c>
      <c r="I353" s="268">
        <v>307</v>
      </c>
      <c r="J353" s="268">
        <v>307</v>
      </c>
      <c r="K353" s="268">
        <v>307</v>
      </c>
      <c r="L353" s="268">
        <v>239</v>
      </c>
      <c r="M353" s="268">
        <v>300</v>
      </c>
      <c r="N353" s="268">
        <v>307</v>
      </c>
      <c r="O353" s="268">
        <v>307</v>
      </c>
      <c r="P353" s="826" t="s">
        <v>3345</v>
      </c>
      <c r="Q353" s="246" t="s">
        <v>3347</v>
      </c>
      <c r="R353" s="246" t="s">
        <v>4561</v>
      </c>
      <c r="S353" s="270">
        <f t="shared" si="12"/>
        <v>21916</v>
      </c>
      <c r="T353" s="270"/>
      <c r="U353" s="270">
        <f>IFERROR(VLOOKUP($A353,GeneratingCapabilityList!$E$7:$O$1673,11,FALSE),"ID Not Found")</f>
        <v>21916</v>
      </c>
      <c r="V353" s="271" t="str">
        <f>IFERROR(VLOOKUP($A353,GeneratingCapabilityList!$E$7:$O$1673,6,FALSE),"UNKNOWN")</f>
        <v>HYDRO</v>
      </c>
      <c r="W353" s="271">
        <f>IFERROR(VLOOKUP($A353,GeneratingCapabilityList!$E$7:$O$1673,3,FALSE),"ID Not Found")</f>
        <v>301</v>
      </c>
      <c r="Y353" s="270"/>
    </row>
    <row r="354" spans="1:35">
      <c r="A354" s="241" t="s">
        <v>1699</v>
      </c>
      <c r="B354" s="241" t="s">
        <v>3349</v>
      </c>
      <c r="C354" s="241" t="s">
        <v>3564</v>
      </c>
      <c r="D354" s="242">
        <v>0.11</v>
      </c>
      <c r="E354" s="242">
        <v>0.61</v>
      </c>
      <c r="F354" s="242">
        <v>1.1299999999999999</v>
      </c>
      <c r="G354" s="242">
        <v>0.76</v>
      </c>
      <c r="H354" s="242">
        <v>2.06</v>
      </c>
      <c r="I354" s="242">
        <v>3.03</v>
      </c>
      <c r="J354" s="242">
        <v>3.89</v>
      </c>
      <c r="K354" s="242">
        <v>3.2</v>
      </c>
      <c r="L354" s="242">
        <v>0.38</v>
      </c>
      <c r="M354" s="242">
        <v>0.43</v>
      </c>
      <c r="N354" s="242">
        <v>0.28000000000000003</v>
      </c>
      <c r="O354" s="242">
        <v>0.16</v>
      </c>
      <c r="P354" s="241" t="s">
        <v>3345</v>
      </c>
      <c r="Q354" s="241" t="s">
        <v>3347</v>
      </c>
      <c r="R354" s="243" t="s">
        <v>4562</v>
      </c>
      <c r="S354" s="270">
        <f t="shared" si="12"/>
        <v>32308</v>
      </c>
      <c r="T354" s="270"/>
      <c r="U354" s="270">
        <f>IFERROR(VLOOKUP($A354,GeneratingCapabilityList!$E$7:$O$1673,11,FALSE),"ID Not Found")</f>
        <v>32308</v>
      </c>
      <c r="V354" s="271" t="str">
        <f>IFERROR(VLOOKUP($A354,GeneratingCapabilityList!$E$7:$O$1673,6,FALSE),"UNKNOWN")</f>
        <v>WIND</v>
      </c>
      <c r="W354" s="271">
        <f>IFERROR(VLOOKUP($A354,GeneratingCapabilityList!$E$7:$O$1673,3,FALSE),"ID Not Found")</f>
        <v>21.25</v>
      </c>
      <c r="Y354" s="270"/>
    </row>
    <row r="355" spans="1:35">
      <c r="A355" s="259" t="s">
        <v>4515</v>
      </c>
      <c r="B355" s="255" t="s">
        <v>4579</v>
      </c>
      <c r="C355" s="874" t="s">
        <v>5518</v>
      </c>
      <c r="D355" s="242">
        <v>0.57999999999999996</v>
      </c>
      <c r="E355" s="242">
        <v>5.52</v>
      </c>
      <c r="F355" s="242">
        <v>12.87</v>
      </c>
      <c r="G355" s="242">
        <v>41.62</v>
      </c>
      <c r="H355" s="242">
        <v>50.8</v>
      </c>
      <c r="I355" s="242">
        <v>59.99</v>
      </c>
      <c r="J355" s="242">
        <v>58.66</v>
      </c>
      <c r="K355" s="242">
        <v>56.33</v>
      </c>
      <c r="L355" s="242">
        <v>51.26</v>
      </c>
      <c r="M355" s="242">
        <v>32.39</v>
      </c>
      <c r="N355" s="242">
        <v>4.4800000000000004</v>
      </c>
      <c r="O355" s="242">
        <v>1.88</v>
      </c>
      <c r="P355" s="831" t="s">
        <v>3352</v>
      </c>
      <c r="Q355" s="245" t="s">
        <v>3347</v>
      </c>
      <c r="R355" s="241" t="s">
        <v>4562</v>
      </c>
      <c r="S355" s="270">
        <v>41702</v>
      </c>
      <c r="T355" s="270" t="s">
        <v>5521</v>
      </c>
      <c r="U355" s="270">
        <f>IFERROR(VLOOKUP($A355,GeneratingCapabilityList!$E$7:$O$1673,11,FALSE),"ID Not Found")</f>
        <v>41639</v>
      </c>
      <c r="V355" s="271" t="str">
        <f>IFERROR(VLOOKUP($A355,GeneratingCapabilityList!$E$7:$O$1673,6,FALSE),"UNKNOWN")</f>
        <v>SOLAR</v>
      </c>
      <c r="W355" s="271">
        <f>IFERROR(VLOOKUP($A355,GeneratingCapabilityList!$E$7:$O$1673,3,FALSE),"ID Not Found")</f>
        <v>69</v>
      </c>
      <c r="Y355" s="270"/>
      <c r="Z355" s="271" t="b">
        <f>TRUE</f>
        <v>1</v>
      </c>
      <c r="AA355" s="872" t="s">
        <v>5519</v>
      </c>
      <c r="AB355" s="873"/>
      <c r="AC355" s="873"/>
      <c r="AD355" s="873"/>
      <c r="AE355" s="873"/>
      <c r="AF355" s="873"/>
      <c r="AG355" s="873"/>
      <c r="AH355" s="873"/>
      <c r="AI355" s="873"/>
    </row>
    <row r="356" spans="1:35">
      <c r="A356" s="241" t="s">
        <v>4498</v>
      </c>
      <c r="B356" s="241" t="s">
        <v>3361</v>
      </c>
      <c r="C356" s="241" t="s">
        <v>4499</v>
      </c>
      <c r="D356" s="242">
        <v>6.28</v>
      </c>
      <c r="E356" s="242">
        <v>14.49</v>
      </c>
      <c r="F356" s="242">
        <v>30.82</v>
      </c>
      <c r="G356" s="242">
        <v>34.659999999999997</v>
      </c>
      <c r="H356" s="242">
        <v>49.54</v>
      </c>
      <c r="I356" s="242">
        <v>51.74</v>
      </c>
      <c r="J356" s="242">
        <v>33.369999999999997</v>
      </c>
      <c r="K356" s="242">
        <v>27.93</v>
      </c>
      <c r="L356" s="242">
        <v>10.16</v>
      </c>
      <c r="M356" s="242">
        <v>12.39</v>
      </c>
      <c r="N356" s="242">
        <v>11.43</v>
      </c>
      <c r="O356" s="242">
        <v>9.01</v>
      </c>
      <c r="P356" s="241" t="s">
        <v>3352</v>
      </c>
      <c r="Q356" s="245" t="s">
        <v>3347</v>
      </c>
      <c r="R356" s="243" t="s">
        <v>4562</v>
      </c>
      <c r="S356" s="270">
        <f t="shared" si="12"/>
        <v>41250</v>
      </c>
      <c r="T356" s="270"/>
      <c r="U356" s="270">
        <f>IFERROR(VLOOKUP($A356,GeneratingCapabilityList!$E$7:$O$1673,11,FALSE),"ID Not Found")</f>
        <v>41250</v>
      </c>
      <c r="V356" s="271" t="str">
        <f>IFERROR(VLOOKUP($A356,GeneratingCapabilityList!$E$7:$O$1673,6,FALSE),"UNKNOWN")</f>
        <v>WIND</v>
      </c>
      <c r="W356" s="271">
        <f>IFERROR(VLOOKUP($A356,GeneratingCapabilityList!$E$7:$O$1673,3,FALSE),"ID Not Found")</f>
        <v>160</v>
      </c>
      <c r="Y356" s="270"/>
    </row>
    <row r="357" spans="1:35">
      <c r="A357" s="244" t="s">
        <v>4476</v>
      </c>
      <c r="B357" s="245" t="s">
        <v>3361</v>
      </c>
      <c r="C357" s="245" t="s">
        <v>4622</v>
      </c>
      <c r="D357" s="249">
        <v>4.82</v>
      </c>
      <c r="E357" s="249">
        <v>4.96</v>
      </c>
      <c r="F357" s="249">
        <v>4.67</v>
      </c>
      <c r="G357" s="249">
        <v>4.16</v>
      </c>
      <c r="H357" s="249">
        <v>4.12</v>
      </c>
      <c r="I357" s="249">
        <v>5</v>
      </c>
      <c r="J357" s="249">
        <v>5.27</v>
      </c>
      <c r="K357" s="249">
        <v>5.18</v>
      </c>
      <c r="L357" s="249">
        <v>5.18</v>
      </c>
      <c r="M357" s="249">
        <v>4.8600000000000003</v>
      </c>
      <c r="N357" s="249">
        <v>4.79</v>
      </c>
      <c r="O357" s="249">
        <v>4.9400000000000004</v>
      </c>
      <c r="P357" s="245" t="s">
        <v>3345</v>
      </c>
      <c r="Q357" s="245" t="s">
        <v>4563</v>
      </c>
      <c r="R357" s="246" t="s">
        <v>4562</v>
      </c>
      <c r="S357" s="270">
        <f t="shared" si="12"/>
        <v>41255</v>
      </c>
      <c r="T357" s="270"/>
      <c r="U357" s="270">
        <f>IFERROR(VLOOKUP($A357,GeneratingCapabilityList!$E$7:$O$1673,11,FALSE),"ID Not Found")</f>
        <v>41255</v>
      </c>
      <c r="V357" s="271" t="str">
        <f>IFERROR(VLOOKUP($A357,GeneratingCapabilityList!$E$7:$O$1673,6,FALSE),"UNKNOWN")</f>
        <v>BIOMASS</v>
      </c>
      <c r="W357" s="271">
        <f>IFERROR(VLOOKUP($A357,GeneratingCapabilityList!$E$7:$O$1673,3,FALSE),"ID Not Found")</f>
        <v>6.8</v>
      </c>
      <c r="Y357" s="270"/>
    </row>
    <row r="358" spans="1:35">
      <c r="A358" s="241" t="s">
        <v>3248</v>
      </c>
      <c r="B358" s="241" t="s">
        <v>3327</v>
      </c>
      <c r="C358" s="241" t="s">
        <v>3565</v>
      </c>
      <c r="D358" s="242">
        <v>0</v>
      </c>
      <c r="E358" s="242">
        <v>0</v>
      </c>
      <c r="F358" s="242">
        <v>0</v>
      </c>
      <c r="G358" s="242">
        <v>0</v>
      </c>
      <c r="H358" s="242">
        <v>0</v>
      </c>
      <c r="I358" s="242">
        <v>0</v>
      </c>
      <c r="J358" s="242">
        <v>0.01</v>
      </c>
      <c r="K358" s="242">
        <v>0.01</v>
      </c>
      <c r="L358" s="242">
        <v>0</v>
      </c>
      <c r="M358" s="242">
        <v>0</v>
      </c>
      <c r="N358" s="242">
        <v>0</v>
      </c>
      <c r="O358" s="242">
        <v>0</v>
      </c>
      <c r="P358" s="241" t="s">
        <v>3352</v>
      </c>
      <c r="Q358" s="241" t="s">
        <v>3347</v>
      </c>
      <c r="R358" s="243" t="s">
        <v>4562</v>
      </c>
      <c r="S358" s="270">
        <f>Scenarios!$B$55</f>
        <v>36526</v>
      </c>
      <c r="T358" s="270" t="s">
        <v>4798</v>
      </c>
      <c r="U358" s="270" t="str">
        <f>IFERROR(VLOOKUP($A358,GeneratingCapabilityList!$E$7:$O$1673,11,FALSE),"ID Not Found")</f>
        <v>UNK</v>
      </c>
      <c r="V358" s="271" t="str">
        <f>IFERROR(VLOOKUP($A358,GeneratingCapabilityList!$E$7:$O$1673,6,FALSE),"UNKNOWN")</f>
        <v>VARIOUS</v>
      </c>
      <c r="W358" s="271">
        <f>IFERROR(VLOOKUP($A358,GeneratingCapabilityList!$E$7:$O$1673,3,FALSE),"ID Not Found")</f>
        <v>0.3</v>
      </c>
      <c r="Y358" s="270"/>
    </row>
    <row r="359" spans="1:35">
      <c r="A359" s="241" t="s">
        <v>1324</v>
      </c>
      <c r="B359" s="241" t="s">
        <v>3361</v>
      </c>
      <c r="C359" s="241" t="s">
        <v>3566</v>
      </c>
      <c r="D359" s="242">
        <v>0.04</v>
      </c>
      <c r="E359" s="242">
        <v>0.2</v>
      </c>
      <c r="F359" s="242">
        <v>0.27</v>
      </c>
      <c r="G359" s="242">
        <v>0.27</v>
      </c>
      <c r="H359" s="242">
        <v>0.46</v>
      </c>
      <c r="I359" s="242">
        <v>1.67</v>
      </c>
      <c r="J359" s="242">
        <v>0.49</v>
      </c>
      <c r="K359" s="242">
        <v>0.32</v>
      </c>
      <c r="L359" s="242">
        <v>0.14000000000000001</v>
      </c>
      <c r="M359" s="242">
        <v>0.09</v>
      </c>
      <c r="N359" s="242">
        <v>0.09</v>
      </c>
      <c r="O359" s="242">
        <v>0.03</v>
      </c>
      <c r="P359" s="241" t="s">
        <v>3345</v>
      </c>
      <c r="Q359" s="241" t="s">
        <v>3347</v>
      </c>
      <c r="R359" s="243" t="s">
        <v>4562</v>
      </c>
      <c r="S359" s="270">
        <f t="shared" ref="S359:S390" si="13">U359</f>
        <v>31416</v>
      </c>
      <c r="T359" s="270"/>
      <c r="U359" s="270">
        <f>IFERROR(VLOOKUP($A359,GeneratingCapabilityList!$E$7:$O$1673,11,FALSE),"ID Not Found")</f>
        <v>31416</v>
      </c>
      <c r="V359" s="271" t="str">
        <f>IFERROR(VLOOKUP($A359,GeneratingCapabilityList!$E$7:$O$1673,6,FALSE),"UNKNOWN")</f>
        <v>WIND</v>
      </c>
      <c r="W359" s="271">
        <f>IFERROR(VLOOKUP($A359,GeneratingCapabilityList!$E$7:$O$1673,3,FALSE),"ID Not Found")</f>
        <v>69.099999999999994</v>
      </c>
      <c r="Y359" s="270"/>
    </row>
    <row r="360" spans="1:35">
      <c r="A360" s="241" t="s">
        <v>1800</v>
      </c>
      <c r="B360" s="241" t="s">
        <v>3375</v>
      </c>
      <c r="C360" s="241" t="s">
        <v>3567</v>
      </c>
      <c r="D360" s="242">
        <v>0.33</v>
      </c>
      <c r="E360" s="242">
        <v>0.14000000000000001</v>
      </c>
      <c r="F360" s="242">
        <v>0.63</v>
      </c>
      <c r="G360" s="242">
        <v>0.7</v>
      </c>
      <c r="H360" s="242">
        <v>0.36</v>
      </c>
      <c r="I360" s="242">
        <v>0.15</v>
      </c>
      <c r="J360" s="242">
        <v>0.01</v>
      </c>
      <c r="K360" s="242">
        <v>0</v>
      </c>
      <c r="L360" s="242">
        <v>0</v>
      </c>
      <c r="M360" s="242">
        <v>0.02</v>
      </c>
      <c r="N360" s="242">
        <v>7.0000000000000007E-2</v>
      </c>
      <c r="O360" s="242">
        <v>0.45</v>
      </c>
      <c r="P360" s="241" t="s">
        <v>3345</v>
      </c>
      <c r="Q360" s="241" t="s">
        <v>3347</v>
      </c>
      <c r="R360" s="243" t="s">
        <v>4562</v>
      </c>
      <c r="S360" s="270">
        <f t="shared" si="13"/>
        <v>32552</v>
      </c>
      <c r="T360" s="270"/>
      <c r="U360" s="270">
        <f>IFERROR(VLOOKUP($A360,GeneratingCapabilityList!$E$7:$O$1673,11,FALSE),"ID Not Found")</f>
        <v>32552</v>
      </c>
      <c r="V360" s="271" t="str">
        <f>IFERROR(VLOOKUP($A360,GeneratingCapabilityList!$E$7:$O$1673,6,FALSE),"UNKNOWN")</f>
        <v>HYDRO</v>
      </c>
      <c r="W360" s="271">
        <f>IFERROR(VLOOKUP($A360,GeneratingCapabilityList!$E$7:$O$1673,3,FALSE),"ID Not Found")</f>
        <v>2.5</v>
      </c>
      <c r="Y360" s="270"/>
    </row>
    <row r="361" spans="1:35">
      <c r="A361" s="820" t="s">
        <v>4623</v>
      </c>
      <c r="B361" s="830"/>
      <c r="C361" s="245" t="s">
        <v>4624</v>
      </c>
      <c r="D361" s="281">
        <v>0.16877173753959357</v>
      </c>
      <c r="E361" s="281">
        <v>1.5962804116120113</v>
      </c>
      <c r="F361" s="281">
        <v>3.7229130601825107</v>
      </c>
      <c r="G361" s="281">
        <v>12.037188803879566</v>
      </c>
      <c r="H361" s="281">
        <v>14.689627871413931</v>
      </c>
      <c r="I361" s="281">
        <v>17.347136879379306</v>
      </c>
      <c r="J361" s="281">
        <v>16.962300947020868</v>
      </c>
      <c r="K361" s="281">
        <v>16.289081898889542</v>
      </c>
      <c r="L361" s="281">
        <v>14.823805988776535</v>
      </c>
      <c r="M361" s="281">
        <v>9.3663127893615101</v>
      </c>
      <c r="N361" s="281">
        <v>1.2956176862513553</v>
      </c>
      <c r="O361" s="281">
        <v>0.54262219785377686</v>
      </c>
      <c r="P361" s="245" t="s">
        <v>3345</v>
      </c>
      <c r="Q361" s="825" t="s">
        <v>3347</v>
      </c>
      <c r="R361" s="243" t="s">
        <v>4562</v>
      </c>
      <c r="S361" s="270">
        <f t="shared" si="13"/>
        <v>41431</v>
      </c>
      <c r="T361" s="270"/>
      <c r="U361" s="270">
        <f>IFERROR(VLOOKUP($A361,GeneratingCapabilityList!$E$7:$O$1673,11,FALSE),"ID Not Found")</f>
        <v>41431</v>
      </c>
      <c r="V361" s="271" t="str">
        <f>IFERROR(VLOOKUP($A361,GeneratingCapabilityList!$E$7:$O$1673,6,FALSE),"UNKNOWN")</f>
        <v>SOLAR</v>
      </c>
      <c r="W361" s="271">
        <f>IFERROR(VLOOKUP($A361,GeneratingCapabilityList!$E$7:$O$1673,3,FALSE),"ID Not Found")</f>
        <v>20</v>
      </c>
      <c r="Y361" s="270"/>
    </row>
    <row r="362" spans="1:35">
      <c r="A362" s="241" t="s">
        <v>664</v>
      </c>
      <c r="B362" s="241" t="s">
        <v>4579</v>
      </c>
      <c r="C362" s="241" t="s">
        <v>3568</v>
      </c>
      <c r="D362" s="242">
        <v>16</v>
      </c>
      <c r="E362" s="242">
        <v>16</v>
      </c>
      <c r="F362" s="242">
        <v>16</v>
      </c>
      <c r="G362" s="242">
        <v>16</v>
      </c>
      <c r="H362" s="242">
        <v>16</v>
      </c>
      <c r="I362" s="242">
        <v>16</v>
      </c>
      <c r="J362" s="242">
        <v>16</v>
      </c>
      <c r="K362" s="242">
        <v>16</v>
      </c>
      <c r="L362" s="242">
        <v>16</v>
      </c>
      <c r="M362" s="242">
        <v>16</v>
      </c>
      <c r="N362" s="242">
        <v>16</v>
      </c>
      <c r="O362" s="242">
        <v>16</v>
      </c>
      <c r="P362" s="241" t="s">
        <v>3352</v>
      </c>
      <c r="Q362" s="241" t="s">
        <v>3347</v>
      </c>
      <c r="R362" s="243" t="s">
        <v>4561</v>
      </c>
      <c r="S362" s="270">
        <f t="shared" si="13"/>
        <v>26299</v>
      </c>
      <c r="T362" s="270"/>
      <c r="U362" s="270">
        <f>IFERROR(VLOOKUP($A362,GeneratingCapabilityList!$E$7:$O$1673,11,FALSE),"ID Not Found")</f>
        <v>26299</v>
      </c>
      <c r="V362" s="271" t="str">
        <f>IFERROR(VLOOKUP($A362,GeneratingCapabilityList!$E$7:$O$1673,6,FALSE),"UNKNOWN")</f>
        <v>PEAKER</v>
      </c>
      <c r="W362" s="271">
        <f>IFERROR(VLOOKUP($A362,GeneratingCapabilityList!$E$7:$O$1673,3,FALSE),"ID Not Found")</f>
        <v>16.670000000000002</v>
      </c>
      <c r="Y362" s="270"/>
    </row>
    <row r="363" spans="1:35">
      <c r="A363" s="241" t="s">
        <v>614</v>
      </c>
      <c r="B363" s="241" t="s">
        <v>4579</v>
      </c>
      <c r="C363" s="241" t="s">
        <v>3569</v>
      </c>
      <c r="D363" s="242">
        <v>59</v>
      </c>
      <c r="E363" s="242">
        <v>59</v>
      </c>
      <c r="F363" s="242">
        <v>59</v>
      </c>
      <c r="G363" s="242">
        <v>59</v>
      </c>
      <c r="H363" s="242">
        <v>59</v>
      </c>
      <c r="I363" s="242">
        <v>59</v>
      </c>
      <c r="J363" s="242">
        <v>59</v>
      </c>
      <c r="K363" s="242">
        <v>59</v>
      </c>
      <c r="L363" s="242">
        <v>59</v>
      </c>
      <c r="M363" s="242">
        <v>59</v>
      </c>
      <c r="N363" s="242">
        <v>59</v>
      </c>
      <c r="O363" s="242">
        <v>59</v>
      </c>
      <c r="P363" s="241" t="s">
        <v>3352</v>
      </c>
      <c r="Q363" s="241" t="s">
        <v>3347</v>
      </c>
      <c r="R363" s="243" t="s">
        <v>4561</v>
      </c>
      <c r="S363" s="270">
        <f t="shared" si="13"/>
        <v>25204</v>
      </c>
      <c r="T363" s="270"/>
      <c r="U363" s="270">
        <f>IFERROR(VLOOKUP($A363,GeneratingCapabilityList!$E$7:$O$1673,11,FALSE),"ID Not Found")</f>
        <v>25204</v>
      </c>
      <c r="V363" s="271" t="str">
        <f>IFERROR(VLOOKUP($A363,GeneratingCapabilityList!$E$7:$O$1673,6,FALSE),"UNKNOWN")</f>
        <v>PEAKER</v>
      </c>
      <c r="W363" s="271">
        <f>IFERROR(VLOOKUP($A363,GeneratingCapabilityList!$E$7:$O$1673,3,FALSE),"ID Not Found")</f>
        <v>59</v>
      </c>
      <c r="Y363" s="270"/>
    </row>
    <row r="364" spans="1:35">
      <c r="A364" s="241" t="s">
        <v>624</v>
      </c>
      <c r="B364" s="241" t="s">
        <v>4579</v>
      </c>
      <c r="C364" s="241" t="s">
        <v>3570</v>
      </c>
      <c r="D364" s="242">
        <v>61</v>
      </c>
      <c r="E364" s="242">
        <v>61</v>
      </c>
      <c r="F364" s="242">
        <v>61</v>
      </c>
      <c r="G364" s="242">
        <v>61</v>
      </c>
      <c r="H364" s="242">
        <v>61</v>
      </c>
      <c r="I364" s="242">
        <v>61</v>
      </c>
      <c r="J364" s="242">
        <v>61</v>
      </c>
      <c r="K364" s="242">
        <v>61</v>
      </c>
      <c r="L364" s="242">
        <v>61</v>
      </c>
      <c r="M364" s="242">
        <v>61</v>
      </c>
      <c r="N364" s="242">
        <v>61</v>
      </c>
      <c r="O364" s="242">
        <v>61</v>
      </c>
      <c r="P364" s="241" t="s">
        <v>3352</v>
      </c>
      <c r="Q364" s="241" t="s">
        <v>3347</v>
      </c>
      <c r="R364" s="243" t="s">
        <v>4561</v>
      </c>
      <c r="S364" s="270">
        <f t="shared" si="13"/>
        <v>25204</v>
      </c>
      <c r="T364" s="270"/>
      <c r="U364" s="270">
        <f>IFERROR(VLOOKUP($A364,GeneratingCapabilityList!$E$7:$O$1673,11,FALSE),"ID Not Found")</f>
        <v>25204</v>
      </c>
      <c r="V364" s="271" t="str">
        <f>IFERROR(VLOOKUP($A364,GeneratingCapabilityList!$E$7:$O$1673,6,FALSE),"UNKNOWN")</f>
        <v>PEAKER</v>
      </c>
      <c r="W364" s="271">
        <f>IFERROR(VLOOKUP($A364,GeneratingCapabilityList!$E$7:$O$1673,3,FALSE),"ID Not Found")</f>
        <v>61</v>
      </c>
      <c r="Y364" s="270"/>
    </row>
    <row r="365" spans="1:35">
      <c r="A365" s="241" t="s">
        <v>1918</v>
      </c>
      <c r="B365" s="241" t="s">
        <v>3384</v>
      </c>
      <c r="C365" s="241" t="s">
        <v>1919</v>
      </c>
      <c r="D365" s="242">
        <v>2.02</v>
      </c>
      <c r="E365" s="242">
        <v>1.84</v>
      </c>
      <c r="F365" s="242">
        <v>3.36</v>
      </c>
      <c r="G365" s="242">
        <v>3.46</v>
      </c>
      <c r="H365" s="242">
        <v>0.89</v>
      </c>
      <c r="I365" s="242">
        <v>0.22</v>
      </c>
      <c r="J365" s="242">
        <v>0</v>
      </c>
      <c r="K365" s="242">
        <v>0</v>
      </c>
      <c r="L365" s="242">
        <v>0</v>
      </c>
      <c r="M365" s="242">
        <v>0.11</v>
      </c>
      <c r="N365" s="242">
        <v>0.56000000000000005</v>
      </c>
      <c r="O365" s="242">
        <v>2.57</v>
      </c>
      <c r="P365" s="241" t="s">
        <v>3345</v>
      </c>
      <c r="Q365" s="241" t="s">
        <v>3347</v>
      </c>
      <c r="R365" s="243" t="s">
        <v>4562</v>
      </c>
      <c r="S365" s="270">
        <f t="shared" si="13"/>
        <v>32869</v>
      </c>
      <c r="T365" s="270"/>
      <c r="U365" s="270">
        <f>IFERROR(VLOOKUP($A365,GeneratingCapabilityList!$E$7:$O$1673,11,FALSE),"ID Not Found")</f>
        <v>32869</v>
      </c>
      <c r="V365" s="271" t="str">
        <f>IFERROR(VLOOKUP($A365,GeneratingCapabilityList!$E$7:$O$1673,6,FALSE),"UNKNOWN")</f>
        <v>HYDRO</v>
      </c>
      <c r="W365" s="271">
        <f>IFERROR(VLOOKUP($A365,GeneratingCapabilityList!$E$7:$O$1673,3,FALSE),"ID Not Found")</f>
        <v>6</v>
      </c>
      <c r="Y365" s="270"/>
    </row>
    <row r="366" spans="1:35">
      <c r="A366" s="241" t="s">
        <v>4486</v>
      </c>
      <c r="B366" s="241" t="s">
        <v>3324</v>
      </c>
      <c r="C366" s="241" t="s">
        <v>4625</v>
      </c>
      <c r="D366" s="242">
        <v>195.54</v>
      </c>
      <c r="E366" s="242">
        <v>193.18</v>
      </c>
      <c r="F366" s="242">
        <v>194.06</v>
      </c>
      <c r="G366" s="242">
        <v>193.55</v>
      </c>
      <c r="H366" s="242">
        <v>183.81</v>
      </c>
      <c r="I366" s="242">
        <v>183.81</v>
      </c>
      <c r="J366" s="242">
        <v>183.81</v>
      </c>
      <c r="K366" s="242">
        <v>183.81</v>
      </c>
      <c r="L366" s="242">
        <v>183.81</v>
      </c>
      <c r="M366" s="242">
        <v>192.9</v>
      </c>
      <c r="N366" s="242">
        <v>194.29</v>
      </c>
      <c r="O366" s="242">
        <v>194.82</v>
      </c>
      <c r="P366" s="241" t="s">
        <v>3345</v>
      </c>
      <c r="Q366" s="241" t="s">
        <v>3347</v>
      </c>
      <c r="R366" s="243" t="s">
        <v>4561</v>
      </c>
      <c r="S366" s="270">
        <f t="shared" si="13"/>
        <v>41156</v>
      </c>
      <c r="T366" s="270"/>
      <c r="U366" s="270">
        <f>IFERROR(VLOOKUP($A366,GeneratingCapabilityList!$E$7:$O$1673,11,FALSE),"ID Not Found")</f>
        <v>41156</v>
      </c>
      <c r="V366" s="271" t="str">
        <f>IFERROR(VLOOKUP($A366,GeneratingCapabilityList!$E$7:$O$1673,6,FALSE),"UNKNOWN")</f>
        <v>PEAKER</v>
      </c>
      <c r="W366" s="271">
        <f>IFERROR(VLOOKUP($A366,GeneratingCapabilityList!$E$7:$O$1673,3,FALSE),"ID Not Found")</f>
        <v>196</v>
      </c>
      <c r="Y366" s="270"/>
    </row>
    <row r="367" spans="1:35">
      <c r="A367" s="241" t="s">
        <v>462</v>
      </c>
      <c r="B367" s="241" t="s">
        <v>3375</v>
      </c>
      <c r="C367" s="241" t="s">
        <v>3571</v>
      </c>
      <c r="D367" s="242">
        <v>10</v>
      </c>
      <c r="E367" s="242">
        <v>10</v>
      </c>
      <c r="F367" s="242">
        <v>10</v>
      </c>
      <c r="G367" s="242">
        <v>10</v>
      </c>
      <c r="H367" s="242">
        <v>10</v>
      </c>
      <c r="I367" s="242">
        <v>10</v>
      </c>
      <c r="J367" s="242">
        <v>10</v>
      </c>
      <c r="K367" s="242">
        <v>10</v>
      </c>
      <c r="L367" s="242">
        <v>10</v>
      </c>
      <c r="M367" s="242">
        <v>10</v>
      </c>
      <c r="N367" s="242">
        <v>10</v>
      </c>
      <c r="O367" s="242">
        <v>10</v>
      </c>
      <c r="P367" s="241" t="s">
        <v>3345</v>
      </c>
      <c r="Q367" s="241" t="s">
        <v>3347</v>
      </c>
      <c r="R367" s="243" t="s">
        <v>4561</v>
      </c>
      <c r="S367" s="270">
        <f t="shared" si="13"/>
        <v>23012</v>
      </c>
      <c r="T367" s="270"/>
      <c r="U367" s="270">
        <f>IFERROR(VLOOKUP($A367,GeneratingCapabilityList!$E$7:$O$1673,11,FALSE),"ID Not Found")</f>
        <v>23012</v>
      </c>
      <c r="V367" s="271" t="str">
        <f>IFERROR(VLOOKUP($A367,GeneratingCapabilityList!$E$7:$O$1673,6,FALSE),"UNKNOWN")</f>
        <v>HYDRO</v>
      </c>
      <c r="W367" s="271">
        <f>IFERROR(VLOOKUP($A367,GeneratingCapabilityList!$E$7:$O$1673,3,FALSE),"ID Not Found")</f>
        <v>11</v>
      </c>
      <c r="Y367" s="270"/>
    </row>
    <row r="368" spans="1:35">
      <c r="A368" s="241" t="s">
        <v>163</v>
      </c>
      <c r="B368" s="241" t="s">
        <v>3349</v>
      </c>
      <c r="C368" s="241" t="s">
        <v>3572</v>
      </c>
      <c r="D368" s="242">
        <v>13</v>
      </c>
      <c r="E368" s="242">
        <v>13</v>
      </c>
      <c r="F368" s="242">
        <v>13</v>
      </c>
      <c r="G368" s="242">
        <v>13</v>
      </c>
      <c r="H368" s="242">
        <v>13</v>
      </c>
      <c r="I368" s="242">
        <v>13</v>
      </c>
      <c r="J368" s="242">
        <v>13</v>
      </c>
      <c r="K368" s="242">
        <v>13</v>
      </c>
      <c r="L368" s="242">
        <v>13</v>
      </c>
      <c r="M368" s="242">
        <v>13</v>
      </c>
      <c r="N368" s="242">
        <v>13</v>
      </c>
      <c r="O368" s="242">
        <v>13</v>
      </c>
      <c r="P368" s="241" t="s">
        <v>3345</v>
      </c>
      <c r="Q368" s="241" t="s">
        <v>3347</v>
      </c>
      <c r="R368" s="243" t="s">
        <v>4561</v>
      </c>
      <c r="S368" s="270">
        <f t="shared" si="13"/>
        <v>7306</v>
      </c>
      <c r="T368" s="270"/>
      <c r="U368" s="270">
        <f>IFERROR(VLOOKUP($A368,GeneratingCapabilityList!$E$7:$O$1673,11,FALSE),"ID Not Found")</f>
        <v>7306</v>
      </c>
      <c r="V368" s="271" t="str">
        <f>IFERROR(VLOOKUP($A368,GeneratingCapabilityList!$E$7:$O$1673,6,FALSE),"UNKNOWN")</f>
        <v>HYDRO</v>
      </c>
      <c r="W368" s="271">
        <f>IFERROR(VLOOKUP($A368,GeneratingCapabilityList!$E$7:$O$1673,3,FALSE),"ID Not Found")</f>
        <v>13</v>
      </c>
      <c r="Y368" s="270"/>
    </row>
    <row r="369" spans="1:25">
      <c r="A369" s="241" t="s">
        <v>167</v>
      </c>
      <c r="B369" s="241" t="s">
        <v>3349</v>
      </c>
      <c r="C369" s="241" t="s">
        <v>3573</v>
      </c>
      <c r="D369" s="242">
        <v>12.8</v>
      </c>
      <c r="E369" s="242">
        <v>12.8</v>
      </c>
      <c r="F369" s="242">
        <v>12.8</v>
      </c>
      <c r="G369" s="242">
        <v>12.8</v>
      </c>
      <c r="H369" s="242">
        <v>12.8</v>
      </c>
      <c r="I369" s="242">
        <v>12.8</v>
      </c>
      <c r="J369" s="242">
        <v>12.8</v>
      </c>
      <c r="K369" s="242">
        <v>12.8</v>
      </c>
      <c r="L369" s="242">
        <v>12.8</v>
      </c>
      <c r="M369" s="242">
        <v>12.8</v>
      </c>
      <c r="N369" s="242">
        <v>12.8</v>
      </c>
      <c r="O369" s="242">
        <v>12.8</v>
      </c>
      <c r="P369" s="241" t="s">
        <v>3345</v>
      </c>
      <c r="Q369" s="241" t="s">
        <v>3347</v>
      </c>
      <c r="R369" s="243" t="s">
        <v>4561</v>
      </c>
      <c r="S369" s="270">
        <f t="shared" si="13"/>
        <v>7306</v>
      </c>
      <c r="T369" s="270"/>
      <c r="U369" s="270">
        <f>IFERROR(VLOOKUP($A369,GeneratingCapabilityList!$E$7:$O$1673,11,FALSE),"ID Not Found")</f>
        <v>7306</v>
      </c>
      <c r="V369" s="271" t="str">
        <f>IFERROR(VLOOKUP($A369,GeneratingCapabilityList!$E$7:$O$1673,6,FALSE),"UNKNOWN")</f>
        <v>HYDRO</v>
      </c>
      <c r="W369" s="271">
        <f>IFERROR(VLOOKUP($A369,GeneratingCapabilityList!$E$7:$O$1673,3,FALSE),"ID Not Found")</f>
        <v>12.8</v>
      </c>
      <c r="Y369" s="270"/>
    </row>
    <row r="370" spans="1:25">
      <c r="A370" s="241" t="s">
        <v>864</v>
      </c>
      <c r="B370" s="241" t="s">
        <v>3349</v>
      </c>
      <c r="C370" s="241" t="s">
        <v>3574</v>
      </c>
      <c r="D370" s="242">
        <v>153.9</v>
      </c>
      <c r="E370" s="242">
        <v>153.9</v>
      </c>
      <c r="F370" s="242">
        <v>153.9</v>
      </c>
      <c r="G370" s="242">
        <v>153.9</v>
      </c>
      <c r="H370" s="242">
        <v>153.9</v>
      </c>
      <c r="I370" s="242">
        <v>153.9</v>
      </c>
      <c r="J370" s="242">
        <v>153.9</v>
      </c>
      <c r="K370" s="242">
        <v>153.9</v>
      </c>
      <c r="L370" s="242">
        <v>153.9</v>
      </c>
      <c r="M370" s="242">
        <v>153.9</v>
      </c>
      <c r="N370" s="242">
        <v>153.9</v>
      </c>
      <c r="O370" s="242">
        <v>153.9</v>
      </c>
      <c r="P370" s="241" t="s">
        <v>3345</v>
      </c>
      <c r="Q370" s="241" t="s">
        <v>3347</v>
      </c>
      <c r="R370" s="243" t="s">
        <v>4561</v>
      </c>
      <c r="S370" s="270">
        <f t="shared" si="13"/>
        <v>30317</v>
      </c>
      <c r="T370" s="270"/>
      <c r="U370" s="270">
        <f>IFERROR(VLOOKUP($A370,GeneratingCapabilityList!$E$7:$O$1673,11,FALSE),"ID Not Found")</f>
        <v>30317</v>
      </c>
      <c r="V370" s="271" t="str">
        <f>IFERROR(VLOOKUP($A370,GeneratingCapabilityList!$E$7:$O$1673,6,FALSE),"UNKNOWN")</f>
        <v>HYDRO</v>
      </c>
      <c r="W370" s="271">
        <f>IFERROR(VLOOKUP($A370,GeneratingCapabilityList!$E$7:$O$1673,3,FALSE),"ID Not Found")</f>
        <v>153.9</v>
      </c>
      <c r="Y370" s="270"/>
    </row>
    <row r="371" spans="1:25">
      <c r="A371" s="241" t="s">
        <v>1786</v>
      </c>
      <c r="B371" s="241" t="s">
        <v>3370</v>
      </c>
      <c r="C371" s="241" t="s">
        <v>1787</v>
      </c>
      <c r="D371" s="242">
        <v>47</v>
      </c>
      <c r="E371" s="242">
        <v>47</v>
      </c>
      <c r="F371" s="242">
        <v>47</v>
      </c>
      <c r="G371" s="242">
        <v>47</v>
      </c>
      <c r="H371" s="242">
        <v>47</v>
      </c>
      <c r="I371" s="242">
        <v>47</v>
      </c>
      <c r="J371" s="242">
        <v>47</v>
      </c>
      <c r="K371" s="242">
        <v>47</v>
      </c>
      <c r="L371" s="242">
        <v>47</v>
      </c>
      <c r="M371" s="242">
        <v>47</v>
      </c>
      <c r="N371" s="242">
        <v>47</v>
      </c>
      <c r="O371" s="242">
        <v>47</v>
      </c>
      <c r="P371" s="241" t="s">
        <v>3345</v>
      </c>
      <c r="Q371" s="241" t="s">
        <v>3347</v>
      </c>
      <c r="R371" s="243" t="s">
        <v>4561</v>
      </c>
      <c r="S371" s="270">
        <f t="shared" si="13"/>
        <v>32515</v>
      </c>
      <c r="T371" s="270"/>
      <c r="U371" s="270">
        <f>IFERROR(VLOOKUP($A371,GeneratingCapabilityList!$E$7:$O$1673,11,FALSE),"ID Not Found")</f>
        <v>32515</v>
      </c>
      <c r="V371" s="271" t="str">
        <f>IFERROR(VLOOKUP($A371,GeneratingCapabilityList!$E$7:$O$1673,6,FALSE),"UNKNOWN")</f>
        <v>COGENERATION</v>
      </c>
      <c r="W371" s="271">
        <f>IFERROR(VLOOKUP($A371,GeneratingCapabilityList!$E$7:$O$1673,3,FALSE),"ID Not Found")</f>
        <v>52.4</v>
      </c>
      <c r="Y371" s="270"/>
    </row>
    <row r="372" spans="1:25">
      <c r="A372" s="241" t="s">
        <v>1110</v>
      </c>
      <c r="B372" s="241" t="s">
        <v>3370</v>
      </c>
      <c r="C372" s="241" t="s">
        <v>3575</v>
      </c>
      <c r="D372" s="242">
        <v>0.5</v>
      </c>
      <c r="E372" s="242">
        <v>0.33</v>
      </c>
      <c r="F372" s="242">
        <v>0</v>
      </c>
      <c r="G372" s="242">
        <v>0.56999999999999995</v>
      </c>
      <c r="H372" s="242">
        <v>1.83</v>
      </c>
      <c r="I372" s="242">
        <v>1.41</v>
      </c>
      <c r="J372" s="242">
        <v>0.84</v>
      </c>
      <c r="K372" s="242">
        <v>1</v>
      </c>
      <c r="L372" s="242">
        <v>1.54</v>
      </c>
      <c r="M372" s="242">
        <v>1.58</v>
      </c>
      <c r="N372" s="242">
        <v>1.39</v>
      </c>
      <c r="O372" s="242">
        <v>1.17</v>
      </c>
      <c r="P372" s="241" t="s">
        <v>3345</v>
      </c>
      <c r="Q372" s="241" t="s">
        <v>3347</v>
      </c>
      <c r="R372" s="243" t="s">
        <v>4562</v>
      </c>
      <c r="S372" s="270">
        <f t="shared" si="13"/>
        <v>31048</v>
      </c>
      <c r="T372" s="270"/>
      <c r="U372" s="270">
        <f>IFERROR(VLOOKUP($A372,GeneratingCapabilityList!$E$7:$O$1673,11,FALSE),"ID Not Found")</f>
        <v>31048</v>
      </c>
      <c r="V372" s="271" t="str">
        <f>IFERROR(VLOOKUP($A372,GeneratingCapabilityList!$E$7:$O$1673,6,FALSE),"UNKNOWN")</f>
        <v>COGENERATION</v>
      </c>
      <c r="W372" s="271">
        <f>IFERROR(VLOOKUP($A372,GeneratingCapabilityList!$E$7:$O$1673,3,FALSE),"ID Not Found")</f>
        <v>55.2</v>
      </c>
      <c r="Y372" s="270"/>
    </row>
    <row r="373" spans="1:25">
      <c r="A373" s="241" t="s">
        <v>71</v>
      </c>
      <c r="B373" s="241" t="s">
        <v>3328</v>
      </c>
      <c r="C373" s="241" t="s">
        <v>3576</v>
      </c>
      <c r="D373" s="242">
        <v>8.69</v>
      </c>
      <c r="E373" s="242">
        <v>8.99</v>
      </c>
      <c r="F373" s="242">
        <v>10.25</v>
      </c>
      <c r="G373" s="242">
        <v>12.56</v>
      </c>
      <c r="H373" s="242">
        <v>12.58</v>
      </c>
      <c r="I373" s="242">
        <v>14.6</v>
      </c>
      <c r="J373" s="242">
        <v>20.75</v>
      </c>
      <c r="K373" s="242">
        <v>19.53</v>
      </c>
      <c r="L373" s="242">
        <v>15.83</v>
      </c>
      <c r="M373" s="242">
        <v>13.82</v>
      </c>
      <c r="N373" s="242">
        <v>15.85</v>
      </c>
      <c r="O373" s="242">
        <v>14.44</v>
      </c>
      <c r="P373" s="241" t="s">
        <v>3352</v>
      </c>
      <c r="Q373" s="241" t="s">
        <v>3347</v>
      </c>
      <c r="R373" s="243" t="s">
        <v>4562</v>
      </c>
      <c r="S373" s="270">
        <f t="shared" si="13"/>
        <v>2558</v>
      </c>
      <c r="T373" s="270"/>
      <c r="U373" s="270">
        <f>IFERROR(VLOOKUP($A373,GeneratingCapabilityList!$E$7:$O$1673,11,FALSE),"ID Not Found")</f>
        <v>2558</v>
      </c>
      <c r="V373" s="271" t="str">
        <f>IFERROR(VLOOKUP($A373,GeneratingCapabilityList!$E$7:$O$1673,6,FALSE),"UNKNOWN")</f>
        <v>HYDRO</v>
      </c>
      <c r="W373" s="271">
        <f>IFERROR(VLOOKUP($A373,GeneratingCapabilityList!$E$7:$O$1673,3,FALSE),"ID Not Found")</f>
        <v>25.6</v>
      </c>
      <c r="Y373" s="270"/>
    </row>
    <row r="374" spans="1:25">
      <c r="A374" s="241" t="s">
        <v>52</v>
      </c>
      <c r="B374" s="241" t="s">
        <v>3361</v>
      </c>
      <c r="C374" s="241" t="s">
        <v>3577</v>
      </c>
      <c r="D374" s="242">
        <v>1.78</v>
      </c>
      <c r="E374" s="242">
        <v>1.79</v>
      </c>
      <c r="F374" s="242">
        <v>2.15</v>
      </c>
      <c r="G374" s="242">
        <v>2.64</v>
      </c>
      <c r="H374" s="242">
        <v>2.66</v>
      </c>
      <c r="I374" s="242">
        <v>2.4700000000000002</v>
      </c>
      <c r="J374" s="242">
        <v>1.88</v>
      </c>
      <c r="K374" s="242">
        <v>1.47</v>
      </c>
      <c r="L374" s="242">
        <v>1.31</v>
      </c>
      <c r="M374" s="242">
        <v>1.28</v>
      </c>
      <c r="N374" s="242">
        <v>1.4</v>
      </c>
      <c r="O374" s="242">
        <v>1.84</v>
      </c>
      <c r="P374" s="241" t="s">
        <v>3345</v>
      </c>
      <c r="Q374" s="241" t="s">
        <v>3347</v>
      </c>
      <c r="R374" s="243" t="s">
        <v>4561</v>
      </c>
      <c r="S374" s="270">
        <f t="shared" si="13"/>
        <v>1462</v>
      </c>
      <c r="T374" s="270"/>
      <c r="U374" s="270">
        <f>IFERROR(VLOOKUP($A374,GeneratingCapabilityList!$E$7:$O$1673,11,FALSE),"ID Not Found")</f>
        <v>1462</v>
      </c>
      <c r="V374" s="271" t="str">
        <f>IFERROR(VLOOKUP($A374,GeneratingCapabilityList!$E$7:$O$1673,6,FALSE),"UNKNOWN")</f>
        <v>HYDRO</v>
      </c>
      <c r="W374" s="271">
        <f>IFERROR(VLOOKUP($A374,GeneratingCapabilityList!$E$7:$O$1673,3,FALSE),"ID Not Found")</f>
        <v>3.2</v>
      </c>
      <c r="Y374" s="270"/>
    </row>
    <row r="375" spans="1:25">
      <c r="A375" s="241" t="s">
        <v>2039</v>
      </c>
      <c r="B375" s="241" t="s">
        <v>3349</v>
      </c>
      <c r="C375" s="241" t="s">
        <v>4626</v>
      </c>
      <c r="D375" s="242">
        <v>13.79</v>
      </c>
      <c r="E375" s="242">
        <v>13.94</v>
      </c>
      <c r="F375" s="242">
        <v>12.13</v>
      </c>
      <c r="G375" s="242">
        <v>11.83</v>
      </c>
      <c r="H375" s="242">
        <v>15.79</v>
      </c>
      <c r="I375" s="242">
        <v>26.12</v>
      </c>
      <c r="J375" s="242">
        <v>24.66</v>
      </c>
      <c r="K375" s="242">
        <v>28.35</v>
      </c>
      <c r="L375" s="242">
        <v>19.309999999999999</v>
      </c>
      <c r="M375" s="242">
        <v>13.29</v>
      </c>
      <c r="N375" s="242">
        <v>13.01</v>
      </c>
      <c r="O375" s="242">
        <v>13.18</v>
      </c>
      <c r="P375" s="241" t="s">
        <v>3345</v>
      </c>
      <c r="Q375" s="241" t="s">
        <v>3347</v>
      </c>
      <c r="R375" s="243" t="s">
        <v>4562</v>
      </c>
      <c r="S375" s="270">
        <f t="shared" si="13"/>
        <v>33212</v>
      </c>
      <c r="T375" s="270"/>
      <c r="U375" s="270">
        <f>IFERROR(VLOOKUP($A375,GeneratingCapabilityList!$E$7:$O$1673,11,FALSE),"ID Not Found")</f>
        <v>33212</v>
      </c>
      <c r="V375" s="271" t="str">
        <f>IFERROR(VLOOKUP($A375,GeneratingCapabilityList!$E$7:$O$1673,6,FALSE),"UNKNOWN")</f>
        <v>COGENERATION</v>
      </c>
      <c r="W375" s="271">
        <f>IFERROR(VLOOKUP($A375,GeneratingCapabilityList!$E$7:$O$1673,3,FALSE),"ID Not Found")</f>
        <v>34.5</v>
      </c>
      <c r="Y375" s="270"/>
    </row>
    <row r="376" spans="1:25">
      <c r="A376" s="241" t="s">
        <v>450</v>
      </c>
      <c r="B376" s="241" t="s">
        <v>3349</v>
      </c>
      <c r="C376" s="241" t="s">
        <v>3578</v>
      </c>
      <c r="D376" s="242">
        <v>51.2</v>
      </c>
      <c r="E376" s="242">
        <v>51.2</v>
      </c>
      <c r="F376" s="242">
        <v>51.2</v>
      </c>
      <c r="G376" s="242">
        <v>51.2</v>
      </c>
      <c r="H376" s="242">
        <v>51.2</v>
      </c>
      <c r="I376" s="242">
        <v>51.2</v>
      </c>
      <c r="J376" s="242">
        <v>51.2</v>
      </c>
      <c r="K376" s="242">
        <v>51.2</v>
      </c>
      <c r="L376" s="242">
        <v>51.2</v>
      </c>
      <c r="M376" s="242">
        <v>51.2</v>
      </c>
      <c r="N376" s="242">
        <v>51.2</v>
      </c>
      <c r="O376" s="242">
        <v>51.2</v>
      </c>
      <c r="P376" s="241" t="s">
        <v>3345</v>
      </c>
      <c r="Q376" s="241" t="s">
        <v>3347</v>
      </c>
      <c r="R376" s="243" t="s">
        <v>4561</v>
      </c>
      <c r="S376" s="270">
        <f t="shared" si="13"/>
        <v>22647</v>
      </c>
      <c r="T376" s="270"/>
      <c r="U376" s="270">
        <f>IFERROR(VLOOKUP($A376,GeneratingCapabilityList!$E$7:$O$1673,11,FALSE),"ID Not Found")</f>
        <v>22647</v>
      </c>
      <c r="V376" s="271" t="str">
        <f>IFERROR(VLOOKUP($A376,GeneratingCapabilityList!$E$7:$O$1673,6,FALSE),"UNKNOWN")</f>
        <v>HYDRO</v>
      </c>
      <c r="W376" s="271">
        <f>IFERROR(VLOOKUP($A376,GeneratingCapabilityList!$E$7:$O$1673,3,FALSE),"ID Not Found")</f>
        <v>51.2</v>
      </c>
      <c r="Y376" s="270"/>
    </row>
    <row r="377" spans="1:25">
      <c r="A377" s="259" t="s">
        <v>2906</v>
      </c>
      <c r="B377" s="250" t="s">
        <v>3324</v>
      </c>
      <c r="C377" s="250" t="s">
        <v>3579</v>
      </c>
      <c r="D377" s="281">
        <v>3.4520726881720432</v>
      </c>
      <c r="E377" s="281">
        <v>3.4775725000000008</v>
      </c>
      <c r="F377" s="281">
        <v>3.5694544086021498</v>
      </c>
      <c r="G377" s="281">
        <v>3.5730044444444435</v>
      </c>
      <c r="H377" s="281">
        <v>3.5185941935483895</v>
      </c>
      <c r="I377" s="281">
        <v>3.4287882222222223</v>
      </c>
      <c r="J377" s="281">
        <v>3.5092947634408596</v>
      </c>
      <c r="K377" s="281">
        <v>3.2947793655913991</v>
      </c>
      <c r="L377" s="281">
        <v>3.4250832888888891</v>
      </c>
      <c r="M377" s="281">
        <v>3.453394333333335</v>
      </c>
      <c r="N377" s="281">
        <v>3.564881133333333</v>
      </c>
      <c r="O377" s="281">
        <v>3.6024172150537637</v>
      </c>
      <c r="P377" s="252" t="s">
        <v>3345</v>
      </c>
      <c r="Q377" s="252" t="s">
        <v>3347</v>
      </c>
      <c r="R377" s="253" t="s">
        <v>4562</v>
      </c>
      <c r="S377" s="270">
        <f t="shared" si="13"/>
        <v>40026</v>
      </c>
      <c r="T377" s="270"/>
      <c r="U377" s="270">
        <f>IFERROR(VLOOKUP($A377,GeneratingCapabilityList!$E$7:$O$1673,11,FALSE),"ID Not Found")</f>
        <v>40026</v>
      </c>
      <c r="V377" s="271" t="str">
        <f>IFERROR(VLOOKUP($A377,GeneratingCapabilityList!$E$7:$O$1673,6,FALSE),"UNKNOWN")</f>
        <v>BIOMASS</v>
      </c>
      <c r="W377" s="271">
        <f>IFERROR(VLOOKUP($A377,GeneratingCapabilityList!$E$7:$O$1673,3,FALSE),"ID Not Found")</f>
        <v>3.56</v>
      </c>
      <c r="Y377" s="270"/>
    </row>
    <row r="378" spans="1:25">
      <c r="A378" s="241" t="s">
        <v>2481</v>
      </c>
      <c r="B378" s="241" t="s">
        <v>3361</v>
      </c>
      <c r="C378" s="241" t="s">
        <v>3580</v>
      </c>
      <c r="D378" s="242">
        <v>44.6</v>
      </c>
      <c r="E378" s="242">
        <v>44.6</v>
      </c>
      <c r="F378" s="242">
        <v>44.6</v>
      </c>
      <c r="G378" s="242">
        <v>44.6</v>
      </c>
      <c r="H378" s="242">
        <v>44.6</v>
      </c>
      <c r="I378" s="242">
        <v>44.6</v>
      </c>
      <c r="J378" s="242">
        <v>44.6</v>
      </c>
      <c r="K378" s="242">
        <v>44.6</v>
      </c>
      <c r="L378" s="242">
        <v>44.6</v>
      </c>
      <c r="M378" s="242">
        <v>44.6</v>
      </c>
      <c r="N378" s="242">
        <v>44.6</v>
      </c>
      <c r="O378" s="242">
        <v>44.6</v>
      </c>
      <c r="P378" s="241" t="s">
        <v>3345</v>
      </c>
      <c r="Q378" s="241" t="s">
        <v>3347</v>
      </c>
      <c r="R378" s="243" t="s">
        <v>4561</v>
      </c>
      <c r="S378" s="270">
        <f t="shared" si="13"/>
        <v>37270</v>
      </c>
      <c r="T378" s="270"/>
      <c r="U378" s="270">
        <f>IFERROR(VLOOKUP($A378,GeneratingCapabilityList!$E$7:$O$1673,11,FALSE),"ID Not Found")</f>
        <v>37270</v>
      </c>
      <c r="V378" s="271" t="str">
        <f>IFERROR(VLOOKUP($A378,GeneratingCapabilityList!$E$7:$O$1673,6,FALSE),"UNKNOWN")</f>
        <v>PEAKER</v>
      </c>
      <c r="W378" s="271">
        <f>IFERROR(VLOOKUP($A378,GeneratingCapabilityList!$E$7:$O$1673,3,FALSE),"ID Not Found")</f>
        <v>44.6</v>
      </c>
      <c r="Y378" s="270"/>
    </row>
    <row r="379" spans="1:25">
      <c r="A379" s="241" t="s">
        <v>1311</v>
      </c>
      <c r="B379" s="241" t="s">
        <v>3361</v>
      </c>
      <c r="C379" s="241" t="s">
        <v>1312</v>
      </c>
      <c r="D379" s="242">
        <v>1.63</v>
      </c>
      <c r="E379" s="242">
        <v>21.02</v>
      </c>
      <c r="F379" s="242">
        <v>48.07</v>
      </c>
      <c r="G379" s="242">
        <v>124.97</v>
      </c>
      <c r="H379" s="242">
        <v>140.53</v>
      </c>
      <c r="I379" s="242">
        <v>173.09</v>
      </c>
      <c r="J379" s="242">
        <v>175</v>
      </c>
      <c r="K379" s="242">
        <v>169.99</v>
      </c>
      <c r="L379" s="242">
        <v>156.97</v>
      </c>
      <c r="M379" s="242">
        <v>78.64</v>
      </c>
      <c r="N379" s="242">
        <v>13.88</v>
      </c>
      <c r="O379" s="242">
        <v>10.08</v>
      </c>
      <c r="P379" s="241" t="s">
        <v>3352</v>
      </c>
      <c r="Q379" s="241" t="s">
        <v>3347</v>
      </c>
      <c r="R379" s="243" t="s">
        <v>4562</v>
      </c>
      <c r="S379" s="270">
        <f t="shared" si="13"/>
        <v>31413</v>
      </c>
      <c r="T379" s="270"/>
      <c r="U379" s="270">
        <f>IFERROR(VLOOKUP($A379,GeneratingCapabilityList!$E$7:$O$1673,11,FALSE),"ID Not Found")</f>
        <v>31413</v>
      </c>
      <c r="V379" s="271" t="str">
        <f>IFERROR(VLOOKUP($A379,GeneratingCapabilityList!$E$7:$O$1673,6,FALSE),"UNKNOWN")</f>
        <v>SOLAR</v>
      </c>
      <c r="W379" s="271">
        <f>IFERROR(VLOOKUP($A379,GeneratingCapabilityList!$E$7:$O$1673,3,FALSE),"ID Not Found")</f>
        <v>175</v>
      </c>
      <c r="Y379" s="270"/>
    </row>
    <row r="380" spans="1:25">
      <c r="A380" s="241" t="s">
        <v>1313</v>
      </c>
      <c r="B380" s="241" t="s">
        <v>3361</v>
      </c>
      <c r="C380" s="241" t="s">
        <v>1314</v>
      </c>
      <c r="D380" s="242">
        <v>1.37</v>
      </c>
      <c r="E380" s="242">
        <v>17.649999999999999</v>
      </c>
      <c r="F380" s="242">
        <v>39.78</v>
      </c>
      <c r="G380" s="242">
        <v>117.43</v>
      </c>
      <c r="H380" s="242">
        <v>160.27000000000001</v>
      </c>
      <c r="I380" s="242">
        <v>183.8</v>
      </c>
      <c r="J380" s="242">
        <v>184</v>
      </c>
      <c r="K380" s="242">
        <v>164.78</v>
      </c>
      <c r="L380" s="242">
        <v>158.41</v>
      </c>
      <c r="M380" s="242">
        <v>117.28</v>
      </c>
      <c r="N380" s="242">
        <v>18.649999999999999</v>
      </c>
      <c r="O380" s="242">
        <v>3.38</v>
      </c>
      <c r="P380" s="241" t="s">
        <v>3352</v>
      </c>
      <c r="Q380" s="241" t="s">
        <v>3347</v>
      </c>
      <c r="R380" s="243" t="s">
        <v>4562</v>
      </c>
      <c r="S380" s="270">
        <f t="shared" si="13"/>
        <v>31413</v>
      </c>
      <c r="T380" s="270"/>
      <c r="U380" s="270">
        <f>IFERROR(VLOOKUP($A380,GeneratingCapabilityList!$E$7:$O$1673,11,FALSE),"ID Not Found")</f>
        <v>31413</v>
      </c>
      <c r="V380" s="271" t="str">
        <f>IFERROR(VLOOKUP($A380,GeneratingCapabilityList!$E$7:$O$1673,6,FALSE),"UNKNOWN")</f>
        <v>SOLAR</v>
      </c>
      <c r="W380" s="271">
        <f>IFERROR(VLOOKUP($A380,GeneratingCapabilityList!$E$7:$O$1673,3,FALSE),"ID Not Found")</f>
        <v>184</v>
      </c>
      <c r="Y380" s="270"/>
    </row>
    <row r="381" spans="1:25">
      <c r="A381" s="241" t="s">
        <v>191</v>
      </c>
      <c r="B381" s="241" t="s">
        <v>3361</v>
      </c>
      <c r="C381" s="241" t="s">
        <v>192</v>
      </c>
      <c r="D381" s="242">
        <v>0.23</v>
      </c>
      <c r="E381" s="242">
        <v>2.6</v>
      </c>
      <c r="F381" s="242">
        <v>7.07</v>
      </c>
      <c r="G381" s="242">
        <v>9.6199999999999992</v>
      </c>
      <c r="H381" s="242">
        <v>9.85</v>
      </c>
      <c r="I381" s="242">
        <v>8.5500000000000007</v>
      </c>
      <c r="J381" s="242">
        <v>7.86</v>
      </c>
      <c r="K381" s="242">
        <v>6.75</v>
      </c>
      <c r="L381" s="242">
        <v>5.0599999999999996</v>
      </c>
      <c r="M381" s="242">
        <v>3.39</v>
      </c>
      <c r="N381" s="242">
        <v>3.09</v>
      </c>
      <c r="O381" s="242">
        <v>3.05</v>
      </c>
      <c r="P381" s="241" t="s">
        <v>3345</v>
      </c>
      <c r="Q381" s="241" t="s">
        <v>3347</v>
      </c>
      <c r="R381" s="243" t="s">
        <v>4561</v>
      </c>
      <c r="S381" s="270">
        <f t="shared" si="13"/>
        <v>7672</v>
      </c>
      <c r="T381" s="270"/>
      <c r="U381" s="270">
        <f>IFERROR(VLOOKUP($A381,GeneratingCapabilityList!$E$7:$O$1673,11,FALSE),"ID Not Found")</f>
        <v>7672</v>
      </c>
      <c r="V381" s="271" t="str">
        <f>IFERROR(VLOOKUP($A381,GeneratingCapabilityList!$E$7:$O$1673,6,FALSE),"UNKNOWN")</f>
        <v>HYDRO</v>
      </c>
      <c r="W381" s="271">
        <f>IFERROR(VLOOKUP($A381,GeneratingCapabilityList!$E$7:$O$1673,3,FALSE),"ID Not Found")</f>
        <v>11.5</v>
      </c>
      <c r="Y381" s="270"/>
    </row>
    <row r="382" spans="1:25">
      <c r="A382" s="241" t="s">
        <v>797</v>
      </c>
      <c r="B382" s="241" t="s">
        <v>3327</v>
      </c>
      <c r="C382" s="241" t="s">
        <v>798</v>
      </c>
      <c r="D382" s="242">
        <v>0</v>
      </c>
      <c r="E382" s="242">
        <v>0</v>
      </c>
      <c r="F382" s="242">
        <v>0</v>
      </c>
      <c r="G382" s="242">
        <v>0</v>
      </c>
      <c r="H382" s="242">
        <v>0</v>
      </c>
      <c r="I382" s="242">
        <v>0.14000000000000001</v>
      </c>
      <c r="J382" s="242">
        <v>2.21</v>
      </c>
      <c r="K382" s="242">
        <v>4.54</v>
      </c>
      <c r="L382" s="242">
        <v>4.05</v>
      </c>
      <c r="M382" s="242">
        <v>1.44</v>
      </c>
      <c r="N382" s="242">
        <v>0</v>
      </c>
      <c r="O382" s="242">
        <v>0</v>
      </c>
      <c r="P382" s="241" t="s">
        <v>3352</v>
      </c>
      <c r="Q382" s="241" t="s">
        <v>3347</v>
      </c>
      <c r="R382" s="243" t="s">
        <v>4562</v>
      </c>
      <c r="S382" s="270">
        <f t="shared" si="13"/>
        <v>29952</v>
      </c>
      <c r="T382" s="270"/>
      <c r="U382" s="270">
        <f>IFERROR(VLOOKUP($A382,GeneratingCapabilityList!$E$7:$O$1673,11,FALSE),"ID Not Found")</f>
        <v>29952</v>
      </c>
      <c r="V382" s="271" t="str">
        <f>IFERROR(VLOOKUP($A382,GeneratingCapabilityList!$E$7:$O$1673,6,FALSE),"UNKNOWN")</f>
        <v>HYDRO</v>
      </c>
      <c r="W382" s="271">
        <f>IFERROR(VLOOKUP($A382,GeneratingCapabilityList!$E$7:$O$1673,3,FALSE),"ID Not Found")</f>
        <v>10.119999999999999</v>
      </c>
      <c r="Y382" s="270"/>
    </row>
    <row r="383" spans="1:25">
      <c r="A383" s="241" t="s">
        <v>1644</v>
      </c>
      <c r="B383" s="241" t="s">
        <v>3327</v>
      </c>
      <c r="C383" s="241" t="s">
        <v>3581</v>
      </c>
      <c r="D383" s="242">
        <v>1.49</v>
      </c>
      <c r="E383" s="242">
        <v>1.49</v>
      </c>
      <c r="F383" s="242">
        <v>1.51</v>
      </c>
      <c r="G383" s="242">
        <v>1.5</v>
      </c>
      <c r="H383" s="242">
        <v>1.4</v>
      </c>
      <c r="I383" s="242">
        <v>1.43</v>
      </c>
      <c r="J383" s="242">
        <v>1.45</v>
      </c>
      <c r="K383" s="242">
        <v>1.44</v>
      </c>
      <c r="L383" s="242">
        <v>1.45</v>
      </c>
      <c r="M383" s="242">
        <v>0.65</v>
      </c>
      <c r="N383" s="242">
        <v>0.72</v>
      </c>
      <c r="O383" s="242">
        <v>0.74</v>
      </c>
      <c r="P383" s="241" t="s">
        <v>3352</v>
      </c>
      <c r="Q383" s="241" t="s">
        <v>3347</v>
      </c>
      <c r="R383" s="243" t="s">
        <v>4562</v>
      </c>
      <c r="S383" s="270">
        <f t="shared" si="13"/>
        <v>32143</v>
      </c>
      <c r="T383" s="270"/>
      <c r="U383" s="270">
        <f>IFERROR(VLOOKUP($A383,GeneratingCapabilityList!$E$7:$O$1673,11,FALSE),"ID Not Found")</f>
        <v>32143</v>
      </c>
      <c r="V383" s="271" t="str">
        <f>IFERROR(VLOOKUP($A383,GeneratingCapabilityList!$E$7:$O$1673,6,FALSE),"UNKNOWN")</f>
        <v>VARIOUS</v>
      </c>
      <c r="W383" s="271">
        <f>IFERROR(VLOOKUP($A383,GeneratingCapabilityList!$E$7:$O$1673,3,FALSE),"ID Not Found")</f>
        <v>14.64</v>
      </c>
      <c r="Y383" s="270"/>
    </row>
    <row r="384" spans="1:25">
      <c r="A384" s="241" t="s">
        <v>2129</v>
      </c>
      <c r="B384" s="241" t="s">
        <v>3327</v>
      </c>
      <c r="C384" s="241" t="s">
        <v>3582</v>
      </c>
      <c r="D384" s="242">
        <v>9.5500000000000007</v>
      </c>
      <c r="E384" s="242">
        <v>9.42</v>
      </c>
      <c r="F384" s="242">
        <v>9.25</v>
      </c>
      <c r="G384" s="242">
        <v>2.25</v>
      </c>
      <c r="H384" s="242">
        <v>8.09</v>
      </c>
      <c r="I384" s="242">
        <v>9.6999999999999993</v>
      </c>
      <c r="J384" s="242">
        <v>9.5299999999999994</v>
      </c>
      <c r="K384" s="242">
        <v>9.82</v>
      </c>
      <c r="L384" s="242">
        <v>9.7899999999999991</v>
      </c>
      <c r="M384" s="242">
        <v>8.73</v>
      </c>
      <c r="N384" s="242">
        <v>9.3000000000000007</v>
      </c>
      <c r="O384" s="242">
        <v>9.43</v>
      </c>
      <c r="P384" s="241" t="s">
        <v>3352</v>
      </c>
      <c r="Q384" s="241" t="s">
        <v>3347</v>
      </c>
      <c r="R384" s="243" t="s">
        <v>4562</v>
      </c>
      <c r="S384" s="270">
        <f t="shared" si="13"/>
        <v>33970</v>
      </c>
      <c r="T384" s="270"/>
      <c r="U384" s="270">
        <f>IFERROR(VLOOKUP($A384,GeneratingCapabilityList!$E$7:$O$1673,11,FALSE),"ID Not Found")</f>
        <v>33970</v>
      </c>
      <c r="V384" s="271" t="str">
        <f>IFERROR(VLOOKUP($A384,GeneratingCapabilityList!$E$7:$O$1673,6,FALSE),"UNKNOWN")</f>
        <v>VARIOUS</v>
      </c>
      <c r="W384" s="271">
        <f>IFERROR(VLOOKUP($A384,GeneratingCapabilityList!$E$7:$O$1673,3,FALSE),"ID Not Found")</f>
        <v>17.5</v>
      </c>
      <c r="Y384" s="270"/>
    </row>
    <row r="385" spans="1:25">
      <c r="A385" s="241" t="s">
        <v>3023</v>
      </c>
      <c r="B385" s="241" t="s">
        <v>4579</v>
      </c>
      <c r="C385" s="241" t="s">
        <v>4627</v>
      </c>
      <c r="D385" s="242">
        <v>20</v>
      </c>
      <c r="E385" s="242">
        <v>20</v>
      </c>
      <c r="F385" s="242">
        <v>20</v>
      </c>
      <c r="G385" s="242">
        <v>20</v>
      </c>
      <c r="H385" s="242">
        <v>20</v>
      </c>
      <c r="I385" s="242">
        <v>20</v>
      </c>
      <c r="J385" s="242">
        <v>20</v>
      </c>
      <c r="K385" s="242">
        <v>20</v>
      </c>
      <c r="L385" s="242">
        <v>20</v>
      </c>
      <c r="M385" s="242">
        <v>20</v>
      </c>
      <c r="N385" s="242">
        <v>20</v>
      </c>
      <c r="O385" s="242">
        <v>20</v>
      </c>
      <c r="P385" s="241" t="s">
        <v>3352</v>
      </c>
      <c r="Q385" s="241" t="s">
        <v>3347</v>
      </c>
      <c r="R385" s="243" t="s">
        <v>4561</v>
      </c>
      <c r="S385" s="270">
        <f t="shared" si="13"/>
        <v>40794</v>
      </c>
      <c r="T385" s="270"/>
      <c r="U385" s="270">
        <f>IFERROR(VLOOKUP($A385,GeneratingCapabilityList!$E$7:$O$1673,11,FALSE),"ID Not Found")</f>
        <v>40794</v>
      </c>
      <c r="V385" s="271" t="str">
        <f>IFERROR(VLOOKUP($A385,GeneratingCapabilityList!$E$7:$O$1673,6,FALSE),"UNKNOWN")</f>
        <v>HYDRO</v>
      </c>
      <c r="W385" s="271">
        <f>IFERROR(VLOOKUP($A385,GeneratingCapabilityList!$E$7:$O$1673,3,FALSE),"ID Not Found")</f>
        <v>20</v>
      </c>
      <c r="Y385" s="270"/>
    </row>
    <row r="386" spans="1:25">
      <c r="A386" s="241" t="s">
        <v>4479</v>
      </c>
      <c r="B386" s="241" t="s">
        <v>4579</v>
      </c>
      <c r="C386" s="241" t="s">
        <v>4480</v>
      </c>
      <c r="D386" s="242">
        <v>20</v>
      </c>
      <c r="E386" s="242">
        <v>20</v>
      </c>
      <c r="F386" s="242">
        <v>20</v>
      </c>
      <c r="G386" s="242">
        <v>20</v>
      </c>
      <c r="H386" s="242">
        <v>20</v>
      </c>
      <c r="I386" s="242">
        <v>20</v>
      </c>
      <c r="J386" s="242">
        <v>20</v>
      </c>
      <c r="K386" s="242">
        <v>20</v>
      </c>
      <c r="L386" s="242">
        <v>20</v>
      </c>
      <c r="M386" s="242">
        <v>20</v>
      </c>
      <c r="N386" s="242">
        <v>20</v>
      </c>
      <c r="O386" s="242">
        <v>20</v>
      </c>
      <c r="P386" s="241" t="s">
        <v>3352</v>
      </c>
      <c r="Q386" s="241" t="s">
        <v>3347</v>
      </c>
      <c r="R386" s="243" t="s">
        <v>4561</v>
      </c>
      <c r="S386" s="270">
        <f t="shared" si="13"/>
        <v>41148</v>
      </c>
      <c r="T386" s="270"/>
      <c r="U386" s="270">
        <f>IFERROR(VLOOKUP($A386,GeneratingCapabilityList!$E$7:$O$1673,11,FALSE),"ID Not Found")</f>
        <v>41148</v>
      </c>
      <c r="V386" s="271" t="str">
        <f>IFERROR(VLOOKUP($A386,GeneratingCapabilityList!$E$7:$O$1673,6,FALSE),"UNKNOWN")</f>
        <v>HYDRO</v>
      </c>
      <c r="W386" s="271">
        <f>IFERROR(VLOOKUP($A386,GeneratingCapabilityList!$E$7:$O$1673,3,FALSE),"ID Not Found")</f>
        <v>20.149999999999999</v>
      </c>
      <c r="Y386" s="270"/>
    </row>
    <row r="387" spans="1:25">
      <c r="A387" s="241" t="s">
        <v>2574</v>
      </c>
      <c r="B387" s="241" t="s">
        <v>3361</v>
      </c>
      <c r="C387" s="241" t="s">
        <v>3583</v>
      </c>
      <c r="D387" s="242">
        <v>259.8</v>
      </c>
      <c r="E387" s="242">
        <v>259.8</v>
      </c>
      <c r="F387" s="242">
        <v>259.8</v>
      </c>
      <c r="G387" s="242">
        <v>259.8</v>
      </c>
      <c r="H387" s="242">
        <v>259.8</v>
      </c>
      <c r="I387" s="242">
        <v>259.8</v>
      </c>
      <c r="J387" s="242">
        <v>259.8</v>
      </c>
      <c r="K387" s="242">
        <v>259.8</v>
      </c>
      <c r="L387" s="242">
        <v>259.8</v>
      </c>
      <c r="M387" s="242">
        <v>259.8</v>
      </c>
      <c r="N387" s="242">
        <v>259.8</v>
      </c>
      <c r="O387" s="242">
        <v>259.8</v>
      </c>
      <c r="P387" s="241" t="s">
        <v>3345</v>
      </c>
      <c r="Q387" s="241" t="s">
        <v>3347</v>
      </c>
      <c r="R387" s="243" t="s">
        <v>4561</v>
      </c>
      <c r="S387" s="270">
        <f t="shared" si="13"/>
        <v>37631</v>
      </c>
      <c r="T387" s="270"/>
      <c r="U387" s="270">
        <f>IFERROR(VLOOKUP($A387,GeneratingCapabilityList!$E$7:$O$1673,11,FALSE),"ID Not Found")</f>
        <v>37631</v>
      </c>
      <c r="V387" s="271" t="str">
        <f>IFERROR(VLOOKUP($A387,GeneratingCapabilityList!$E$7:$O$1673,6,FALSE),"UNKNOWN")</f>
        <v>THERMAL</v>
      </c>
      <c r="W387" s="271">
        <f>IFERROR(VLOOKUP($A387,GeneratingCapabilityList!$E$7:$O$1673,3,FALSE),"ID Not Found")</f>
        <v>259.8</v>
      </c>
      <c r="Y387" s="270"/>
    </row>
    <row r="388" spans="1:25">
      <c r="A388" s="241" t="s">
        <v>2579</v>
      </c>
      <c r="B388" s="241" t="s">
        <v>3361</v>
      </c>
      <c r="C388" s="241" t="s">
        <v>3584</v>
      </c>
      <c r="D388" s="242">
        <v>260.2</v>
      </c>
      <c r="E388" s="242">
        <v>260.2</v>
      </c>
      <c r="F388" s="242">
        <v>260.2</v>
      </c>
      <c r="G388" s="242">
        <v>260.2</v>
      </c>
      <c r="H388" s="242">
        <v>260.2</v>
      </c>
      <c r="I388" s="242">
        <v>260.2</v>
      </c>
      <c r="J388" s="242">
        <v>260.2</v>
      </c>
      <c r="K388" s="242">
        <v>260.2</v>
      </c>
      <c r="L388" s="242">
        <v>260.2</v>
      </c>
      <c r="M388" s="242">
        <v>260.2</v>
      </c>
      <c r="N388" s="242">
        <v>260.2</v>
      </c>
      <c r="O388" s="242">
        <v>260.2</v>
      </c>
      <c r="P388" s="241" t="s">
        <v>3345</v>
      </c>
      <c r="Q388" s="241" t="s">
        <v>3347</v>
      </c>
      <c r="R388" s="243" t="s">
        <v>4561</v>
      </c>
      <c r="S388" s="270">
        <f t="shared" si="13"/>
        <v>37685</v>
      </c>
      <c r="T388" s="270"/>
      <c r="U388" s="270">
        <f>IFERROR(VLOOKUP($A388,GeneratingCapabilityList!$E$7:$O$1673,11,FALSE),"ID Not Found")</f>
        <v>37685</v>
      </c>
      <c r="V388" s="271" t="str">
        <f>IFERROR(VLOOKUP($A388,GeneratingCapabilityList!$E$7:$O$1673,6,FALSE),"UNKNOWN")</f>
        <v>THERMAL</v>
      </c>
      <c r="W388" s="271">
        <f>IFERROR(VLOOKUP($A388,GeneratingCapabilityList!$E$7:$O$1673,3,FALSE),"ID Not Found")</f>
        <v>260.2</v>
      </c>
      <c r="Y388" s="270"/>
    </row>
    <row r="389" spans="1:25">
      <c r="A389" s="241" t="s">
        <v>2577</v>
      </c>
      <c r="B389" s="241" t="s">
        <v>3361</v>
      </c>
      <c r="C389" s="241" t="s">
        <v>3585</v>
      </c>
      <c r="D389" s="242">
        <v>256.14999999999998</v>
      </c>
      <c r="E389" s="242">
        <v>256.14999999999998</v>
      </c>
      <c r="F389" s="242">
        <v>256.14999999999998</v>
      </c>
      <c r="G389" s="242">
        <v>256.14999999999998</v>
      </c>
      <c r="H389" s="242">
        <v>256.14999999999998</v>
      </c>
      <c r="I389" s="242">
        <v>256.14999999999998</v>
      </c>
      <c r="J389" s="242">
        <v>256.14999999999998</v>
      </c>
      <c r="K389" s="242">
        <v>256.14999999999998</v>
      </c>
      <c r="L389" s="242">
        <v>256.14999999999998</v>
      </c>
      <c r="M389" s="242">
        <v>256.14999999999998</v>
      </c>
      <c r="N389" s="242">
        <v>256.14999999999998</v>
      </c>
      <c r="O389" s="242">
        <v>256.14999999999998</v>
      </c>
      <c r="P389" s="241" t="s">
        <v>3345</v>
      </c>
      <c r="Q389" s="241" t="s">
        <v>3347</v>
      </c>
      <c r="R389" s="243" t="s">
        <v>4561</v>
      </c>
      <c r="S389" s="270">
        <f t="shared" si="13"/>
        <v>37634</v>
      </c>
      <c r="T389" s="270"/>
      <c r="U389" s="270">
        <f>IFERROR(VLOOKUP($A389,GeneratingCapabilityList!$E$7:$O$1673,11,FALSE),"ID Not Found")</f>
        <v>37634</v>
      </c>
      <c r="V389" s="271" t="str">
        <f>IFERROR(VLOOKUP($A389,GeneratingCapabilityList!$E$7:$O$1673,6,FALSE),"UNKNOWN")</f>
        <v>THERMAL</v>
      </c>
      <c r="W389" s="271">
        <f>IFERROR(VLOOKUP($A389,GeneratingCapabilityList!$E$7:$O$1673,3,FALSE),"ID Not Found")</f>
        <v>256.14999999999998</v>
      </c>
      <c r="Y389" s="270"/>
    </row>
    <row r="390" spans="1:25">
      <c r="A390" s="241" t="s">
        <v>2581</v>
      </c>
      <c r="B390" s="241" t="s">
        <v>3361</v>
      </c>
      <c r="C390" s="241" t="s">
        <v>3586</v>
      </c>
      <c r="D390" s="242">
        <v>259.54000000000002</v>
      </c>
      <c r="E390" s="242">
        <v>259.54000000000002</v>
      </c>
      <c r="F390" s="242">
        <v>259.54000000000002</v>
      </c>
      <c r="G390" s="242">
        <v>259.54000000000002</v>
      </c>
      <c r="H390" s="242">
        <v>259.54000000000002</v>
      </c>
      <c r="I390" s="242">
        <v>259.54000000000002</v>
      </c>
      <c r="J390" s="242">
        <v>259.54000000000002</v>
      </c>
      <c r="K390" s="242">
        <v>259.54000000000002</v>
      </c>
      <c r="L390" s="242">
        <v>259.54000000000002</v>
      </c>
      <c r="M390" s="242">
        <v>259.54000000000002</v>
      </c>
      <c r="N390" s="242">
        <v>259.54000000000002</v>
      </c>
      <c r="O390" s="242">
        <v>259.54000000000002</v>
      </c>
      <c r="P390" s="241" t="s">
        <v>3345</v>
      </c>
      <c r="Q390" s="241" t="s">
        <v>3347</v>
      </c>
      <c r="R390" s="243" t="s">
        <v>4561</v>
      </c>
      <c r="S390" s="270">
        <f t="shared" si="13"/>
        <v>37685</v>
      </c>
      <c r="T390" s="270"/>
      <c r="U390" s="270">
        <f>IFERROR(VLOOKUP($A390,GeneratingCapabilityList!$E$7:$O$1673,11,FALSE),"ID Not Found")</f>
        <v>37685</v>
      </c>
      <c r="V390" s="271" t="str">
        <f>IFERROR(VLOOKUP($A390,GeneratingCapabilityList!$E$7:$O$1673,6,FALSE),"UNKNOWN")</f>
        <v>THERMAL</v>
      </c>
      <c r="W390" s="271">
        <f>IFERROR(VLOOKUP($A390,GeneratingCapabilityList!$E$7:$O$1673,3,FALSE),"ID Not Found")</f>
        <v>259.54000000000002</v>
      </c>
      <c r="Y390" s="270"/>
    </row>
    <row r="391" spans="1:25">
      <c r="A391" s="241" t="s">
        <v>2450</v>
      </c>
      <c r="B391" s="241" t="s">
        <v>4579</v>
      </c>
      <c r="C391" s="241" t="s">
        <v>3587</v>
      </c>
      <c r="D391" s="242">
        <v>46</v>
      </c>
      <c r="E391" s="242">
        <v>46</v>
      </c>
      <c r="F391" s="242">
        <v>46</v>
      </c>
      <c r="G391" s="242">
        <v>46</v>
      </c>
      <c r="H391" s="242">
        <v>46</v>
      </c>
      <c r="I391" s="242">
        <v>46</v>
      </c>
      <c r="J391" s="242">
        <v>46</v>
      </c>
      <c r="K391" s="242">
        <v>46</v>
      </c>
      <c r="L391" s="242">
        <v>46</v>
      </c>
      <c r="M391" s="242">
        <v>46</v>
      </c>
      <c r="N391" s="242">
        <v>46</v>
      </c>
      <c r="O391" s="242">
        <v>46</v>
      </c>
      <c r="P391" s="241" t="s">
        <v>3352</v>
      </c>
      <c r="Q391" s="241" t="s">
        <v>3347</v>
      </c>
      <c r="R391" s="243" t="s">
        <v>4561</v>
      </c>
      <c r="S391" s="270">
        <f t="shared" ref="S391:S422" si="14">U391</f>
        <v>37147</v>
      </c>
      <c r="T391" s="270"/>
      <c r="U391" s="270">
        <f>IFERROR(VLOOKUP($A391,GeneratingCapabilityList!$E$7:$O$1673,11,FALSE),"ID Not Found")</f>
        <v>37147</v>
      </c>
      <c r="V391" s="271" t="str">
        <f>IFERROR(VLOOKUP($A391,GeneratingCapabilityList!$E$7:$O$1673,6,FALSE),"UNKNOWN")</f>
        <v>PEAKER</v>
      </c>
      <c r="W391" s="271">
        <f>IFERROR(VLOOKUP($A391,GeneratingCapabilityList!$E$7:$O$1673,3,FALSE),"ID Not Found")</f>
        <v>46.1</v>
      </c>
      <c r="Y391" s="270"/>
    </row>
    <row r="392" spans="1:25">
      <c r="A392" s="241" t="s">
        <v>2453</v>
      </c>
      <c r="B392" s="241" t="s">
        <v>4579</v>
      </c>
      <c r="C392" s="241" t="s">
        <v>3588</v>
      </c>
      <c r="D392" s="242">
        <v>46</v>
      </c>
      <c r="E392" s="242">
        <v>46</v>
      </c>
      <c r="F392" s="242">
        <v>46</v>
      </c>
      <c r="G392" s="242">
        <v>46</v>
      </c>
      <c r="H392" s="242">
        <v>46</v>
      </c>
      <c r="I392" s="242">
        <v>46</v>
      </c>
      <c r="J392" s="242">
        <v>46</v>
      </c>
      <c r="K392" s="242">
        <v>46</v>
      </c>
      <c r="L392" s="242">
        <v>46</v>
      </c>
      <c r="M392" s="242">
        <v>46</v>
      </c>
      <c r="N392" s="242">
        <v>46</v>
      </c>
      <c r="O392" s="242">
        <v>46</v>
      </c>
      <c r="P392" s="241" t="s">
        <v>3352</v>
      </c>
      <c r="Q392" s="241" t="s">
        <v>3347</v>
      </c>
      <c r="R392" s="243" t="s">
        <v>4561</v>
      </c>
      <c r="S392" s="270">
        <f t="shared" si="14"/>
        <v>37147</v>
      </c>
      <c r="T392" s="270"/>
      <c r="U392" s="270">
        <f>IFERROR(VLOOKUP($A392,GeneratingCapabilityList!$E$7:$O$1673,11,FALSE),"ID Not Found")</f>
        <v>37147</v>
      </c>
      <c r="V392" s="271" t="str">
        <f>IFERROR(VLOOKUP($A392,GeneratingCapabilityList!$E$7:$O$1673,6,FALSE),"UNKNOWN")</f>
        <v>PEAKER</v>
      </c>
      <c r="W392" s="271">
        <f>IFERROR(VLOOKUP($A392,GeneratingCapabilityList!$E$7:$O$1673,3,FALSE),"ID Not Found")</f>
        <v>47.98</v>
      </c>
      <c r="Y392" s="270"/>
    </row>
    <row r="393" spans="1:25">
      <c r="A393" s="241" t="s">
        <v>2636</v>
      </c>
      <c r="B393" s="241" t="s">
        <v>4579</v>
      </c>
      <c r="C393" s="241" t="s">
        <v>4628</v>
      </c>
      <c r="D393" s="242">
        <v>165</v>
      </c>
      <c r="E393" s="242">
        <v>165</v>
      </c>
      <c r="F393" s="242">
        <v>165</v>
      </c>
      <c r="G393" s="242">
        <v>165</v>
      </c>
      <c r="H393" s="242">
        <v>165</v>
      </c>
      <c r="I393" s="242">
        <v>165</v>
      </c>
      <c r="J393" s="242">
        <v>165</v>
      </c>
      <c r="K393" s="242">
        <v>165</v>
      </c>
      <c r="L393" s="242">
        <v>165</v>
      </c>
      <c r="M393" s="242">
        <v>165</v>
      </c>
      <c r="N393" s="242">
        <v>165</v>
      </c>
      <c r="O393" s="242">
        <v>165</v>
      </c>
      <c r="P393" s="241" t="s">
        <v>3352</v>
      </c>
      <c r="Q393" s="241" t="s">
        <v>3347</v>
      </c>
      <c r="R393" s="243" t="s">
        <v>4561</v>
      </c>
      <c r="S393" s="270">
        <f t="shared" si="14"/>
        <v>37822</v>
      </c>
      <c r="T393" s="270"/>
      <c r="U393" s="270">
        <f>IFERROR(VLOOKUP($A393,GeneratingCapabilityList!$E$7:$O$1673,11,FALSE),"ID Not Found")</f>
        <v>37822</v>
      </c>
      <c r="V393" s="271" t="str">
        <f>IFERROR(VLOOKUP($A393,GeneratingCapabilityList!$E$7:$O$1673,6,FALSE),"UNKNOWN")</f>
        <v>THERMAL</v>
      </c>
      <c r="W393" s="271">
        <f>IFERROR(VLOOKUP($A393,GeneratingCapabilityList!$E$7:$O$1673,3,FALSE),"ID Not Found")</f>
        <v>180</v>
      </c>
      <c r="Y393" s="270"/>
    </row>
    <row r="394" spans="1:25">
      <c r="A394" s="241" t="s">
        <v>2639</v>
      </c>
      <c r="B394" s="241" t="s">
        <v>4579</v>
      </c>
      <c r="C394" s="241" t="s">
        <v>4629</v>
      </c>
      <c r="D394" s="242">
        <v>322</v>
      </c>
      <c r="E394" s="242">
        <v>322</v>
      </c>
      <c r="F394" s="242">
        <v>322</v>
      </c>
      <c r="G394" s="242">
        <v>322</v>
      </c>
      <c r="H394" s="242">
        <v>322</v>
      </c>
      <c r="I394" s="242">
        <v>322</v>
      </c>
      <c r="J394" s="242">
        <v>322</v>
      </c>
      <c r="K394" s="242">
        <v>322</v>
      </c>
      <c r="L394" s="242">
        <v>322</v>
      </c>
      <c r="M394" s="242">
        <v>322</v>
      </c>
      <c r="N394" s="242">
        <v>322</v>
      </c>
      <c r="O394" s="242">
        <v>322</v>
      </c>
      <c r="P394" s="241" t="s">
        <v>3352</v>
      </c>
      <c r="Q394" s="241" t="s">
        <v>3347</v>
      </c>
      <c r="R394" s="243" t="s">
        <v>4561</v>
      </c>
      <c r="S394" s="270">
        <f t="shared" si="14"/>
        <v>37824</v>
      </c>
      <c r="T394" s="270"/>
      <c r="U394" s="270">
        <f>IFERROR(VLOOKUP($A394,GeneratingCapabilityList!$E$7:$O$1673,11,FALSE),"ID Not Found")</f>
        <v>37824</v>
      </c>
      <c r="V394" s="271" t="str">
        <f>IFERROR(VLOOKUP($A394,GeneratingCapabilityList!$E$7:$O$1673,6,FALSE),"UNKNOWN")</f>
        <v>THERMAL</v>
      </c>
      <c r="W394" s="271">
        <f>IFERROR(VLOOKUP($A394,GeneratingCapabilityList!$E$7:$O$1673,3,FALSE),"ID Not Found")</f>
        <v>322</v>
      </c>
      <c r="Y394" s="270"/>
    </row>
    <row r="395" spans="1:25">
      <c r="A395" s="241" t="s">
        <v>2768</v>
      </c>
      <c r="B395" s="241" t="s">
        <v>3361</v>
      </c>
      <c r="C395" s="241" t="s">
        <v>2769</v>
      </c>
      <c r="D395" s="242">
        <v>25.17</v>
      </c>
      <c r="E395" s="242">
        <v>25.81</v>
      </c>
      <c r="F395" s="242">
        <v>25.7</v>
      </c>
      <c r="G395" s="242">
        <v>19.87</v>
      </c>
      <c r="H395" s="242">
        <v>25.44</v>
      </c>
      <c r="I395" s="242">
        <v>25.13</v>
      </c>
      <c r="J395" s="242">
        <v>20.67</v>
      </c>
      <c r="K395" s="242">
        <v>20.22</v>
      </c>
      <c r="L395" s="242">
        <v>20.329999999999998</v>
      </c>
      <c r="M395" s="242">
        <v>17.79</v>
      </c>
      <c r="N395" s="242">
        <v>24.06</v>
      </c>
      <c r="O395" s="242">
        <v>23.12</v>
      </c>
      <c r="P395" s="241" t="s">
        <v>3345</v>
      </c>
      <c r="Q395" s="241" t="s">
        <v>3347</v>
      </c>
      <c r="R395" s="243" t="s">
        <v>4562</v>
      </c>
      <c r="S395" s="270">
        <f t="shared" si="14"/>
        <v>38687</v>
      </c>
      <c r="T395" s="270"/>
      <c r="U395" s="270">
        <f>IFERROR(VLOOKUP($A395,GeneratingCapabilityList!$E$7:$O$1673,11,FALSE),"ID Not Found")</f>
        <v>38687</v>
      </c>
      <c r="V395" s="271" t="str">
        <f>IFERROR(VLOOKUP($A395,GeneratingCapabilityList!$E$7:$O$1673,6,FALSE),"UNKNOWN")</f>
        <v>THERMAL</v>
      </c>
      <c r="W395" s="271">
        <f>IFERROR(VLOOKUP($A395,GeneratingCapabilityList!$E$7:$O$1673,3,FALSE),"ID Not Found")</f>
        <v>40.65</v>
      </c>
      <c r="Y395" s="270"/>
    </row>
    <row r="396" spans="1:25">
      <c r="A396" s="241" t="s">
        <v>2249</v>
      </c>
      <c r="B396" s="241" t="s">
        <v>3324</v>
      </c>
      <c r="C396" s="241" t="s">
        <v>3589</v>
      </c>
      <c r="D396" s="242">
        <v>0.12</v>
      </c>
      <c r="E396" s="242">
        <v>0.13</v>
      </c>
      <c r="F396" s="242">
        <v>0.12</v>
      </c>
      <c r="G396" s="242">
        <v>0.11</v>
      </c>
      <c r="H396" s="242">
        <v>0.09</v>
      </c>
      <c r="I396" s="242">
        <v>0.13</v>
      </c>
      <c r="J396" s="242">
        <v>0.13</v>
      </c>
      <c r="K396" s="242">
        <v>0.11</v>
      </c>
      <c r="L396" s="242">
        <v>0.1</v>
      </c>
      <c r="M396" s="242">
        <v>0.14000000000000001</v>
      </c>
      <c r="N396" s="242">
        <v>0.14000000000000001</v>
      </c>
      <c r="O396" s="242">
        <v>0.15</v>
      </c>
      <c r="P396" s="241" t="s">
        <v>3345</v>
      </c>
      <c r="Q396" s="241" t="s">
        <v>3347</v>
      </c>
      <c r="R396" s="243" t="s">
        <v>4562</v>
      </c>
      <c r="S396" s="270">
        <f t="shared" si="14"/>
        <v>36161</v>
      </c>
      <c r="T396" s="270"/>
      <c r="U396" s="270">
        <f>IFERROR(VLOOKUP($A396,GeneratingCapabilityList!$E$7:$O$1673,11,FALSE),"ID Not Found")</f>
        <v>36161</v>
      </c>
      <c r="V396" s="271" t="str">
        <f>IFERROR(VLOOKUP($A396,GeneratingCapabilityList!$E$7:$O$1673,6,FALSE),"UNKNOWN")</f>
        <v>BIOMASS</v>
      </c>
      <c r="W396" s="271">
        <f>IFERROR(VLOOKUP($A396,GeneratingCapabilityList!$E$7:$O$1673,3,FALSE),"ID Not Found")</f>
        <v>0.3</v>
      </c>
      <c r="Y396" s="270"/>
    </row>
    <row r="397" spans="1:25">
      <c r="A397" s="241" t="s">
        <v>2714</v>
      </c>
      <c r="B397" s="241" t="s">
        <v>3328</v>
      </c>
      <c r="C397" s="241" t="s">
        <v>3590</v>
      </c>
      <c r="D397" s="242">
        <v>750.66</v>
      </c>
      <c r="E397" s="242">
        <v>750.66</v>
      </c>
      <c r="F397" s="242">
        <v>740</v>
      </c>
      <c r="G397" s="242">
        <v>725</v>
      </c>
      <c r="H397" s="242">
        <v>715</v>
      </c>
      <c r="I397" s="242">
        <v>715</v>
      </c>
      <c r="J397" s="242">
        <v>715</v>
      </c>
      <c r="K397" s="242">
        <v>715</v>
      </c>
      <c r="L397" s="242">
        <v>715</v>
      </c>
      <c r="M397" s="242">
        <v>720</v>
      </c>
      <c r="N397" s="242">
        <v>735</v>
      </c>
      <c r="O397" s="242">
        <v>750.66</v>
      </c>
      <c r="P397" s="241" t="s">
        <v>3352</v>
      </c>
      <c r="Q397" s="241" t="s">
        <v>3347</v>
      </c>
      <c r="R397" s="243" t="s">
        <v>4561</v>
      </c>
      <c r="S397" s="270">
        <f t="shared" si="14"/>
        <v>38476</v>
      </c>
      <c r="T397" s="270"/>
      <c r="U397" s="270">
        <f>IFERROR(VLOOKUP($A397,GeneratingCapabilityList!$E$7:$O$1673,11,FALSE),"ID Not Found")</f>
        <v>38476</v>
      </c>
      <c r="V397" s="271" t="str">
        <f>IFERROR(VLOOKUP($A397,GeneratingCapabilityList!$E$7:$O$1673,6,FALSE),"UNKNOWN")</f>
        <v>THERMAL</v>
      </c>
      <c r="W397" s="271">
        <f>IFERROR(VLOOKUP($A397,GeneratingCapabilityList!$E$7:$O$1673,3,FALSE),"ID Not Found")</f>
        <v>750.66</v>
      </c>
      <c r="Y397" s="270"/>
    </row>
    <row r="398" spans="1:25">
      <c r="A398" s="260" t="s">
        <v>2583</v>
      </c>
      <c r="B398" s="261" t="s">
        <v>3324</v>
      </c>
      <c r="C398" s="260" t="s">
        <v>4630</v>
      </c>
      <c r="D398" s="249">
        <v>293.88</v>
      </c>
      <c r="E398" s="249">
        <v>293.88</v>
      </c>
      <c r="F398" s="249">
        <v>293.88</v>
      </c>
      <c r="G398" s="249">
        <v>293.88</v>
      </c>
      <c r="H398" s="249">
        <v>293.88</v>
      </c>
      <c r="I398" s="249">
        <v>293.88</v>
      </c>
      <c r="J398" s="249">
        <v>293.88</v>
      </c>
      <c r="K398" s="249">
        <v>293.88</v>
      </c>
      <c r="L398" s="249">
        <v>293.88</v>
      </c>
      <c r="M398" s="249">
        <v>293.88</v>
      </c>
      <c r="N398" s="249">
        <v>293.88</v>
      </c>
      <c r="O398" s="249">
        <v>293.88</v>
      </c>
      <c r="P398" s="245" t="s">
        <v>3345</v>
      </c>
      <c r="Q398" s="245" t="s">
        <v>3347</v>
      </c>
      <c r="R398" s="246" t="s">
        <v>4561</v>
      </c>
      <c r="S398" s="270">
        <f t="shared" si="14"/>
        <v>41486</v>
      </c>
      <c r="T398" s="270"/>
      <c r="U398" s="270">
        <f>IFERROR(VLOOKUP($A398,GeneratingCapabilityList!$E$7:$O$1673,11,FALSE),"ID Not Found")</f>
        <v>41486</v>
      </c>
      <c r="V398" s="271" t="str">
        <f>IFERROR(VLOOKUP($A398,GeneratingCapabilityList!$E$7:$O$1673,6,FALSE),"UNKNOWN")</f>
        <v>PEAKER</v>
      </c>
      <c r="W398" s="271">
        <f>IFERROR(VLOOKUP($A398,GeneratingCapabilityList!$E$7:$O$1673,3,FALSE),"ID Not Found")</f>
        <v>315</v>
      </c>
      <c r="Y398" s="270"/>
    </row>
    <row r="399" spans="1:25">
      <c r="A399" s="241" t="s">
        <v>1030</v>
      </c>
      <c r="B399" s="241" t="s">
        <v>3361</v>
      </c>
      <c r="C399" s="241" t="s">
        <v>1031</v>
      </c>
      <c r="D399" s="242">
        <v>0</v>
      </c>
      <c r="E399" s="242">
        <v>0</v>
      </c>
      <c r="F399" s="242">
        <v>0</v>
      </c>
      <c r="G399" s="242">
        <v>0</v>
      </c>
      <c r="H399" s="242">
        <v>0</v>
      </c>
      <c r="I399" s="242">
        <v>0</v>
      </c>
      <c r="J399" s="242">
        <v>0</v>
      </c>
      <c r="K399" s="242">
        <v>0</v>
      </c>
      <c r="L399" s="242">
        <v>0</v>
      </c>
      <c r="M399" s="242">
        <v>0</v>
      </c>
      <c r="N399" s="242">
        <v>0</v>
      </c>
      <c r="O399" s="242">
        <v>0</v>
      </c>
      <c r="P399" s="241" t="s">
        <v>3345</v>
      </c>
      <c r="Q399" s="241" t="s">
        <v>3347</v>
      </c>
      <c r="R399" s="243" t="s">
        <v>4562</v>
      </c>
      <c r="S399" s="270">
        <f t="shared" si="14"/>
        <v>30692</v>
      </c>
      <c r="T399" s="270"/>
      <c r="U399" s="270">
        <f>IFERROR(VLOOKUP($A399,GeneratingCapabilityList!$E$7:$O$1673,11,FALSE),"ID Not Found")</f>
        <v>30692</v>
      </c>
      <c r="V399" s="271" t="str">
        <f>IFERROR(VLOOKUP($A399,GeneratingCapabilityList!$E$7:$O$1673,6,FALSE),"UNKNOWN")</f>
        <v>HYDRO</v>
      </c>
      <c r="W399" s="271">
        <f>IFERROR(VLOOKUP($A399,GeneratingCapabilityList!$E$7:$O$1673,3,FALSE),"ID Not Found")</f>
        <v>2.5</v>
      </c>
      <c r="Y399" s="270"/>
    </row>
    <row r="400" spans="1:25">
      <c r="A400" s="241" t="s">
        <v>1187</v>
      </c>
      <c r="B400" s="241" t="s">
        <v>3324</v>
      </c>
      <c r="C400" s="241" t="s">
        <v>1188</v>
      </c>
      <c r="D400" s="242">
        <v>0</v>
      </c>
      <c r="E400" s="242">
        <v>0.41</v>
      </c>
      <c r="F400" s="242">
        <v>1.1299999999999999</v>
      </c>
      <c r="G400" s="242">
        <v>0.91</v>
      </c>
      <c r="H400" s="242">
        <v>1.94</v>
      </c>
      <c r="I400" s="242">
        <v>1.69</v>
      </c>
      <c r="J400" s="242">
        <v>2.29</v>
      </c>
      <c r="K400" s="242">
        <v>2.0299999999999998</v>
      </c>
      <c r="L400" s="242">
        <v>0.53</v>
      </c>
      <c r="M400" s="242">
        <v>0.39</v>
      </c>
      <c r="N400" s="242">
        <v>0</v>
      </c>
      <c r="O400" s="242">
        <v>0</v>
      </c>
      <c r="P400" s="241" t="s">
        <v>3345</v>
      </c>
      <c r="Q400" s="241" t="s">
        <v>3347</v>
      </c>
      <c r="R400" s="243" t="s">
        <v>4562</v>
      </c>
      <c r="S400" s="270">
        <f t="shared" si="14"/>
        <v>31139</v>
      </c>
      <c r="T400" s="270"/>
      <c r="U400" s="270">
        <f>IFERROR(VLOOKUP($A400,GeneratingCapabilityList!$E$7:$O$1673,11,FALSE),"ID Not Found")</f>
        <v>31139</v>
      </c>
      <c r="V400" s="271" t="str">
        <f>IFERROR(VLOOKUP($A400,GeneratingCapabilityList!$E$7:$O$1673,6,FALSE),"UNKNOWN")</f>
        <v>WIND</v>
      </c>
      <c r="W400" s="271">
        <f>IFERROR(VLOOKUP($A400,GeneratingCapabilityList!$E$7:$O$1673,3,FALSE),"ID Not Found")</f>
        <v>30.9</v>
      </c>
      <c r="Y400" s="270"/>
    </row>
    <row r="401" spans="1:25">
      <c r="A401" s="241" t="s">
        <v>1905</v>
      </c>
      <c r="B401" s="241" t="s">
        <v>3327</v>
      </c>
      <c r="C401" s="241" t="s">
        <v>1906</v>
      </c>
      <c r="D401" s="242">
        <v>51.82</v>
      </c>
      <c r="E401" s="242">
        <v>50.33</v>
      </c>
      <c r="F401" s="242">
        <v>40.49</v>
      </c>
      <c r="G401" s="242">
        <v>52.24</v>
      </c>
      <c r="H401" s="242">
        <v>50.53</v>
      </c>
      <c r="I401" s="242">
        <v>49.92</v>
      </c>
      <c r="J401" s="242">
        <v>48.01</v>
      </c>
      <c r="K401" s="242">
        <v>47.61</v>
      </c>
      <c r="L401" s="242">
        <v>47.35</v>
      </c>
      <c r="M401" s="242">
        <v>46.45</v>
      </c>
      <c r="N401" s="242">
        <v>45.36</v>
      </c>
      <c r="O401" s="242">
        <v>50.57</v>
      </c>
      <c r="P401" s="241" t="s">
        <v>3352</v>
      </c>
      <c r="Q401" s="241" t="s">
        <v>3347</v>
      </c>
      <c r="R401" s="243" t="s">
        <v>4562</v>
      </c>
      <c r="S401" s="270">
        <f t="shared" si="14"/>
        <v>32864</v>
      </c>
      <c r="T401" s="270"/>
      <c r="U401" s="270">
        <f>IFERROR(VLOOKUP($A401,GeneratingCapabilityList!$E$7:$O$1673,11,FALSE),"ID Not Found")</f>
        <v>32864</v>
      </c>
      <c r="V401" s="271" t="str">
        <f>IFERROR(VLOOKUP($A401,GeneratingCapabilityList!$E$7:$O$1673,6,FALSE),"UNKNOWN")</f>
        <v>COGENERATION</v>
      </c>
      <c r="W401" s="271">
        <f>IFERROR(VLOOKUP($A401,GeneratingCapabilityList!$E$7:$O$1673,3,FALSE),"ID Not Found")</f>
        <v>54.71</v>
      </c>
      <c r="Y401" s="270"/>
    </row>
    <row r="402" spans="1:25">
      <c r="A402" s="241" t="s">
        <v>695</v>
      </c>
      <c r="B402" s="241" t="s">
        <v>3327</v>
      </c>
      <c r="C402" s="241" t="s">
        <v>3591</v>
      </c>
      <c r="D402" s="242">
        <v>0.92</v>
      </c>
      <c r="E402" s="242">
        <v>0.92</v>
      </c>
      <c r="F402" s="242">
        <v>0.8</v>
      </c>
      <c r="G402" s="242">
        <v>0.57999999999999996</v>
      </c>
      <c r="H402" s="242">
        <v>0.55000000000000004</v>
      </c>
      <c r="I402" s="242">
        <v>0.66</v>
      </c>
      <c r="J402" s="242">
        <v>0.68</v>
      </c>
      <c r="K402" s="242">
        <v>0.78</v>
      </c>
      <c r="L402" s="242">
        <v>0.79</v>
      </c>
      <c r="M402" s="242">
        <v>0.69</v>
      </c>
      <c r="N402" s="242">
        <v>0.45</v>
      </c>
      <c r="O402" s="242">
        <v>0.88</v>
      </c>
      <c r="P402" s="241" t="s">
        <v>3352</v>
      </c>
      <c r="Q402" s="241" t="s">
        <v>3347</v>
      </c>
      <c r="R402" s="243" t="s">
        <v>4562</v>
      </c>
      <c r="S402" s="270">
        <f t="shared" si="14"/>
        <v>27760</v>
      </c>
      <c r="T402" s="270"/>
      <c r="U402" s="270">
        <f>IFERROR(VLOOKUP($A402,GeneratingCapabilityList!$E$7:$O$1673,11,FALSE),"ID Not Found")</f>
        <v>27760</v>
      </c>
      <c r="V402" s="271" t="str">
        <f>IFERROR(VLOOKUP($A402,GeneratingCapabilityList!$E$7:$O$1673,6,FALSE),"UNKNOWN")</f>
        <v>VARIOUS</v>
      </c>
      <c r="W402" s="271">
        <f>IFERROR(VLOOKUP($A402,GeneratingCapabilityList!$E$7:$O$1673,3,FALSE),"ID Not Found")</f>
        <v>5</v>
      </c>
      <c r="Y402" s="270"/>
    </row>
    <row r="403" spans="1:25">
      <c r="A403" s="241" t="s">
        <v>4631</v>
      </c>
      <c r="B403" s="245" t="s">
        <v>3328</v>
      </c>
      <c r="C403" s="241" t="s">
        <v>4632</v>
      </c>
      <c r="D403" s="249" t="s">
        <v>4573</v>
      </c>
      <c r="E403" s="249" t="s">
        <v>4573</v>
      </c>
      <c r="F403" s="249" t="s">
        <v>4573</v>
      </c>
      <c r="G403" s="249" t="s">
        <v>4573</v>
      </c>
      <c r="H403" s="249" t="s">
        <v>4573</v>
      </c>
      <c r="I403" s="249" t="s">
        <v>4573</v>
      </c>
      <c r="J403" s="249" t="s">
        <v>4573</v>
      </c>
      <c r="K403" s="249" t="s">
        <v>4573</v>
      </c>
      <c r="L403" s="249" t="s">
        <v>4573</v>
      </c>
      <c r="M403" s="249" t="s">
        <v>4573</v>
      </c>
      <c r="N403" s="249" t="s">
        <v>4573</v>
      </c>
      <c r="O403" s="249" t="s">
        <v>4573</v>
      </c>
      <c r="P403" s="245" t="s">
        <v>3352</v>
      </c>
      <c r="Q403" s="245" t="s">
        <v>3385</v>
      </c>
      <c r="R403" s="243" t="s">
        <v>4562</v>
      </c>
      <c r="S403" s="270">
        <f>Scenarios!$B$55</f>
        <v>36526</v>
      </c>
      <c r="T403" s="270" t="s">
        <v>4798</v>
      </c>
      <c r="U403" s="270" t="str">
        <f>IFERROR(VLOOKUP($A403,GeneratingCapabilityList!$E$7:$O$1673,11,FALSE),"ID Not Found")</f>
        <v>ID Not Found</v>
      </c>
      <c r="V403" s="271" t="str">
        <f>IFERROR(VLOOKUP($A403,GeneratingCapabilityList!$E$7:$O$1673,6,FALSE),"UNKNOWN")</f>
        <v>UNKNOWN</v>
      </c>
      <c r="W403" s="271" t="str">
        <f>IFERROR(VLOOKUP($A403,GeneratingCapabilityList!$E$7:$O$1673,3,FALSE),"ID Not Found")</f>
        <v>ID Not Found</v>
      </c>
      <c r="Y403" s="270"/>
    </row>
    <row r="404" spans="1:25">
      <c r="A404" s="241" t="s">
        <v>2070</v>
      </c>
      <c r="B404" s="241" t="s">
        <v>3370</v>
      </c>
      <c r="C404" s="241" t="s">
        <v>2071</v>
      </c>
      <c r="D404" s="242">
        <v>46.59</v>
      </c>
      <c r="E404" s="242">
        <v>46.82</v>
      </c>
      <c r="F404" s="242">
        <v>43.93</v>
      </c>
      <c r="G404" s="242">
        <v>46.7</v>
      </c>
      <c r="H404" s="242">
        <v>37.880000000000003</v>
      </c>
      <c r="I404" s="242">
        <v>44.03</v>
      </c>
      <c r="J404" s="242">
        <v>43.47</v>
      </c>
      <c r="K404" s="242">
        <v>44.18</v>
      </c>
      <c r="L404" s="242">
        <v>42.64</v>
      </c>
      <c r="M404" s="242">
        <v>39.5</v>
      </c>
      <c r="N404" s="242">
        <v>45.5</v>
      </c>
      <c r="O404" s="242">
        <v>45.34</v>
      </c>
      <c r="P404" s="241" t="s">
        <v>3345</v>
      </c>
      <c r="Q404" s="241" t="s">
        <v>3347</v>
      </c>
      <c r="R404" s="243" t="s">
        <v>4562</v>
      </c>
      <c r="S404" s="270">
        <f t="shared" si="14"/>
        <v>33313</v>
      </c>
      <c r="T404" s="270"/>
      <c r="U404" s="270">
        <f>IFERROR(VLOOKUP($A404,GeneratingCapabilityList!$E$7:$O$1673,11,FALSE),"ID Not Found")</f>
        <v>33313</v>
      </c>
      <c r="V404" s="271" t="str">
        <f>IFERROR(VLOOKUP($A404,GeneratingCapabilityList!$E$7:$O$1673,6,FALSE),"UNKNOWN")</f>
        <v>COGENERATION</v>
      </c>
      <c r="W404" s="271">
        <f>IFERROR(VLOOKUP($A404,GeneratingCapabilityList!$E$7:$O$1673,3,FALSE),"ID Not Found")</f>
        <v>55.3</v>
      </c>
      <c r="Y404" s="270"/>
    </row>
    <row r="405" spans="1:25">
      <c r="A405" s="241" t="s">
        <v>2571</v>
      </c>
      <c r="B405" s="241" t="s">
        <v>3324</v>
      </c>
      <c r="C405" s="241" t="s">
        <v>3592</v>
      </c>
      <c r="D405" s="242">
        <v>48</v>
      </c>
      <c r="E405" s="242">
        <v>48</v>
      </c>
      <c r="F405" s="242">
        <v>48</v>
      </c>
      <c r="G405" s="242">
        <v>48</v>
      </c>
      <c r="H405" s="242">
        <v>47</v>
      </c>
      <c r="I405" s="242">
        <v>47</v>
      </c>
      <c r="J405" s="242">
        <v>47</v>
      </c>
      <c r="K405" s="242">
        <v>47</v>
      </c>
      <c r="L405" s="242">
        <v>47</v>
      </c>
      <c r="M405" s="242">
        <v>48</v>
      </c>
      <c r="N405" s="242">
        <v>48</v>
      </c>
      <c r="O405" s="242">
        <v>48</v>
      </c>
      <c r="P405" s="241" t="s">
        <v>3345</v>
      </c>
      <c r="Q405" s="241" t="s">
        <v>3347</v>
      </c>
      <c r="R405" s="243" t="s">
        <v>4561</v>
      </c>
      <c r="S405" s="270">
        <f t="shared" si="14"/>
        <v>37627</v>
      </c>
      <c r="T405" s="270"/>
      <c r="U405" s="270">
        <f>IFERROR(VLOOKUP($A405,GeneratingCapabilityList!$E$7:$O$1673,11,FALSE),"ID Not Found")</f>
        <v>37627</v>
      </c>
      <c r="V405" s="271" t="str">
        <f>IFERROR(VLOOKUP($A405,GeneratingCapabilityList!$E$7:$O$1673,6,FALSE),"UNKNOWN")</f>
        <v>PEAKER</v>
      </c>
      <c r="W405" s="271">
        <f>IFERROR(VLOOKUP($A405,GeneratingCapabilityList!$E$7:$O$1673,3,FALSE),"ID Not Found")</f>
        <v>48</v>
      </c>
      <c r="Y405" s="270"/>
    </row>
    <row r="406" spans="1:25">
      <c r="A406" s="241" t="s">
        <v>2565</v>
      </c>
      <c r="B406" s="241" t="s">
        <v>3324</v>
      </c>
      <c r="C406" s="241" t="s">
        <v>3593</v>
      </c>
      <c r="D406" s="242">
        <v>48</v>
      </c>
      <c r="E406" s="242">
        <v>48</v>
      </c>
      <c r="F406" s="242">
        <v>48</v>
      </c>
      <c r="G406" s="242">
        <v>48</v>
      </c>
      <c r="H406" s="242">
        <v>47</v>
      </c>
      <c r="I406" s="242">
        <v>47</v>
      </c>
      <c r="J406" s="242">
        <v>46</v>
      </c>
      <c r="K406" s="242">
        <v>46</v>
      </c>
      <c r="L406" s="242">
        <v>46</v>
      </c>
      <c r="M406" s="242">
        <v>48</v>
      </c>
      <c r="N406" s="242">
        <v>48</v>
      </c>
      <c r="O406" s="242">
        <v>48</v>
      </c>
      <c r="P406" s="241" t="s">
        <v>3345</v>
      </c>
      <c r="Q406" s="241" t="s">
        <v>3347</v>
      </c>
      <c r="R406" s="243" t="s">
        <v>4561</v>
      </c>
      <c r="S406" s="270">
        <f t="shared" si="14"/>
        <v>37627</v>
      </c>
      <c r="T406" s="270"/>
      <c r="U406" s="270">
        <f>IFERROR(VLOOKUP($A406,GeneratingCapabilityList!$E$7:$O$1673,11,FALSE),"ID Not Found")</f>
        <v>37627</v>
      </c>
      <c r="V406" s="271" t="str">
        <f>IFERROR(VLOOKUP($A406,GeneratingCapabilityList!$E$7:$O$1673,6,FALSE),"UNKNOWN")</f>
        <v>PEAKER</v>
      </c>
      <c r="W406" s="271">
        <f>IFERROR(VLOOKUP($A406,GeneratingCapabilityList!$E$7:$O$1673,3,FALSE),"ID Not Found")</f>
        <v>48</v>
      </c>
      <c r="Y406" s="270"/>
    </row>
    <row r="407" spans="1:25">
      <c r="A407" s="241" t="s">
        <v>2568</v>
      </c>
      <c r="B407" s="241" t="s">
        <v>3324</v>
      </c>
      <c r="C407" s="241" t="s">
        <v>3594</v>
      </c>
      <c r="D407" s="242">
        <v>48</v>
      </c>
      <c r="E407" s="242">
        <v>48</v>
      </c>
      <c r="F407" s="242">
        <v>48</v>
      </c>
      <c r="G407" s="242">
        <v>48</v>
      </c>
      <c r="H407" s="242">
        <v>47</v>
      </c>
      <c r="I407" s="242">
        <v>47</v>
      </c>
      <c r="J407" s="242">
        <v>47</v>
      </c>
      <c r="K407" s="242">
        <v>47</v>
      </c>
      <c r="L407" s="242">
        <v>47</v>
      </c>
      <c r="M407" s="242">
        <v>48</v>
      </c>
      <c r="N407" s="242">
        <v>48</v>
      </c>
      <c r="O407" s="242">
        <v>48</v>
      </c>
      <c r="P407" s="241" t="s">
        <v>3345</v>
      </c>
      <c r="Q407" s="241" t="s">
        <v>3347</v>
      </c>
      <c r="R407" s="243" t="s">
        <v>4561</v>
      </c>
      <c r="S407" s="270">
        <f t="shared" si="14"/>
        <v>37627</v>
      </c>
      <c r="T407" s="270"/>
      <c r="U407" s="270">
        <f>IFERROR(VLOOKUP($A407,GeneratingCapabilityList!$E$7:$O$1673,11,FALSE),"ID Not Found")</f>
        <v>37627</v>
      </c>
      <c r="V407" s="271" t="str">
        <f>IFERROR(VLOOKUP($A407,GeneratingCapabilityList!$E$7:$O$1673,6,FALSE),"UNKNOWN")</f>
        <v>PEAKER</v>
      </c>
      <c r="W407" s="271">
        <f>IFERROR(VLOOKUP($A407,GeneratingCapabilityList!$E$7:$O$1673,3,FALSE),"ID Not Found")</f>
        <v>48</v>
      </c>
      <c r="Y407" s="270"/>
    </row>
    <row r="408" spans="1:25">
      <c r="A408" s="241" t="s">
        <v>2331</v>
      </c>
      <c r="B408" s="241" t="s">
        <v>3324</v>
      </c>
      <c r="C408" s="241" t="s">
        <v>3595</v>
      </c>
      <c r="D408" s="242">
        <v>561.29</v>
      </c>
      <c r="E408" s="242">
        <v>561.29</v>
      </c>
      <c r="F408" s="242">
        <v>561.29</v>
      </c>
      <c r="G408" s="242">
        <v>561.29</v>
      </c>
      <c r="H408" s="242">
        <v>556</v>
      </c>
      <c r="I408" s="242">
        <v>556</v>
      </c>
      <c r="J408" s="242">
        <v>556</v>
      </c>
      <c r="K408" s="242">
        <v>556</v>
      </c>
      <c r="L408" s="242">
        <v>556</v>
      </c>
      <c r="M408" s="242">
        <v>561.29</v>
      </c>
      <c r="N408" s="242">
        <v>561.29</v>
      </c>
      <c r="O408" s="242">
        <v>561.29</v>
      </c>
      <c r="P408" s="241" t="s">
        <v>3345</v>
      </c>
      <c r="Q408" s="241" t="s">
        <v>3347</v>
      </c>
      <c r="R408" s="243" t="s">
        <v>4561</v>
      </c>
      <c r="S408" s="270">
        <f t="shared" si="14"/>
        <v>37051</v>
      </c>
      <c r="T408" s="270"/>
      <c r="U408" s="270">
        <f>IFERROR(VLOOKUP($A408,GeneratingCapabilityList!$E$7:$O$1673,11,FALSE),"ID Not Found")</f>
        <v>37051</v>
      </c>
      <c r="V408" s="271" t="str">
        <f>IFERROR(VLOOKUP($A408,GeneratingCapabilityList!$E$7:$O$1673,6,FALSE),"UNKNOWN")</f>
        <v>THERMAL</v>
      </c>
      <c r="W408" s="271">
        <f>IFERROR(VLOOKUP($A408,GeneratingCapabilityList!$E$7:$O$1673,3,FALSE),"ID Not Found")</f>
        <v>561.29</v>
      </c>
      <c r="Y408" s="270"/>
    </row>
    <row r="409" spans="1:25">
      <c r="A409" s="241" t="s">
        <v>1279</v>
      </c>
      <c r="B409" s="241" t="s">
        <v>3373</v>
      </c>
      <c r="C409" s="241" t="s">
        <v>3596</v>
      </c>
      <c r="D409" s="242">
        <v>22.7</v>
      </c>
      <c r="E409" s="242">
        <v>22.7</v>
      </c>
      <c r="F409" s="242">
        <v>22.7</v>
      </c>
      <c r="G409" s="242">
        <v>22.7</v>
      </c>
      <c r="H409" s="242">
        <v>22.7</v>
      </c>
      <c r="I409" s="242">
        <v>22.7</v>
      </c>
      <c r="J409" s="242">
        <v>22.7</v>
      </c>
      <c r="K409" s="242">
        <v>22.7</v>
      </c>
      <c r="L409" s="242">
        <v>22.7</v>
      </c>
      <c r="M409" s="242">
        <v>22.7</v>
      </c>
      <c r="N409" s="242">
        <v>22.7</v>
      </c>
      <c r="O409" s="242">
        <v>22.7</v>
      </c>
      <c r="P409" s="241" t="s">
        <v>3345</v>
      </c>
      <c r="Q409" s="241" t="s">
        <v>3347</v>
      </c>
      <c r="R409" s="243" t="s">
        <v>4561</v>
      </c>
      <c r="S409" s="270">
        <f t="shared" si="14"/>
        <v>31413</v>
      </c>
      <c r="T409" s="270"/>
      <c r="U409" s="270">
        <f>IFERROR(VLOOKUP($A409,GeneratingCapabilityList!$E$7:$O$1673,11,FALSE),"ID Not Found")</f>
        <v>31413</v>
      </c>
      <c r="V409" s="271" t="str">
        <f>IFERROR(VLOOKUP($A409,GeneratingCapabilityList!$E$7:$O$1673,6,FALSE),"UNKNOWN")</f>
        <v>PEAKER</v>
      </c>
      <c r="W409" s="271">
        <f>IFERROR(VLOOKUP($A409,GeneratingCapabilityList!$E$7:$O$1673,3,FALSE),"ID Not Found")</f>
        <v>25.3</v>
      </c>
      <c r="Y409" s="270"/>
    </row>
    <row r="410" spans="1:25">
      <c r="A410" s="241" t="s">
        <v>4633</v>
      </c>
      <c r="B410" s="241" t="s">
        <v>3375</v>
      </c>
      <c r="C410" s="241" t="s">
        <v>4634</v>
      </c>
      <c r="D410" s="242">
        <v>280</v>
      </c>
      <c r="E410" s="242">
        <v>280</v>
      </c>
      <c r="F410" s="242">
        <v>280</v>
      </c>
      <c r="G410" s="242">
        <v>280</v>
      </c>
      <c r="H410" s="242">
        <v>280</v>
      </c>
      <c r="I410" s="242">
        <v>280</v>
      </c>
      <c r="J410" s="242">
        <v>280</v>
      </c>
      <c r="K410" s="242">
        <v>280</v>
      </c>
      <c r="L410" s="242">
        <v>280</v>
      </c>
      <c r="M410" s="242">
        <v>280</v>
      </c>
      <c r="N410" s="242">
        <v>280</v>
      </c>
      <c r="O410" s="242">
        <v>280</v>
      </c>
      <c r="P410" s="241" t="s">
        <v>3345</v>
      </c>
      <c r="Q410" s="241" t="s">
        <v>3347</v>
      </c>
      <c r="R410" s="243" t="s">
        <v>4561</v>
      </c>
      <c r="S410" s="270">
        <f t="shared" si="14"/>
        <v>41240</v>
      </c>
      <c r="T410" s="270"/>
      <c r="U410" s="270">
        <f>IFERROR(VLOOKUP($A410,GeneratingCapabilityList!$E$7:$O$1673,11,FALSE),"ID Not Found")</f>
        <v>41240</v>
      </c>
      <c r="V410" s="271" t="str">
        <f>IFERROR(VLOOKUP($A410,GeneratingCapabilityList!$E$7:$O$1673,6,FALSE),"UNKNOWN")</f>
        <v>THERMAL</v>
      </c>
      <c r="W410" s="271">
        <f>IFERROR(VLOOKUP($A410,GeneratingCapabilityList!$E$7:$O$1673,3,FALSE),"ID Not Found")</f>
        <v>302.58</v>
      </c>
      <c r="Y410" s="270"/>
    </row>
    <row r="411" spans="1:25">
      <c r="A411" s="241" t="s">
        <v>3260</v>
      </c>
      <c r="B411" s="241" t="s">
        <v>3361</v>
      </c>
      <c r="C411" s="241" t="s">
        <v>3260</v>
      </c>
      <c r="D411" s="242">
        <v>1.1599999999999999</v>
      </c>
      <c r="E411" s="242">
        <v>1.34</v>
      </c>
      <c r="F411" s="242">
        <v>1.6</v>
      </c>
      <c r="G411" s="242">
        <v>2.11</v>
      </c>
      <c r="H411" s="242">
        <v>1.22</v>
      </c>
      <c r="I411" s="242">
        <v>0.79</v>
      </c>
      <c r="J411" s="242">
        <v>0.25</v>
      </c>
      <c r="K411" s="242">
        <v>0.28999999999999998</v>
      </c>
      <c r="L411" s="242">
        <v>0.31</v>
      </c>
      <c r="M411" s="242">
        <v>0.35</v>
      </c>
      <c r="N411" s="242">
        <v>0.56000000000000005</v>
      </c>
      <c r="O411" s="242">
        <v>1.25</v>
      </c>
      <c r="P411" s="241" t="s">
        <v>3345</v>
      </c>
      <c r="Q411" s="241" t="s">
        <v>3347</v>
      </c>
      <c r="R411" s="243" t="s">
        <v>4562</v>
      </c>
      <c r="S411" s="270">
        <f t="shared" si="14"/>
        <v>30416</v>
      </c>
      <c r="T411" s="270"/>
      <c r="U411" s="270">
        <f>IFERROR(VLOOKUP($A411,GeneratingCapabilityList!$E$7:$O$1673,11,FALSE),"ID Not Found")</f>
        <v>30416</v>
      </c>
      <c r="V411" s="271" t="str">
        <f>IFERROR(VLOOKUP($A411,GeneratingCapabilityList!$E$7:$O$1673,6,FALSE),"UNKNOWN")</f>
        <v>HYDRO</v>
      </c>
      <c r="W411" s="271">
        <f>IFERROR(VLOOKUP($A411,GeneratingCapabilityList!$E$7:$O$1673,3,FALSE),"ID Not Found")</f>
        <v>3.2</v>
      </c>
      <c r="Y411" s="270"/>
    </row>
    <row r="412" spans="1:25">
      <c r="A412" s="241" t="s">
        <v>2752</v>
      </c>
      <c r="B412" s="241" t="s">
        <v>3349</v>
      </c>
      <c r="C412" s="241" t="s">
        <v>3597</v>
      </c>
      <c r="D412" s="242">
        <v>96</v>
      </c>
      <c r="E412" s="242">
        <v>96</v>
      </c>
      <c r="F412" s="242">
        <v>96</v>
      </c>
      <c r="G412" s="242">
        <v>96</v>
      </c>
      <c r="H412" s="242">
        <v>96</v>
      </c>
      <c r="I412" s="242">
        <v>96</v>
      </c>
      <c r="J412" s="242">
        <v>96</v>
      </c>
      <c r="K412" s="242">
        <v>96</v>
      </c>
      <c r="L412" s="242">
        <v>96</v>
      </c>
      <c r="M412" s="242">
        <v>96</v>
      </c>
      <c r="N412" s="242">
        <v>96</v>
      </c>
      <c r="O412" s="242">
        <v>96</v>
      </c>
      <c r="P412" s="241" t="s">
        <v>3345</v>
      </c>
      <c r="Q412" s="241" t="s">
        <v>3347</v>
      </c>
      <c r="R412" s="243" t="s">
        <v>4561</v>
      </c>
      <c r="S412" s="270">
        <f t="shared" si="14"/>
        <v>38614</v>
      </c>
      <c r="T412" s="270"/>
      <c r="U412" s="270">
        <f>IFERROR(VLOOKUP($A412,GeneratingCapabilityList!$E$7:$O$1673,11,FALSE),"ID Not Found")</f>
        <v>38614</v>
      </c>
      <c r="V412" s="271" t="str">
        <f>IFERROR(VLOOKUP($A412,GeneratingCapabilityList!$E$7:$O$1673,6,FALSE),"UNKNOWN")</f>
        <v>PEAKER</v>
      </c>
      <c r="W412" s="271">
        <f>IFERROR(VLOOKUP($A412,GeneratingCapabilityList!$E$7:$O$1673,3,FALSE),"ID Not Found")</f>
        <v>96.8</v>
      </c>
      <c r="Y412" s="270"/>
    </row>
    <row r="413" spans="1:25">
      <c r="A413" s="241" t="s">
        <v>1748</v>
      </c>
      <c r="B413" s="241" t="s">
        <v>3361</v>
      </c>
      <c r="C413" s="241" t="s">
        <v>1749</v>
      </c>
      <c r="D413" s="242">
        <v>11.27</v>
      </c>
      <c r="E413" s="242">
        <v>9.85</v>
      </c>
      <c r="F413" s="242">
        <v>14.96</v>
      </c>
      <c r="G413" s="242">
        <v>15.56</v>
      </c>
      <c r="H413" s="242">
        <v>19.45</v>
      </c>
      <c r="I413" s="242">
        <v>11.6</v>
      </c>
      <c r="J413" s="242">
        <v>7.21</v>
      </c>
      <c r="K413" s="242">
        <v>6.23</v>
      </c>
      <c r="L413" s="242">
        <v>2.85</v>
      </c>
      <c r="M413" s="242">
        <v>1.34</v>
      </c>
      <c r="N413" s="242">
        <v>3.71</v>
      </c>
      <c r="O413" s="242">
        <v>12.71</v>
      </c>
      <c r="P413" s="241" t="s">
        <v>3345</v>
      </c>
      <c r="Q413" s="241" t="s">
        <v>3347</v>
      </c>
      <c r="R413" s="243" t="s">
        <v>4562</v>
      </c>
      <c r="S413" s="270">
        <f t="shared" si="14"/>
        <v>32484</v>
      </c>
      <c r="T413" s="270"/>
      <c r="U413" s="270">
        <f>IFERROR(VLOOKUP($A413,GeneratingCapabilityList!$E$7:$O$1673,11,FALSE),"ID Not Found")</f>
        <v>32484</v>
      </c>
      <c r="V413" s="271" t="str">
        <f>IFERROR(VLOOKUP($A413,GeneratingCapabilityList!$E$7:$O$1673,6,FALSE),"UNKNOWN")</f>
        <v>HYDRO</v>
      </c>
      <c r="W413" s="271">
        <f>IFERROR(VLOOKUP($A413,GeneratingCapabilityList!$E$7:$O$1673,3,FALSE),"ID Not Found")</f>
        <v>32.5</v>
      </c>
      <c r="Y413" s="270"/>
    </row>
    <row r="414" spans="1:25">
      <c r="A414" s="241" t="s">
        <v>4484</v>
      </c>
      <c r="B414" s="241" t="s">
        <v>3361</v>
      </c>
      <c r="C414" s="241" t="s">
        <v>4485</v>
      </c>
      <c r="D414" s="242">
        <v>7.42</v>
      </c>
      <c r="E414" s="242">
        <v>17.11</v>
      </c>
      <c r="F414" s="242">
        <v>36.409999999999997</v>
      </c>
      <c r="G414" s="242">
        <v>40.950000000000003</v>
      </c>
      <c r="H414" s="242">
        <v>58.52</v>
      </c>
      <c r="I414" s="242">
        <v>61.12</v>
      </c>
      <c r="J414" s="242">
        <v>39.42</v>
      </c>
      <c r="K414" s="242">
        <v>32.99</v>
      </c>
      <c r="L414" s="242">
        <v>12.01</v>
      </c>
      <c r="M414" s="242">
        <v>14.64</v>
      </c>
      <c r="N414" s="242">
        <v>13.5</v>
      </c>
      <c r="O414" s="242">
        <v>10.65</v>
      </c>
      <c r="P414" s="241" t="s">
        <v>3352</v>
      </c>
      <c r="Q414" s="245" t="s">
        <v>3347</v>
      </c>
      <c r="R414" s="243" t="s">
        <v>4562</v>
      </c>
      <c r="S414" s="270">
        <f t="shared" si="14"/>
        <v>41263</v>
      </c>
      <c r="T414" s="270"/>
      <c r="U414" s="270">
        <f>IFERROR(VLOOKUP($A414,GeneratingCapabilityList!$E$7:$O$1673,11,FALSE),"ID Not Found")</f>
        <v>41263</v>
      </c>
      <c r="V414" s="271" t="str">
        <f>IFERROR(VLOOKUP($A414,GeneratingCapabilityList!$E$7:$O$1673,6,FALSE),"UNKNOWN")</f>
        <v>WIND</v>
      </c>
      <c r="W414" s="271">
        <f>IFERROR(VLOOKUP($A414,GeneratingCapabilityList!$E$7:$O$1673,3,FALSE),"ID Not Found")</f>
        <v>189</v>
      </c>
      <c r="Y414" s="270"/>
    </row>
    <row r="415" spans="1:25">
      <c r="A415" s="241" t="s">
        <v>2961</v>
      </c>
      <c r="B415" s="241" t="s">
        <v>3324</v>
      </c>
      <c r="C415" s="241" t="s">
        <v>2962</v>
      </c>
      <c r="D415" s="242">
        <v>0.02</v>
      </c>
      <c r="E415" s="242">
        <v>0.13</v>
      </c>
      <c r="F415" s="242">
        <v>0.25</v>
      </c>
      <c r="G415" s="242">
        <v>1.77</v>
      </c>
      <c r="H415" s="242">
        <v>1.87</v>
      </c>
      <c r="I415" s="242">
        <v>1.64</v>
      </c>
      <c r="J415" s="242">
        <v>1.59</v>
      </c>
      <c r="K415" s="242">
        <v>1.18</v>
      </c>
      <c r="L415" s="242">
        <v>1.88</v>
      </c>
      <c r="M415" s="242">
        <v>1.62</v>
      </c>
      <c r="N415" s="242">
        <v>0.03</v>
      </c>
      <c r="O415" s="242">
        <v>0</v>
      </c>
      <c r="P415" s="241" t="s">
        <v>3345</v>
      </c>
      <c r="Q415" s="241" t="s">
        <v>3347</v>
      </c>
      <c r="R415" s="243" t="s">
        <v>4562</v>
      </c>
      <c r="S415" s="270">
        <f t="shared" si="14"/>
        <v>40480</v>
      </c>
      <c r="T415" s="270"/>
      <c r="U415" s="270">
        <f>IFERROR(VLOOKUP($A415,GeneratingCapabilityList!$E$7:$O$1673,11,FALSE),"ID Not Found")</f>
        <v>40480</v>
      </c>
      <c r="V415" s="271" t="str">
        <f>IFERROR(VLOOKUP($A415,GeneratingCapabilityList!$E$7:$O$1673,6,FALSE),"UNKNOWN")</f>
        <v>SOLAR</v>
      </c>
      <c r="W415" s="271">
        <f>IFERROR(VLOOKUP($A415,GeneratingCapabilityList!$E$7:$O$1673,3,FALSE),"ID Not Found")</f>
        <v>4.5</v>
      </c>
      <c r="Y415" s="270"/>
    </row>
    <row r="416" spans="1:25">
      <c r="A416" s="241" t="s">
        <v>1956</v>
      </c>
      <c r="B416" s="241" t="s">
        <v>3349</v>
      </c>
      <c r="C416" s="241" t="s">
        <v>3598</v>
      </c>
      <c r="D416" s="242">
        <v>0.41</v>
      </c>
      <c r="E416" s="242">
        <v>0.59</v>
      </c>
      <c r="F416" s="242">
        <v>0.57999999999999996</v>
      </c>
      <c r="G416" s="242">
        <v>0.61</v>
      </c>
      <c r="H416" s="242">
        <v>0.36</v>
      </c>
      <c r="I416" s="242">
        <v>0.44</v>
      </c>
      <c r="J416" s="242">
        <v>0.54</v>
      </c>
      <c r="K416" s="242">
        <v>0.52</v>
      </c>
      <c r="L416" s="242">
        <v>0.62</v>
      </c>
      <c r="M416" s="242">
        <v>0.6</v>
      </c>
      <c r="N416" s="242">
        <v>0.41</v>
      </c>
      <c r="O416" s="242">
        <v>0.38</v>
      </c>
      <c r="P416" s="241" t="s">
        <v>3345</v>
      </c>
      <c r="Q416" s="241" t="s">
        <v>3347</v>
      </c>
      <c r="R416" s="243" t="s">
        <v>4562</v>
      </c>
      <c r="S416" s="270">
        <f t="shared" si="14"/>
        <v>32874</v>
      </c>
      <c r="T416" s="270"/>
      <c r="U416" s="270">
        <f>IFERROR(VLOOKUP($A416,GeneratingCapabilityList!$E$7:$O$1673,11,FALSE),"ID Not Found")</f>
        <v>32874</v>
      </c>
      <c r="V416" s="271" t="str">
        <f>IFERROR(VLOOKUP($A416,GeneratingCapabilityList!$E$7:$O$1673,6,FALSE),"UNKNOWN")</f>
        <v>HYDRO</v>
      </c>
      <c r="W416" s="271">
        <f>IFERROR(VLOOKUP($A416,GeneratingCapabilityList!$E$7:$O$1673,3,FALSE),"ID Not Found")</f>
        <v>2.5</v>
      </c>
      <c r="Y416" s="270"/>
    </row>
    <row r="417" spans="1:25">
      <c r="A417" s="241" t="s">
        <v>2027</v>
      </c>
      <c r="B417" s="241" t="s">
        <v>3361</v>
      </c>
      <c r="C417" s="241" t="s">
        <v>3599</v>
      </c>
      <c r="D417" s="242">
        <v>101.66</v>
      </c>
      <c r="E417" s="242">
        <v>99.36</v>
      </c>
      <c r="F417" s="242">
        <v>67.569999999999993</v>
      </c>
      <c r="G417" s="242">
        <v>103.53</v>
      </c>
      <c r="H417" s="242">
        <v>100.96</v>
      </c>
      <c r="I417" s="242">
        <v>102.86</v>
      </c>
      <c r="J417" s="242">
        <v>96.96</v>
      </c>
      <c r="K417" s="242">
        <v>96.89</v>
      </c>
      <c r="L417" s="242">
        <v>93.58</v>
      </c>
      <c r="M417" s="242">
        <v>96.45</v>
      </c>
      <c r="N417" s="242">
        <v>85.65</v>
      </c>
      <c r="O417" s="242">
        <v>88.4</v>
      </c>
      <c r="P417" s="241" t="s">
        <v>3352</v>
      </c>
      <c r="Q417" s="241" t="s">
        <v>3347</v>
      </c>
      <c r="R417" s="243" t="s">
        <v>4562</v>
      </c>
      <c r="S417" s="270">
        <f t="shared" si="14"/>
        <v>33136</v>
      </c>
      <c r="T417" s="270"/>
      <c r="U417" s="270">
        <f>IFERROR(VLOOKUP($A417,GeneratingCapabilityList!$E$7:$O$1673,11,FALSE),"ID Not Found")</f>
        <v>33136</v>
      </c>
      <c r="V417" s="271" t="str">
        <f>IFERROR(VLOOKUP($A417,GeneratingCapabilityList!$E$7:$O$1673,6,FALSE),"UNKNOWN")</f>
        <v>COGENERATION</v>
      </c>
      <c r="W417" s="271">
        <f>IFERROR(VLOOKUP($A417,GeneratingCapabilityList!$E$7:$O$1673,3,FALSE),"ID Not Found")</f>
        <v>118.32</v>
      </c>
      <c r="Y417" s="270"/>
    </row>
    <row r="418" spans="1:25">
      <c r="A418" s="241" t="s">
        <v>530</v>
      </c>
      <c r="B418" s="241" t="s">
        <v>3349</v>
      </c>
      <c r="C418" s="241" t="s">
        <v>3600</v>
      </c>
      <c r="D418" s="242">
        <v>1.67</v>
      </c>
      <c r="E418" s="242">
        <v>4.09</v>
      </c>
      <c r="F418" s="242">
        <v>3.54</v>
      </c>
      <c r="G418" s="242">
        <v>4.2699999999999996</v>
      </c>
      <c r="H418" s="242">
        <v>7.2</v>
      </c>
      <c r="I418" s="242">
        <v>7.2</v>
      </c>
      <c r="J418" s="242">
        <v>7.53</v>
      </c>
      <c r="K418" s="242">
        <v>6.72</v>
      </c>
      <c r="L418" s="242">
        <v>5.09</v>
      </c>
      <c r="M418" s="242">
        <v>4.0599999999999996</v>
      </c>
      <c r="N418" s="242">
        <v>0</v>
      </c>
      <c r="O418" s="242">
        <v>1.76</v>
      </c>
      <c r="P418" s="241" t="s">
        <v>3345</v>
      </c>
      <c r="Q418" s="241" t="s">
        <v>3347</v>
      </c>
      <c r="R418" s="243" t="s">
        <v>4561</v>
      </c>
      <c r="S418" s="270">
        <f t="shared" si="14"/>
        <v>24473</v>
      </c>
      <c r="T418" s="270"/>
      <c r="U418" s="270">
        <f>IFERROR(VLOOKUP($A418,GeneratingCapabilityList!$E$7:$O$1673,11,FALSE),"ID Not Found")</f>
        <v>24473</v>
      </c>
      <c r="V418" s="271" t="str">
        <f>IFERROR(VLOOKUP($A418,GeneratingCapabilityList!$E$7:$O$1673,6,FALSE),"UNKNOWN")</f>
        <v>HYDRO</v>
      </c>
      <c r="W418" s="271">
        <f>IFERROR(VLOOKUP($A418,GeneratingCapabilityList!$E$7:$O$1673,3,FALSE),"ID Not Found")</f>
        <v>10</v>
      </c>
      <c r="Y418" s="270"/>
    </row>
    <row r="419" spans="1:25">
      <c r="A419" s="241" t="s">
        <v>516</v>
      </c>
      <c r="B419" s="241" t="s">
        <v>3375</v>
      </c>
      <c r="C419" s="241" t="s">
        <v>3601</v>
      </c>
      <c r="D419" s="242">
        <v>204.57</v>
      </c>
      <c r="E419" s="242">
        <v>204.66</v>
      </c>
      <c r="F419" s="242">
        <v>206.91</v>
      </c>
      <c r="G419" s="242">
        <v>209.44</v>
      </c>
      <c r="H419" s="242">
        <v>212.55</v>
      </c>
      <c r="I419" s="242">
        <v>212.94</v>
      </c>
      <c r="J419" s="242">
        <v>210.97</v>
      </c>
      <c r="K419" s="242">
        <v>208.68</v>
      </c>
      <c r="L419" s="242">
        <v>206.55</v>
      </c>
      <c r="M419" s="242">
        <v>205.97</v>
      </c>
      <c r="N419" s="242">
        <v>203.1</v>
      </c>
      <c r="O419" s="242">
        <v>201.8</v>
      </c>
      <c r="P419" s="241" t="s">
        <v>3345</v>
      </c>
      <c r="Q419" s="241" t="s">
        <v>3347</v>
      </c>
      <c r="R419" s="243" t="s">
        <v>4561</v>
      </c>
      <c r="S419" s="270">
        <f t="shared" si="14"/>
        <v>24108</v>
      </c>
      <c r="T419" s="270"/>
      <c r="U419" s="270">
        <f>IFERROR(VLOOKUP($A419,GeneratingCapabilityList!$E$7:$O$1673,11,FALSE),"ID Not Found")</f>
        <v>24108</v>
      </c>
      <c r="V419" s="271" t="str">
        <f>IFERROR(VLOOKUP($A419,GeneratingCapabilityList!$E$7:$O$1673,6,FALSE),"UNKNOWN")</f>
        <v>HYDRO</v>
      </c>
      <c r="W419" s="271">
        <f>IFERROR(VLOOKUP($A419,GeneratingCapabilityList!$E$7:$O$1673,3,FALSE),"ID Not Found")</f>
        <v>218.39</v>
      </c>
      <c r="Y419" s="270"/>
    </row>
    <row r="420" spans="1:25">
      <c r="A420" s="241" t="s">
        <v>2926</v>
      </c>
      <c r="B420" s="241" t="s">
        <v>3349</v>
      </c>
      <c r="C420" s="241" t="s">
        <v>3602</v>
      </c>
      <c r="D420" s="249" t="s">
        <v>4573</v>
      </c>
      <c r="E420" s="249" t="s">
        <v>4573</v>
      </c>
      <c r="F420" s="249" t="s">
        <v>4573</v>
      </c>
      <c r="G420" s="249" t="s">
        <v>4573</v>
      </c>
      <c r="H420" s="249" t="s">
        <v>4573</v>
      </c>
      <c r="I420" s="249" t="s">
        <v>4573</v>
      </c>
      <c r="J420" s="249" t="s">
        <v>4573</v>
      </c>
      <c r="K420" s="249" t="s">
        <v>4573</v>
      </c>
      <c r="L420" s="249" t="s">
        <v>4573</v>
      </c>
      <c r="M420" s="249" t="s">
        <v>4573</v>
      </c>
      <c r="N420" s="249" t="s">
        <v>4573</v>
      </c>
      <c r="O420" s="249" t="s">
        <v>4573</v>
      </c>
      <c r="P420" s="241" t="s">
        <v>3345</v>
      </c>
      <c r="Q420" s="241" t="s">
        <v>3385</v>
      </c>
      <c r="R420" s="246" t="s">
        <v>4562</v>
      </c>
      <c r="S420" s="270">
        <f t="shared" si="14"/>
        <v>40298</v>
      </c>
      <c r="T420" s="270"/>
      <c r="U420" s="270">
        <f>IFERROR(VLOOKUP($A420,GeneratingCapabilityList!$E$7:$O$1673,11,FALSE),"ID Not Found")</f>
        <v>40298</v>
      </c>
      <c r="V420" s="271" t="str">
        <f>IFERROR(VLOOKUP($A420,GeneratingCapabilityList!$E$7:$O$1673,6,FALSE),"UNKNOWN")</f>
        <v>SOLAR</v>
      </c>
      <c r="W420" s="271">
        <f>IFERROR(VLOOKUP($A420,GeneratingCapabilityList!$E$7:$O$1673,3,FALSE),"ID Not Found")</f>
        <v>5</v>
      </c>
      <c r="Y420" s="270"/>
    </row>
    <row r="421" spans="1:25">
      <c r="A421" s="241" t="s">
        <v>1858</v>
      </c>
      <c r="B421" s="241" t="s">
        <v>3349</v>
      </c>
      <c r="C421" s="241" t="s">
        <v>1859</v>
      </c>
      <c r="D421" s="242">
        <v>22.46</v>
      </c>
      <c r="E421" s="242">
        <v>21.95</v>
      </c>
      <c r="F421" s="242">
        <v>22.51</v>
      </c>
      <c r="G421" s="242">
        <v>21.87</v>
      </c>
      <c r="H421" s="242">
        <v>11.3</v>
      </c>
      <c r="I421" s="242">
        <v>21.64</v>
      </c>
      <c r="J421" s="242">
        <v>22.46</v>
      </c>
      <c r="K421" s="242">
        <v>20.239999999999998</v>
      </c>
      <c r="L421" s="242">
        <v>21.13</v>
      </c>
      <c r="M421" s="242">
        <v>18.989999999999998</v>
      </c>
      <c r="N421" s="242">
        <v>20.57</v>
      </c>
      <c r="O421" s="242">
        <v>22.24</v>
      </c>
      <c r="P421" s="241" t="s">
        <v>3345</v>
      </c>
      <c r="Q421" s="241" t="s">
        <v>3347</v>
      </c>
      <c r="R421" s="243" t="s">
        <v>4562</v>
      </c>
      <c r="S421" s="270">
        <f t="shared" si="14"/>
        <v>32688</v>
      </c>
      <c r="T421" s="270"/>
      <c r="U421" s="270">
        <f>IFERROR(VLOOKUP($A421,GeneratingCapabilityList!$E$7:$O$1673,11,FALSE),"ID Not Found")</f>
        <v>32688</v>
      </c>
      <c r="V421" s="271" t="str">
        <f>IFERROR(VLOOKUP($A421,GeneratingCapabilityList!$E$7:$O$1673,6,FALSE),"UNKNOWN")</f>
        <v>BIOMASS</v>
      </c>
      <c r="W421" s="271">
        <f>IFERROR(VLOOKUP($A421,GeneratingCapabilityList!$E$7:$O$1673,3,FALSE),"ID Not Found")</f>
        <v>33</v>
      </c>
      <c r="Y421" s="270"/>
    </row>
    <row r="422" spans="1:25">
      <c r="A422" s="241" t="s">
        <v>269</v>
      </c>
      <c r="B422" s="241" t="s">
        <v>3349</v>
      </c>
      <c r="C422" s="241" t="s">
        <v>3603</v>
      </c>
      <c r="D422" s="242">
        <v>0.33</v>
      </c>
      <c r="E422" s="242">
        <v>1.04</v>
      </c>
      <c r="F422" s="242">
        <v>0.82</v>
      </c>
      <c r="G422" s="242">
        <v>1.57</v>
      </c>
      <c r="H422" s="242">
        <v>2.83</v>
      </c>
      <c r="I422" s="242">
        <v>2.92</v>
      </c>
      <c r="J422" s="242">
        <v>3.06</v>
      </c>
      <c r="K422" s="242">
        <v>2.82</v>
      </c>
      <c r="L422" s="242">
        <v>2.21</v>
      </c>
      <c r="M422" s="242">
        <v>1.7</v>
      </c>
      <c r="N422" s="242">
        <v>0</v>
      </c>
      <c r="O422" s="242">
        <v>0</v>
      </c>
      <c r="P422" s="241" t="s">
        <v>3345</v>
      </c>
      <c r="Q422" s="241" t="s">
        <v>3347</v>
      </c>
      <c r="R422" s="243" t="s">
        <v>4561</v>
      </c>
      <c r="S422" s="270">
        <f t="shared" si="14"/>
        <v>10959</v>
      </c>
      <c r="T422" s="270"/>
      <c r="U422" s="270">
        <f>IFERROR(VLOOKUP($A422,GeneratingCapabilityList!$E$7:$O$1673,11,FALSE),"ID Not Found")</f>
        <v>10959</v>
      </c>
      <c r="V422" s="271" t="str">
        <f>IFERROR(VLOOKUP($A422,GeneratingCapabilityList!$E$7:$O$1673,6,FALSE),"UNKNOWN")</f>
        <v>HYDRO</v>
      </c>
      <c r="W422" s="271">
        <f>IFERROR(VLOOKUP($A422,GeneratingCapabilityList!$E$7:$O$1673,3,FALSE),"ID Not Found")</f>
        <v>3.5</v>
      </c>
      <c r="Y422" s="270"/>
    </row>
    <row r="423" spans="1:25">
      <c r="A423" s="241" t="s">
        <v>3262</v>
      </c>
      <c r="B423" s="241" t="s">
        <v>3361</v>
      </c>
      <c r="C423" s="241" t="s">
        <v>3604</v>
      </c>
      <c r="D423" s="242">
        <v>0</v>
      </c>
      <c r="E423" s="242">
        <v>0</v>
      </c>
      <c r="F423" s="242">
        <v>0</v>
      </c>
      <c r="G423" s="242">
        <v>0</v>
      </c>
      <c r="H423" s="242">
        <v>0</v>
      </c>
      <c r="I423" s="242">
        <v>0</v>
      </c>
      <c r="J423" s="242">
        <v>0</v>
      </c>
      <c r="K423" s="242">
        <v>0</v>
      </c>
      <c r="L423" s="242">
        <v>0</v>
      </c>
      <c r="M423" s="242">
        <v>0</v>
      </c>
      <c r="N423" s="242">
        <v>0</v>
      </c>
      <c r="O423" s="242">
        <v>0</v>
      </c>
      <c r="P423" s="241" t="s">
        <v>3345</v>
      </c>
      <c r="Q423" s="241" t="s">
        <v>3347</v>
      </c>
      <c r="R423" s="243" t="s">
        <v>4562</v>
      </c>
      <c r="S423" s="270">
        <f>Scenarios!$B$55</f>
        <v>36526</v>
      </c>
      <c r="T423" s="270" t="s">
        <v>4798</v>
      </c>
      <c r="U423" s="270" t="str">
        <f>IFERROR(VLOOKUP($A423,GeneratingCapabilityList!$E$7:$O$1673,11,FALSE),"ID Not Found")</f>
        <v>UNK</v>
      </c>
      <c r="V423" s="271" t="str">
        <f>IFERROR(VLOOKUP($A423,GeneratingCapabilityList!$E$7:$O$1673,6,FALSE),"UNKNOWN")</f>
        <v>HYDRO</v>
      </c>
      <c r="W423" s="271">
        <f>IFERROR(VLOOKUP($A423,GeneratingCapabilityList!$E$7:$O$1673,3,FALSE),"ID Not Found")</f>
        <v>1</v>
      </c>
      <c r="Y423" s="270"/>
    </row>
    <row r="424" spans="1:25">
      <c r="A424" s="241" t="s">
        <v>886</v>
      </c>
      <c r="B424" s="241" t="s">
        <v>3327</v>
      </c>
      <c r="C424" s="241" t="s">
        <v>3605</v>
      </c>
      <c r="D424" s="242">
        <v>0.94</v>
      </c>
      <c r="E424" s="242">
        <v>0.96</v>
      </c>
      <c r="F424" s="242">
        <v>0.8</v>
      </c>
      <c r="G424" s="242">
        <v>0.82</v>
      </c>
      <c r="H424" s="242">
        <v>0.72</v>
      </c>
      <c r="I424" s="242">
        <v>0.78</v>
      </c>
      <c r="J424" s="242">
        <v>0.7</v>
      </c>
      <c r="K424" s="242">
        <v>0.7</v>
      </c>
      <c r="L424" s="242">
        <v>0.61</v>
      </c>
      <c r="M424" s="242">
        <v>0.7</v>
      </c>
      <c r="N424" s="242">
        <v>0.48</v>
      </c>
      <c r="O424" s="242">
        <v>0.99</v>
      </c>
      <c r="P424" s="241" t="s">
        <v>3352</v>
      </c>
      <c r="Q424" s="241" t="s">
        <v>3347</v>
      </c>
      <c r="R424" s="243" t="s">
        <v>4562</v>
      </c>
      <c r="S424" s="270">
        <f>U424</f>
        <v>30317</v>
      </c>
      <c r="T424" s="270"/>
      <c r="U424" s="270">
        <f>IFERROR(VLOOKUP($A424,GeneratingCapabilityList!$E$7:$O$1673,11,FALSE),"ID Not Found")</f>
        <v>30317</v>
      </c>
      <c r="V424" s="271" t="str">
        <f>IFERROR(VLOOKUP($A424,GeneratingCapabilityList!$E$7:$O$1673,6,FALSE),"UNKNOWN")</f>
        <v>VARIOUS</v>
      </c>
      <c r="W424" s="271">
        <f>IFERROR(VLOOKUP($A424,GeneratingCapabilityList!$E$7:$O$1673,3,FALSE),"ID Not Found")</f>
        <v>2.9</v>
      </c>
      <c r="Y424" s="270"/>
    </row>
    <row r="425" spans="1:25">
      <c r="A425" s="241" t="s">
        <v>3267</v>
      </c>
      <c r="B425" s="241" t="s">
        <v>3324</v>
      </c>
      <c r="C425" s="241" t="s">
        <v>3606</v>
      </c>
      <c r="D425" s="242">
        <v>0.16</v>
      </c>
      <c r="E425" s="242">
        <v>0.15</v>
      </c>
      <c r="F425" s="242">
        <v>0.12</v>
      </c>
      <c r="G425" s="242">
        <v>0.08</v>
      </c>
      <c r="H425" s="242">
        <v>0</v>
      </c>
      <c r="I425" s="242">
        <v>0.1</v>
      </c>
      <c r="J425" s="242">
        <v>0.12</v>
      </c>
      <c r="K425" s="242">
        <v>0.13</v>
      </c>
      <c r="L425" s="242">
        <v>0.15</v>
      </c>
      <c r="M425" s="242">
        <v>0.19</v>
      </c>
      <c r="N425" s="242">
        <v>0.23</v>
      </c>
      <c r="O425" s="242">
        <v>0.23</v>
      </c>
      <c r="P425" s="241" t="s">
        <v>3345</v>
      </c>
      <c r="Q425" s="241" t="s">
        <v>3347</v>
      </c>
      <c r="R425" s="243" t="s">
        <v>4562</v>
      </c>
      <c r="S425" s="270">
        <f>U425</f>
        <v>32478</v>
      </c>
      <c r="T425" s="270"/>
      <c r="U425" s="270">
        <f>IFERROR(VLOOKUP($A425,GeneratingCapabilityList!$E$7:$O$1673,11,FALSE),"ID Not Found")</f>
        <v>32478</v>
      </c>
      <c r="V425" s="271" t="str">
        <f>IFERROR(VLOOKUP($A425,GeneratingCapabilityList!$E$7:$O$1673,6,FALSE),"UNKNOWN")</f>
        <v>HYDRO</v>
      </c>
      <c r="W425" s="271">
        <f>IFERROR(VLOOKUP($A425,GeneratingCapabilityList!$E$7:$O$1673,3,FALSE),"ID Not Found")</f>
        <v>1.25</v>
      </c>
      <c r="Y425" s="270"/>
    </row>
    <row r="426" spans="1:25">
      <c r="A426" s="241" t="s">
        <v>2727</v>
      </c>
      <c r="B426" s="241" t="s">
        <v>3324</v>
      </c>
      <c r="C426" s="241" t="s">
        <v>3607</v>
      </c>
      <c r="D426" s="242">
        <v>593.16</v>
      </c>
      <c r="E426" s="242">
        <v>593.16</v>
      </c>
      <c r="F426" s="242">
        <v>593.16</v>
      </c>
      <c r="G426" s="242">
        <v>593.16</v>
      </c>
      <c r="H426" s="242">
        <v>585</v>
      </c>
      <c r="I426" s="242">
        <v>575</v>
      </c>
      <c r="J426" s="242">
        <v>570</v>
      </c>
      <c r="K426" s="242">
        <v>570</v>
      </c>
      <c r="L426" s="242">
        <v>580</v>
      </c>
      <c r="M426" s="242">
        <v>593.16</v>
      </c>
      <c r="N426" s="242">
        <v>593.16</v>
      </c>
      <c r="O426" s="242">
        <v>593.16</v>
      </c>
      <c r="P426" s="241" t="s">
        <v>3345</v>
      </c>
      <c r="Q426" s="241" t="s">
        <v>3347</v>
      </c>
      <c r="R426" s="243" t="s">
        <v>4561</v>
      </c>
      <c r="S426" s="270">
        <f>U426</f>
        <v>38499</v>
      </c>
      <c r="T426" s="270"/>
      <c r="U426" s="270">
        <f>IFERROR(VLOOKUP($A426,GeneratingCapabilityList!$E$7:$O$1673,11,FALSE),"ID Not Found")</f>
        <v>38499</v>
      </c>
      <c r="V426" s="271" t="str">
        <f>IFERROR(VLOOKUP($A426,GeneratingCapabilityList!$E$7:$O$1673,6,FALSE),"UNKNOWN")</f>
        <v>THERMAL</v>
      </c>
      <c r="W426" s="271">
        <f>IFERROR(VLOOKUP($A426,GeneratingCapabilityList!$E$7:$O$1673,3,FALSE),"ID Not Found")</f>
        <v>593.16</v>
      </c>
      <c r="Y426" s="270"/>
    </row>
    <row r="427" spans="1:25">
      <c r="A427" s="241" t="s">
        <v>1817</v>
      </c>
      <c r="B427" s="241" t="s">
        <v>3370</v>
      </c>
      <c r="C427" s="241" t="s">
        <v>1818</v>
      </c>
      <c r="D427" s="242">
        <v>35.04</v>
      </c>
      <c r="E427" s="242">
        <v>35.479999999999997</v>
      </c>
      <c r="F427" s="242">
        <v>33.770000000000003</v>
      </c>
      <c r="G427" s="242">
        <v>31.46</v>
      </c>
      <c r="H427" s="242">
        <v>34.549999999999997</v>
      </c>
      <c r="I427" s="242">
        <v>34.49</v>
      </c>
      <c r="J427" s="242">
        <v>33.270000000000003</v>
      </c>
      <c r="K427" s="242">
        <v>33.020000000000003</v>
      </c>
      <c r="L427" s="242">
        <v>33.619999999999997</v>
      </c>
      <c r="M427" s="242">
        <v>34.14</v>
      </c>
      <c r="N427" s="242">
        <v>34.79</v>
      </c>
      <c r="O427" s="242">
        <v>36.82</v>
      </c>
      <c r="P427" s="241" t="s">
        <v>3345</v>
      </c>
      <c r="Q427" s="241" t="s">
        <v>3347</v>
      </c>
      <c r="R427" s="243" t="s">
        <v>4562</v>
      </c>
      <c r="S427" s="270">
        <f>U427</f>
        <v>32583</v>
      </c>
      <c r="T427" s="270"/>
      <c r="U427" s="270">
        <f>IFERROR(VLOOKUP($A427,GeneratingCapabilityList!$E$7:$O$1673,11,FALSE),"ID Not Found")</f>
        <v>32583</v>
      </c>
      <c r="V427" s="271" t="str">
        <f>IFERROR(VLOOKUP($A427,GeneratingCapabilityList!$E$7:$O$1673,6,FALSE),"UNKNOWN")</f>
        <v>COGENERATION</v>
      </c>
      <c r="W427" s="271">
        <f>IFERROR(VLOOKUP($A427,GeneratingCapabilityList!$E$7:$O$1673,3,FALSE),"ID Not Found")</f>
        <v>52.9</v>
      </c>
      <c r="Y427" s="270"/>
    </row>
    <row r="428" spans="1:25">
      <c r="A428" s="241" t="s">
        <v>3269</v>
      </c>
      <c r="B428" s="241" t="s">
        <v>3370</v>
      </c>
      <c r="C428" s="241" t="s">
        <v>3608</v>
      </c>
      <c r="D428" s="242">
        <v>0.02</v>
      </c>
      <c r="E428" s="242">
        <v>0.01</v>
      </c>
      <c r="F428" s="242">
        <v>0.01</v>
      </c>
      <c r="G428" s="242">
        <v>0.01</v>
      </c>
      <c r="H428" s="242">
        <v>0.01</v>
      </c>
      <c r="I428" s="242">
        <v>0.01</v>
      </c>
      <c r="J428" s="242">
        <v>0.01</v>
      </c>
      <c r="K428" s="242">
        <v>0.01</v>
      </c>
      <c r="L428" s="242">
        <v>0</v>
      </c>
      <c r="M428" s="242">
        <v>0</v>
      </c>
      <c r="N428" s="242">
        <v>0</v>
      </c>
      <c r="O428" s="242">
        <v>0.01</v>
      </c>
      <c r="P428" s="241" t="s">
        <v>3345</v>
      </c>
      <c r="Q428" s="241" t="s">
        <v>3347</v>
      </c>
      <c r="R428" s="243" t="s">
        <v>4562</v>
      </c>
      <c r="S428" s="270">
        <f>U428</f>
        <v>33274</v>
      </c>
      <c r="T428" s="270"/>
      <c r="U428" s="270">
        <f>IFERROR(VLOOKUP($A428,GeneratingCapabilityList!$E$7:$O$1673,11,FALSE),"ID Not Found")</f>
        <v>33274</v>
      </c>
      <c r="V428" s="271" t="str">
        <f>IFERROR(VLOOKUP($A428,GeneratingCapabilityList!$E$7:$O$1673,6,FALSE),"UNKNOWN")</f>
        <v>BIOMASS</v>
      </c>
      <c r="W428" s="271">
        <f>IFERROR(VLOOKUP($A428,GeneratingCapabilityList!$E$7:$O$1673,3,FALSE),"ID Not Found")</f>
        <v>1.2</v>
      </c>
      <c r="Y428" s="270"/>
    </row>
    <row r="429" spans="1:25">
      <c r="A429" s="241" t="s">
        <v>3271</v>
      </c>
      <c r="B429" s="241" t="s">
        <v>3324</v>
      </c>
      <c r="C429" s="241" t="s">
        <v>3609</v>
      </c>
      <c r="D429" s="242">
        <v>0</v>
      </c>
      <c r="E429" s="242">
        <v>0</v>
      </c>
      <c r="F429" s="242">
        <v>0</v>
      </c>
      <c r="G429" s="242">
        <v>0</v>
      </c>
      <c r="H429" s="242">
        <v>0</v>
      </c>
      <c r="I429" s="242">
        <v>0</v>
      </c>
      <c r="J429" s="242">
        <v>0</v>
      </c>
      <c r="K429" s="242">
        <v>0</v>
      </c>
      <c r="L429" s="242">
        <v>0</v>
      </c>
      <c r="M429" s="242">
        <v>0</v>
      </c>
      <c r="N429" s="242">
        <v>0</v>
      </c>
      <c r="O429" s="242">
        <v>0</v>
      </c>
      <c r="P429" s="241" t="s">
        <v>3345</v>
      </c>
      <c r="Q429" s="241" t="s">
        <v>3347</v>
      </c>
      <c r="R429" s="243" t="s">
        <v>4562</v>
      </c>
      <c r="S429" s="270">
        <f>Scenarios!$B$55</f>
        <v>36526</v>
      </c>
      <c r="T429" s="270" t="s">
        <v>4798</v>
      </c>
      <c r="U429" s="270" t="str">
        <f>IFERROR(VLOOKUP($A429,GeneratingCapabilityList!$E$7:$O$1673,11,FALSE),"ID Not Found")</f>
        <v>UNK</v>
      </c>
      <c r="V429" s="271" t="str">
        <f>IFERROR(VLOOKUP($A429,GeneratingCapabilityList!$E$7:$O$1673,6,FALSE),"UNKNOWN")</f>
        <v>COGENERATION</v>
      </c>
      <c r="W429" s="271">
        <f>IFERROR(VLOOKUP($A429,GeneratingCapabilityList!$E$7:$O$1673,3,FALSE),"ID Not Found")</f>
        <v>1.25</v>
      </c>
      <c r="Y429" s="270"/>
    </row>
    <row r="430" spans="1:25">
      <c r="A430" s="241" t="s">
        <v>1469</v>
      </c>
      <c r="B430" s="241" t="s">
        <v>3327</v>
      </c>
      <c r="C430" s="241" t="s">
        <v>1470</v>
      </c>
      <c r="D430" s="242">
        <v>1.03</v>
      </c>
      <c r="E430" s="242">
        <v>0.99</v>
      </c>
      <c r="F430" s="242">
        <v>2.0099999999999998</v>
      </c>
      <c r="G430" s="242">
        <v>2.42</v>
      </c>
      <c r="H430" s="242">
        <v>2.2999999999999998</v>
      </c>
      <c r="I430" s="242">
        <v>2.3199999999999998</v>
      </c>
      <c r="J430" s="242">
        <v>2.44</v>
      </c>
      <c r="K430" s="242">
        <v>2.4900000000000002</v>
      </c>
      <c r="L430" s="242">
        <v>2.4900000000000002</v>
      </c>
      <c r="M430" s="242">
        <v>2.12</v>
      </c>
      <c r="N430" s="242">
        <v>2.17</v>
      </c>
      <c r="O430" s="242">
        <v>1.86</v>
      </c>
      <c r="P430" s="241" t="s">
        <v>3352</v>
      </c>
      <c r="Q430" s="241" t="s">
        <v>3347</v>
      </c>
      <c r="R430" s="243" t="s">
        <v>4562</v>
      </c>
      <c r="S430" s="270">
        <f t="shared" ref="S430:S441" si="15">U430</f>
        <v>31778</v>
      </c>
      <c r="T430" s="270"/>
      <c r="U430" s="270">
        <f>IFERROR(VLOOKUP($A430,GeneratingCapabilityList!$E$7:$O$1673,11,FALSE),"ID Not Found")</f>
        <v>31778</v>
      </c>
      <c r="V430" s="271" t="str">
        <f>IFERROR(VLOOKUP($A430,GeneratingCapabilityList!$E$7:$O$1673,6,FALSE),"UNKNOWN")</f>
        <v>HYDRO</v>
      </c>
      <c r="W430" s="271">
        <f>IFERROR(VLOOKUP($A430,GeneratingCapabilityList!$E$7:$O$1673,3,FALSE),"ID Not Found")</f>
        <v>2.85</v>
      </c>
      <c r="Y430" s="270"/>
    </row>
    <row r="431" spans="1:25">
      <c r="A431" s="241" t="s">
        <v>3019</v>
      </c>
      <c r="B431" s="241" t="s">
        <v>3327</v>
      </c>
      <c r="C431" s="241" t="s">
        <v>3020</v>
      </c>
      <c r="D431" s="249" t="s">
        <v>4573</v>
      </c>
      <c r="E431" s="249" t="s">
        <v>4573</v>
      </c>
      <c r="F431" s="249" t="s">
        <v>4573</v>
      </c>
      <c r="G431" s="249" t="s">
        <v>4573</v>
      </c>
      <c r="H431" s="249" t="s">
        <v>4573</v>
      </c>
      <c r="I431" s="249" t="s">
        <v>4573</v>
      </c>
      <c r="J431" s="249" t="s">
        <v>4573</v>
      </c>
      <c r="K431" s="249" t="s">
        <v>4573</v>
      </c>
      <c r="L431" s="249" t="s">
        <v>4573</v>
      </c>
      <c r="M431" s="249" t="s">
        <v>4573</v>
      </c>
      <c r="N431" s="249" t="s">
        <v>4573</v>
      </c>
      <c r="O431" s="249" t="s">
        <v>4573</v>
      </c>
      <c r="P431" s="241" t="s">
        <v>3352</v>
      </c>
      <c r="Q431" s="241" t="s">
        <v>3385</v>
      </c>
      <c r="R431" s="246" t="s">
        <v>4562</v>
      </c>
      <c r="S431" s="270">
        <f t="shared" si="15"/>
        <v>40780</v>
      </c>
      <c r="T431" s="270"/>
      <c r="U431" s="270">
        <f>IFERROR(VLOOKUP($A431,GeneratingCapabilityList!$E$7:$O$1673,11,FALSE),"ID Not Found")</f>
        <v>40780</v>
      </c>
      <c r="V431" s="271" t="str">
        <f>IFERROR(VLOOKUP($A431,GeneratingCapabilityList!$E$7:$O$1673,6,FALSE),"UNKNOWN")</f>
        <v>SOLAR</v>
      </c>
      <c r="W431" s="271">
        <f>IFERROR(VLOOKUP($A431,GeneratingCapabilityList!$E$7:$O$1673,3,FALSE),"ID Not Found")</f>
        <v>5</v>
      </c>
      <c r="Y431" s="270"/>
    </row>
    <row r="432" spans="1:25">
      <c r="A432" s="241" t="s">
        <v>1471</v>
      </c>
      <c r="B432" s="241" t="s">
        <v>3327</v>
      </c>
      <c r="C432" s="241" t="s">
        <v>3610</v>
      </c>
      <c r="D432" s="242">
        <v>1.03</v>
      </c>
      <c r="E432" s="242">
        <v>1.02</v>
      </c>
      <c r="F432" s="242">
        <v>2.08</v>
      </c>
      <c r="G432" s="242">
        <v>2.4700000000000002</v>
      </c>
      <c r="H432" s="242">
        <v>2.36</v>
      </c>
      <c r="I432" s="242">
        <v>2.38</v>
      </c>
      <c r="J432" s="242">
        <v>2.5299999999999998</v>
      </c>
      <c r="K432" s="242">
        <v>2.6</v>
      </c>
      <c r="L432" s="242">
        <v>2.56</v>
      </c>
      <c r="M432" s="242">
        <v>2.17</v>
      </c>
      <c r="N432" s="242">
        <v>2.25</v>
      </c>
      <c r="O432" s="242">
        <v>1.89</v>
      </c>
      <c r="P432" s="241" t="s">
        <v>3352</v>
      </c>
      <c r="Q432" s="241" t="s">
        <v>3347</v>
      </c>
      <c r="R432" s="243" t="s">
        <v>4562</v>
      </c>
      <c r="S432" s="270">
        <f t="shared" si="15"/>
        <v>31778</v>
      </c>
      <c r="T432" s="270"/>
      <c r="U432" s="270">
        <f>IFERROR(VLOOKUP($A432,GeneratingCapabilityList!$E$7:$O$1673,11,FALSE),"ID Not Found")</f>
        <v>31778</v>
      </c>
      <c r="V432" s="271" t="str">
        <f>IFERROR(VLOOKUP($A432,GeneratingCapabilityList!$E$7:$O$1673,6,FALSE),"UNKNOWN")</f>
        <v>HYDRO</v>
      </c>
      <c r="W432" s="271">
        <f>IFERROR(VLOOKUP($A432,GeneratingCapabilityList!$E$7:$O$1673,3,FALSE),"ID Not Found")</f>
        <v>2.85</v>
      </c>
      <c r="Y432" s="270"/>
    </row>
    <row r="433" spans="1:25">
      <c r="A433" s="241" t="s">
        <v>1687</v>
      </c>
      <c r="B433" s="241" t="s">
        <v>3327</v>
      </c>
      <c r="C433" s="241" t="s">
        <v>3611</v>
      </c>
      <c r="D433" s="242">
        <v>27.85</v>
      </c>
      <c r="E433" s="242">
        <v>30.3</v>
      </c>
      <c r="F433" s="242">
        <v>31.91</v>
      </c>
      <c r="G433" s="242">
        <v>29.99</v>
      </c>
      <c r="H433" s="242">
        <v>23.66</v>
      </c>
      <c r="I433" s="242">
        <v>29.68</v>
      </c>
      <c r="J433" s="242">
        <v>27.06</v>
      </c>
      <c r="K433" s="242">
        <v>30.83</v>
      </c>
      <c r="L433" s="242">
        <v>26.48</v>
      </c>
      <c r="M433" s="242">
        <v>25.43</v>
      </c>
      <c r="N433" s="242">
        <v>30.16</v>
      </c>
      <c r="O433" s="242">
        <v>30.31</v>
      </c>
      <c r="P433" s="241" t="s">
        <v>3352</v>
      </c>
      <c r="Q433" s="241" t="s">
        <v>3347</v>
      </c>
      <c r="R433" s="243" t="s">
        <v>4562</v>
      </c>
      <c r="S433" s="270">
        <f t="shared" si="15"/>
        <v>32284</v>
      </c>
      <c r="T433" s="270"/>
      <c r="U433" s="270">
        <f>IFERROR(VLOOKUP($A433,GeneratingCapabilityList!$E$7:$O$1673,11,FALSE),"ID Not Found")</f>
        <v>32284</v>
      </c>
      <c r="V433" s="271" t="str">
        <f>IFERROR(VLOOKUP($A433,GeneratingCapabilityList!$E$7:$O$1673,6,FALSE),"UNKNOWN")</f>
        <v>COGENERATION</v>
      </c>
      <c r="W433" s="271">
        <f>IFERROR(VLOOKUP($A433,GeneratingCapabilityList!$E$7:$O$1673,3,FALSE),"ID Not Found")</f>
        <v>50.05</v>
      </c>
      <c r="Y433" s="270"/>
    </row>
    <row r="434" spans="1:25">
      <c r="A434" s="241" t="s">
        <v>2859</v>
      </c>
      <c r="B434" s="241" t="s">
        <v>3327</v>
      </c>
      <c r="C434" s="241" t="s">
        <v>2860</v>
      </c>
      <c r="D434" s="242">
        <v>46</v>
      </c>
      <c r="E434" s="242">
        <v>46</v>
      </c>
      <c r="F434" s="242">
        <v>46</v>
      </c>
      <c r="G434" s="242">
        <v>46</v>
      </c>
      <c r="H434" s="242">
        <v>46</v>
      </c>
      <c r="I434" s="242">
        <v>46</v>
      </c>
      <c r="J434" s="242">
        <v>46</v>
      </c>
      <c r="K434" s="242">
        <v>46</v>
      </c>
      <c r="L434" s="242">
        <v>46</v>
      </c>
      <c r="M434" s="242">
        <v>46</v>
      </c>
      <c r="N434" s="242">
        <v>46</v>
      </c>
      <c r="O434" s="242">
        <v>46</v>
      </c>
      <c r="P434" s="241" t="s">
        <v>3352</v>
      </c>
      <c r="Q434" s="241" t="s">
        <v>3347</v>
      </c>
      <c r="R434" s="243" t="s">
        <v>4562</v>
      </c>
      <c r="S434" s="270">
        <f t="shared" si="15"/>
        <v>39345</v>
      </c>
      <c r="T434" s="270"/>
      <c r="U434" s="270">
        <f>IFERROR(VLOOKUP($A434,GeneratingCapabilityList!$E$7:$O$1673,11,FALSE),"ID Not Found")</f>
        <v>39345</v>
      </c>
      <c r="V434" s="271" t="str">
        <f>IFERROR(VLOOKUP($A434,GeneratingCapabilityList!$E$7:$O$1673,6,FALSE),"UNKNOWN")</f>
        <v>PEAKER</v>
      </c>
      <c r="W434" s="271">
        <f>IFERROR(VLOOKUP($A434,GeneratingCapabilityList!$E$7:$O$1673,3,FALSE),"ID Not Found")</f>
        <v>46</v>
      </c>
      <c r="Y434" s="270"/>
    </row>
    <row r="435" spans="1:25">
      <c r="A435" s="244" t="s">
        <v>755</v>
      </c>
      <c r="B435" s="245" t="s">
        <v>3327</v>
      </c>
      <c r="C435" s="245" t="s">
        <v>3612</v>
      </c>
      <c r="D435" s="281">
        <v>1.0218075268817204</v>
      </c>
      <c r="E435" s="281">
        <v>1.8693199999999999</v>
      </c>
      <c r="F435" s="281">
        <v>2.6998255913978491</v>
      </c>
      <c r="G435" s="281">
        <v>3.3157375555555553</v>
      </c>
      <c r="H435" s="281">
        <v>3.0368172043010748</v>
      </c>
      <c r="I435" s="281">
        <v>3.7216682222222217</v>
      </c>
      <c r="J435" s="281">
        <v>4.369326021505378</v>
      </c>
      <c r="K435" s="281">
        <v>4.0412464516129027</v>
      </c>
      <c r="L435" s="281">
        <v>3.6649937777777786</v>
      </c>
      <c r="M435" s="281">
        <v>2.6544303225806449</v>
      </c>
      <c r="N435" s="281">
        <v>2.0290509555555558</v>
      </c>
      <c r="O435" s="281">
        <v>1.2833812903225805</v>
      </c>
      <c r="P435" s="245" t="s">
        <v>3352</v>
      </c>
      <c r="Q435" s="245" t="s">
        <v>3347</v>
      </c>
      <c r="R435" s="246" t="s">
        <v>4561</v>
      </c>
      <c r="S435" s="270">
        <f t="shared" si="15"/>
        <v>29221</v>
      </c>
      <c r="T435" s="270"/>
      <c r="U435" s="270">
        <f>IFERROR(VLOOKUP($A435,GeneratingCapabilityList!$E$7:$O$1673,11,FALSE),"ID Not Found")</f>
        <v>29221</v>
      </c>
      <c r="V435" s="271" t="str">
        <f>IFERROR(VLOOKUP($A435,GeneratingCapabilityList!$E$7:$O$1673,6,FALSE),"UNKNOWN")</f>
        <v>HYDRO</v>
      </c>
      <c r="W435" s="271">
        <f>IFERROR(VLOOKUP($A435,GeneratingCapabilityList!$E$7:$O$1673,3,FALSE),"ID Not Found")</f>
        <v>5</v>
      </c>
      <c r="Y435" s="270"/>
    </row>
    <row r="436" spans="1:25">
      <c r="A436" s="241" t="s">
        <v>1491</v>
      </c>
      <c r="B436" s="241" t="s">
        <v>3324</v>
      </c>
      <c r="C436" s="241" t="s">
        <v>3613</v>
      </c>
      <c r="D436" s="242">
        <v>0.7</v>
      </c>
      <c r="E436" s="242">
        <v>0.67</v>
      </c>
      <c r="F436" s="242">
        <v>0.78</v>
      </c>
      <c r="G436" s="242">
        <v>0.16</v>
      </c>
      <c r="H436" s="242">
        <v>0.23</v>
      </c>
      <c r="I436" s="242">
        <v>0.2</v>
      </c>
      <c r="J436" s="242">
        <v>0.32</v>
      </c>
      <c r="K436" s="242">
        <v>0.31</v>
      </c>
      <c r="L436" s="242">
        <v>0.12</v>
      </c>
      <c r="M436" s="242">
        <v>7.0000000000000007E-2</v>
      </c>
      <c r="N436" s="242">
        <v>0.49</v>
      </c>
      <c r="O436" s="242">
        <v>0.51</v>
      </c>
      <c r="P436" s="241" t="s">
        <v>3345</v>
      </c>
      <c r="Q436" s="241" t="s">
        <v>3347</v>
      </c>
      <c r="R436" s="243" t="s">
        <v>4562</v>
      </c>
      <c r="S436" s="270">
        <f t="shared" si="15"/>
        <v>31778</v>
      </c>
      <c r="T436" s="270"/>
      <c r="U436" s="270">
        <f>IFERROR(VLOOKUP($A436,GeneratingCapabilityList!$E$7:$O$1673,11,FALSE),"ID Not Found")</f>
        <v>31778</v>
      </c>
      <c r="V436" s="271" t="str">
        <f>IFERROR(VLOOKUP($A436,GeneratingCapabilityList!$E$7:$O$1673,6,FALSE),"UNKNOWN")</f>
        <v>COGENERATION</v>
      </c>
      <c r="W436" s="271">
        <f>IFERROR(VLOOKUP($A436,GeneratingCapabilityList!$E$7:$O$1673,3,FALSE),"ID Not Found")</f>
        <v>13</v>
      </c>
      <c r="Y436" s="270"/>
    </row>
    <row r="437" spans="1:25">
      <c r="A437" s="241" t="s">
        <v>2092</v>
      </c>
      <c r="B437" s="241" t="s">
        <v>3370</v>
      </c>
      <c r="C437" s="241" t="s">
        <v>2093</v>
      </c>
      <c r="D437" s="242">
        <v>40.049999999999997</v>
      </c>
      <c r="E437" s="242">
        <v>40.590000000000003</v>
      </c>
      <c r="F437" s="242">
        <v>41.33</v>
      </c>
      <c r="G437" s="242">
        <v>33.630000000000003</v>
      </c>
      <c r="H437" s="242">
        <v>39.200000000000003</v>
      </c>
      <c r="I437" s="242">
        <v>40.049999999999997</v>
      </c>
      <c r="J437" s="242">
        <v>39.700000000000003</v>
      </c>
      <c r="K437" s="242">
        <v>36.97</v>
      </c>
      <c r="L437" s="242">
        <v>38.770000000000003</v>
      </c>
      <c r="M437" s="242">
        <v>39.07</v>
      </c>
      <c r="N437" s="242">
        <v>31.26</v>
      </c>
      <c r="O437" s="242">
        <v>33.39</v>
      </c>
      <c r="P437" s="241" t="s">
        <v>3345</v>
      </c>
      <c r="Q437" s="241" t="s">
        <v>3347</v>
      </c>
      <c r="R437" s="243" t="s">
        <v>4562</v>
      </c>
      <c r="S437" s="270">
        <f t="shared" si="15"/>
        <v>33527</v>
      </c>
      <c r="T437" s="270"/>
      <c r="U437" s="270">
        <f>IFERROR(VLOOKUP($A437,GeneratingCapabilityList!$E$7:$O$1673,11,FALSE),"ID Not Found")</f>
        <v>33527</v>
      </c>
      <c r="V437" s="271" t="str">
        <f>IFERROR(VLOOKUP($A437,GeneratingCapabilityList!$E$7:$O$1673,6,FALSE),"UNKNOWN")</f>
        <v>COGENERATION</v>
      </c>
      <c r="W437" s="271">
        <f>IFERROR(VLOOKUP($A437,GeneratingCapabilityList!$E$7:$O$1673,3,FALSE),"ID Not Found")</f>
        <v>57.9</v>
      </c>
      <c r="Y437" s="270"/>
    </row>
    <row r="438" spans="1:25">
      <c r="A438" s="241" t="s">
        <v>3275</v>
      </c>
      <c r="B438" s="241" t="s">
        <v>3324</v>
      </c>
      <c r="C438" s="241" t="s">
        <v>3275</v>
      </c>
      <c r="D438" s="242">
        <v>0.01</v>
      </c>
      <c r="E438" s="242">
        <v>0.02</v>
      </c>
      <c r="F438" s="242">
        <v>0.02</v>
      </c>
      <c r="G438" s="242">
        <v>0.02</v>
      </c>
      <c r="H438" s="242">
        <v>0</v>
      </c>
      <c r="I438" s="242">
        <v>0</v>
      </c>
      <c r="J438" s="242">
        <v>0</v>
      </c>
      <c r="K438" s="242">
        <v>0.01</v>
      </c>
      <c r="L438" s="242">
        <v>0</v>
      </c>
      <c r="M438" s="242">
        <v>0.01</v>
      </c>
      <c r="N438" s="242">
        <v>0.02</v>
      </c>
      <c r="O438" s="242">
        <v>0.02</v>
      </c>
      <c r="P438" s="241" t="s">
        <v>3345</v>
      </c>
      <c r="Q438" s="241" t="s">
        <v>3347</v>
      </c>
      <c r="R438" s="243" t="s">
        <v>4562</v>
      </c>
      <c r="S438" s="270">
        <f t="shared" si="15"/>
        <v>31707</v>
      </c>
      <c r="T438" s="270"/>
      <c r="U438" s="270">
        <f>IFERROR(VLOOKUP($A438,GeneratingCapabilityList!$E$7:$O$1673,11,FALSE),"ID Not Found")</f>
        <v>31707</v>
      </c>
      <c r="V438" s="271" t="str">
        <f>IFERROR(VLOOKUP($A438,GeneratingCapabilityList!$E$7:$O$1673,6,FALSE),"UNKNOWN")</f>
        <v>THERMAL</v>
      </c>
      <c r="W438" s="271">
        <f>IFERROR(VLOOKUP($A438,GeneratingCapabilityList!$E$7:$O$1673,3,FALSE),"ID Not Found")</f>
        <v>2.2999999999999998</v>
      </c>
      <c r="Y438" s="270"/>
    </row>
    <row r="439" spans="1:25">
      <c r="A439" s="241" t="s">
        <v>4489</v>
      </c>
      <c r="B439" s="241" t="s">
        <v>3328</v>
      </c>
      <c r="C439" s="241" t="s">
        <v>4490</v>
      </c>
      <c r="D439" s="242">
        <v>47.2</v>
      </c>
      <c r="E439" s="242">
        <v>47.2</v>
      </c>
      <c r="F439" s="242">
        <v>47.2</v>
      </c>
      <c r="G439" s="242">
        <v>47.2</v>
      </c>
      <c r="H439" s="242">
        <v>47.2</v>
      </c>
      <c r="I439" s="242">
        <v>47.2</v>
      </c>
      <c r="J439" s="242">
        <v>47.2</v>
      </c>
      <c r="K439" s="242">
        <v>47.2</v>
      </c>
      <c r="L439" s="242">
        <v>47.2</v>
      </c>
      <c r="M439" s="242">
        <v>47.2</v>
      </c>
      <c r="N439" s="242">
        <v>47.2</v>
      </c>
      <c r="O439" s="242">
        <v>47.2</v>
      </c>
      <c r="P439" s="241" t="s">
        <v>3352</v>
      </c>
      <c r="Q439" s="241" t="s">
        <v>3347</v>
      </c>
      <c r="R439" s="243" t="s">
        <v>4562</v>
      </c>
      <c r="S439" s="270">
        <f t="shared" si="15"/>
        <v>41214</v>
      </c>
      <c r="T439" s="270"/>
      <c r="U439" s="270">
        <f>IFERROR(VLOOKUP($A439,GeneratingCapabilityList!$E$7:$O$1673,11,FALSE),"ID Not Found")</f>
        <v>41214</v>
      </c>
      <c r="V439" s="271" t="str">
        <f>IFERROR(VLOOKUP($A439,GeneratingCapabilityList!$E$7:$O$1673,6,FALSE),"UNKNOWN")</f>
        <v>PEAKER</v>
      </c>
      <c r="W439" s="271">
        <f>IFERROR(VLOOKUP($A439,GeneratingCapabilityList!$E$7:$O$1673,3,FALSE),"ID Not Found")</f>
        <v>47.2</v>
      </c>
      <c r="Y439" s="270"/>
    </row>
    <row r="440" spans="1:25">
      <c r="A440" s="241" t="s">
        <v>424</v>
      </c>
      <c r="B440" s="241" t="s">
        <v>3328</v>
      </c>
      <c r="C440" s="241" t="s">
        <v>3614</v>
      </c>
      <c r="D440" s="242">
        <v>215</v>
      </c>
      <c r="E440" s="242">
        <v>215</v>
      </c>
      <c r="F440" s="242">
        <v>215</v>
      </c>
      <c r="G440" s="242">
        <v>215</v>
      </c>
      <c r="H440" s="242">
        <v>215</v>
      </c>
      <c r="I440" s="242">
        <v>215</v>
      </c>
      <c r="J440" s="242">
        <v>215</v>
      </c>
      <c r="K440" s="242">
        <v>215</v>
      </c>
      <c r="L440" s="242">
        <v>215</v>
      </c>
      <c r="M440" s="242">
        <v>215</v>
      </c>
      <c r="N440" s="242">
        <v>215</v>
      </c>
      <c r="O440" s="242">
        <v>215</v>
      </c>
      <c r="P440" s="241" t="s">
        <v>3352</v>
      </c>
      <c r="Q440" s="241" t="s">
        <v>3347</v>
      </c>
      <c r="R440" s="243" t="s">
        <v>4561</v>
      </c>
      <c r="S440" s="270">
        <f t="shared" si="15"/>
        <v>21551</v>
      </c>
      <c r="T440" s="270"/>
      <c r="U440" s="270">
        <f>IFERROR(VLOOKUP($A440,GeneratingCapabilityList!$E$7:$O$1673,11,FALSE),"ID Not Found")</f>
        <v>21551</v>
      </c>
      <c r="V440" s="271" t="str">
        <f>IFERROR(VLOOKUP($A440,GeneratingCapabilityList!$E$7:$O$1673,6,FALSE),"UNKNOWN")</f>
        <v>THERMAL</v>
      </c>
      <c r="W440" s="271">
        <f>IFERROR(VLOOKUP($A440,GeneratingCapabilityList!$E$7:$O$1673,3,FALSE),"ID Not Found")</f>
        <v>215</v>
      </c>
      <c r="X440" s="271" t="s">
        <v>12</v>
      </c>
      <c r="Y440" s="270">
        <v>44196</v>
      </c>
    </row>
    <row r="441" spans="1:25">
      <c r="A441" s="241" t="s">
        <v>427</v>
      </c>
      <c r="B441" s="241" t="s">
        <v>3328</v>
      </c>
      <c r="C441" s="241" t="s">
        <v>3615</v>
      </c>
      <c r="D441" s="242">
        <v>215.29</v>
      </c>
      <c r="E441" s="242">
        <v>215.29</v>
      </c>
      <c r="F441" s="242">
        <v>215.29</v>
      </c>
      <c r="G441" s="242">
        <v>215.29</v>
      </c>
      <c r="H441" s="242">
        <v>215.29</v>
      </c>
      <c r="I441" s="242">
        <v>215.29</v>
      </c>
      <c r="J441" s="242">
        <v>215.29</v>
      </c>
      <c r="K441" s="242">
        <v>215.29</v>
      </c>
      <c r="L441" s="242">
        <v>215.29</v>
      </c>
      <c r="M441" s="242">
        <v>215.29</v>
      </c>
      <c r="N441" s="242">
        <v>215.29</v>
      </c>
      <c r="O441" s="242">
        <v>215.29</v>
      </c>
      <c r="P441" s="241" t="s">
        <v>3352</v>
      </c>
      <c r="Q441" s="241" t="s">
        <v>3347</v>
      </c>
      <c r="R441" s="243" t="s">
        <v>4561</v>
      </c>
      <c r="S441" s="270">
        <f t="shared" si="15"/>
        <v>21551</v>
      </c>
      <c r="T441" s="270"/>
      <c r="U441" s="270">
        <f>IFERROR(VLOOKUP($A441,GeneratingCapabilityList!$E$7:$O$1673,11,FALSE),"ID Not Found")</f>
        <v>21551</v>
      </c>
      <c r="V441" s="271" t="str">
        <f>IFERROR(VLOOKUP($A441,GeneratingCapabilityList!$E$7:$O$1673,6,FALSE),"UNKNOWN")</f>
        <v>THERMAL</v>
      </c>
      <c r="W441" s="271">
        <f>IFERROR(VLOOKUP($A441,GeneratingCapabilityList!$E$7:$O$1673,3,FALSE),"ID Not Found")</f>
        <v>215.29</v>
      </c>
      <c r="X441" s="271" t="s">
        <v>12</v>
      </c>
      <c r="Y441" s="270">
        <v>44196</v>
      </c>
    </row>
    <row r="442" spans="1:25">
      <c r="A442" s="241" t="s">
        <v>3185</v>
      </c>
      <c r="B442" s="241" t="s">
        <v>3328</v>
      </c>
      <c r="C442" s="241" t="s">
        <v>3616</v>
      </c>
      <c r="D442" s="242">
        <v>130</v>
      </c>
      <c r="E442" s="242">
        <v>130</v>
      </c>
      <c r="F442" s="242">
        <v>130</v>
      </c>
      <c r="G442" s="242">
        <v>130</v>
      </c>
      <c r="H442" s="242">
        <v>130</v>
      </c>
      <c r="I442" s="242">
        <v>130</v>
      </c>
      <c r="J442" s="242">
        <v>130</v>
      </c>
      <c r="K442" s="242">
        <v>130</v>
      </c>
      <c r="L442" s="242">
        <v>130</v>
      </c>
      <c r="M442" s="242">
        <v>130</v>
      </c>
      <c r="N442" s="242">
        <v>130</v>
      </c>
      <c r="O442" s="242">
        <v>130</v>
      </c>
      <c r="P442" s="241" t="s">
        <v>3352</v>
      </c>
      <c r="Q442" s="241" t="s">
        <v>3347</v>
      </c>
      <c r="R442" s="243" t="s">
        <v>4561</v>
      </c>
      <c r="S442" s="270">
        <v>25569</v>
      </c>
      <c r="T442" s="270" t="s">
        <v>4252</v>
      </c>
      <c r="U442" s="270" t="str">
        <f>IFERROR(VLOOKUP($A442,GeneratingCapabilityList!$E$7:$O$1673,11,FALSE),"ID Not Found")</f>
        <v>UNK</v>
      </c>
      <c r="V442" s="271" t="str">
        <f>IFERROR(VLOOKUP($A442,GeneratingCapabilityList!$E$7:$O$1673,6,FALSE),"UNKNOWN")</f>
        <v>PEAKER</v>
      </c>
      <c r="W442" s="271">
        <f>IFERROR(VLOOKUP($A442,GeneratingCapabilityList!$E$7:$O$1673,3,FALSE),"ID Not Found")</f>
        <v>130</v>
      </c>
      <c r="X442" s="271" t="s">
        <v>12</v>
      </c>
      <c r="Y442" s="270">
        <v>44196</v>
      </c>
    </row>
    <row r="443" spans="1:25">
      <c r="A443" s="241" t="s">
        <v>1066</v>
      </c>
      <c r="B443" s="241" t="s">
        <v>3324</v>
      </c>
      <c r="C443" s="241" t="s">
        <v>1067</v>
      </c>
      <c r="D443" s="242">
        <v>2.1800000000000002</v>
      </c>
      <c r="E443" s="242">
        <v>2.2000000000000002</v>
      </c>
      <c r="F443" s="242">
        <v>2.14</v>
      </c>
      <c r="G443" s="242">
        <v>2.11</v>
      </c>
      <c r="H443" s="242">
        <v>2.1800000000000002</v>
      </c>
      <c r="I443" s="242">
        <v>1.89</v>
      </c>
      <c r="J443" s="242">
        <v>1.51</v>
      </c>
      <c r="K443" s="242">
        <v>1.34</v>
      </c>
      <c r="L443" s="242">
        <v>1.32</v>
      </c>
      <c r="M443" s="242">
        <v>1.36</v>
      </c>
      <c r="N443" s="242">
        <v>1.37</v>
      </c>
      <c r="O443" s="242">
        <v>1.33</v>
      </c>
      <c r="P443" s="241" t="s">
        <v>3345</v>
      </c>
      <c r="Q443" s="241" t="s">
        <v>3347</v>
      </c>
      <c r="R443" s="243" t="s">
        <v>4562</v>
      </c>
      <c r="S443" s="270">
        <f t="shared" ref="S443:S474" si="16">U443</f>
        <v>30897</v>
      </c>
      <c r="T443" s="270"/>
      <c r="U443" s="270">
        <f>IFERROR(VLOOKUP($A443,GeneratingCapabilityList!$E$7:$O$1673,11,FALSE),"ID Not Found")</f>
        <v>30897</v>
      </c>
      <c r="V443" s="271" t="str">
        <f>IFERROR(VLOOKUP($A443,GeneratingCapabilityList!$E$7:$O$1673,6,FALSE),"UNKNOWN")</f>
        <v>BIOMASS</v>
      </c>
      <c r="W443" s="271">
        <f>IFERROR(VLOOKUP($A443,GeneratingCapabilityList!$E$7:$O$1673,3,FALSE),"ID Not Found")</f>
        <v>4.8</v>
      </c>
      <c r="Y443" s="270"/>
    </row>
    <row r="444" spans="1:25">
      <c r="A444" s="244" t="s">
        <v>2202</v>
      </c>
      <c r="B444" s="245" t="s">
        <v>3327</v>
      </c>
      <c r="C444" s="245" t="s">
        <v>3617</v>
      </c>
      <c r="D444" s="281">
        <v>5.8345610215053769</v>
      </c>
      <c r="E444" s="281">
        <v>3.6782381269841253</v>
      </c>
      <c r="F444" s="281">
        <v>5.1833911827956989</v>
      </c>
      <c r="G444" s="281">
        <v>5.2742455705314004</v>
      </c>
      <c r="H444" s="281">
        <v>8.0968126451612914</v>
      </c>
      <c r="I444" s="281">
        <v>9.0362094222222193</v>
      </c>
      <c r="J444" s="281">
        <v>10.31431268817204</v>
      </c>
      <c r="K444" s="281">
        <v>10.623588698553958</v>
      </c>
      <c r="L444" s="281">
        <v>10.721815931142411</v>
      </c>
      <c r="M444" s="281">
        <v>9.2976446451612915</v>
      </c>
      <c r="N444" s="281">
        <v>9.4336119000000007</v>
      </c>
      <c r="O444" s="281">
        <v>7.2232496774193571</v>
      </c>
      <c r="P444" s="245" t="s">
        <v>3352</v>
      </c>
      <c r="Q444" s="245" t="s">
        <v>3347</v>
      </c>
      <c r="R444" s="246" t="s">
        <v>4561</v>
      </c>
      <c r="S444" s="270">
        <f t="shared" si="16"/>
        <v>35065</v>
      </c>
      <c r="T444" s="270"/>
      <c r="U444" s="270">
        <f>IFERROR(VLOOKUP($A444,GeneratingCapabilityList!$E$7:$O$1673,11,FALSE),"ID Not Found")</f>
        <v>35065</v>
      </c>
      <c r="V444" s="271" t="str">
        <f>IFERROR(VLOOKUP($A444,GeneratingCapabilityList!$E$7:$O$1673,6,FALSE),"UNKNOWN")</f>
        <v>HYDRO</v>
      </c>
      <c r="W444" s="271">
        <f>IFERROR(VLOOKUP($A444,GeneratingCapabilityList!$E$7:$O$1673,3,FALSE),"ID Not Found")</f>
        <v>14</v>
      </c>
      <c r="Y444" s="270"/>
    </row>
    <row r="445" spans="1:25">
      <c r="A445" s="241" t="s">
        <v>45</v>
      </c>
      <c r="B445" s="241" t="s">
        <v>3328</v>
      </c>
      <c r="C445" s="241" t="s">
        <v>3618</v>
      </c>
      <c r="D445" s="242">
        <v>4.3099999999999996</v>
      </c>
      <c r="E445" s="242">
        <v>4.6399999999999997</v>
      </c>
      <c r="F445" s="242">
        <v>6.61</v>
      </c>
      <c r="G445" s="242">
        <v>8.57</v>
      </c>
      <c r="H445" s="242">
        <v>8.42</v>
      </c>
      <c r="I445" s="242">
        <v>9.5399999999999991</v>
      </c>
      <c r="J445" s="242">
        <v>9.15</v>
      </c>
      <c r="K445" s="242">
        <v>7.99</v>
      </c>
      <c r="L445" s="242">
        <v>9.6300000000000008</v>
      </c>
      <c r="M445" s="242">
        <v>7.64</v>
      </c>
      <c r="N445" s="242">
        <v>5.18</v>
      </c>
      <c r="O445" s="242">
        <v>2.86</v>
      </c>
      <c r="P445" s="241" t="s">
        <v>3352</v>
      </c>
      <c r="Q445" s="241" t="s">
        <v>3347</v>
      </c>
      <c r="R445" s="243" t="s">
        <v>4562</v>
      </c>
      <c r="S445" s="270">
        <f t="shared" si="16"/>
        <v>1462</v>
      </c>
      <c r="T445" s="270"/>
      <c r="U445" s="270">
        <f>IFERROR(VLOOKUP($A445,GeneratingCapabilityList!$E$7:$O$1673,11,FALSE),"ID Not Found")</f>
        <v>1462</v>
      </c>
      <c r="V445" s="271" t="str">
        <f>IFERROR(VLOOKUP($A445,GeneratingCapabilityList!$E$7:$O$1673,6,FALSE),"UNKNOWN")</f>
        <v>HYDRO</v>
      </c>
      <c r="W445" s="271">
        <f>IFERROR(VLOOKUP($A445,GeneratingCapabilityList!$E$7:$O$1673,3,FALSE),"ID Not Found")</f>
        <v>11</v>
      </c>
      <c r="Y445" s="270"/>
    </row>
    <row r="446" spans="1:25">
      <c r="A446" s="241" t="s">
        <v>676</v>
      </c>
      <c r="B446" s="241" t="s">
        <v>3346</v>
      </c>
      <c r="C446" s="241" t="s">
        <v>3619</v>
      </c>
      <c r="D446" s="242">
        <v>0.77</v>
      </c>
      <c r="E446" s="242">
        <v>0.08</v>
      </c>
      <c r="F446" s="242">
        <v>1.74</v>
      </c>
      <c r="G446" s="242">
        <v>3.31</v>
      </c>
      <c r="H446" s="242">
        <v>7.42</v>
      </c>
      <c r="I446" s="242">
        <v>9.73</v>
      </c>
      <c r="J446" s="242">
        <v>10.51</v>
      </c>
      <c r="K446" s="242">
        <v>8.85</v>
      </c>
      <c r="L446" s="242">
        <v>5.94</v>
      </c>
      <c r="M446" s="242">
        <v>2.46</v>
      </c>
      <c r="N446" s="242">
        <v>0.85</v>
      </c>
      <c r="O446" s="242">
        <v>1.1399999999999999</v>
      </c>
      <c r="P446" s="241" t="s">
        <v>3345</v>
      </c>
      <c r="Q446" s="241" t="s">
        <v>3347</v>
      </c>
      <c r="R446" s="243" t="s">
        <v>4561</v>
      </c>
      <c r="S446" s="270">
        <f t="shared" si="16"/>
        <v>27030</v>
      </c>
      <c r="T446" s="270"/>
      <c r="U446" s="270">
        <f>IFERROR(VLOOKUP($A446,GeneratingCapabilityList!$E$7:$O$1673,11,FALSE),"ID Not Found")</f>
        <v>27030</v>
      </c>
      <c r="V446" s="271" t="str">
        <f>IFERROR(VLOOKUP($A446,GeneratingCapabilityList!$E$7:$O$1673,6,FALSE),"UNKNOWN")</f>
        <v>HYDRO</v>
      </c>
      <c r="W446" s="271">
        <f>IFERROR(VLOOKUP($A446,GeneratingCapabilityList!$E$7:$O$1673,3,FALSE),"ID Not Found")</f>
        <v>12.5</v>
      </c>
      <c r="Y446" s="270"/>
    </row>
    <row r="447" spans="1:25">
      <c r="A447" s="241" t="s">
        <v>2949</v>
      </c>
      <c r="B447" s="241" t="s">
        <v>3328</v>
      </c>
      <c r="C447" s="241" t="s">
        <v>2950</v>
      </c>
      <c r="D447" s="242">
        <v>6.96</v>
      </c>
      <c r="E447" s="242">
        <v>6.96</v>
      </c>
      <c r="F447" s="242">
        <v>6.96</v>
      </c>
      <c r="G447" s="242">
        <v>6.96</v>
      </c>
      <c r="H447" s="242">
        <v>6.96</v>
      </c>
      <c r="I447" s="242">
        <v>6.96</v>
      </c>
      <c r="J447" s="242">
        <v>6.96</v>
      </c>
      <c r="K447" s="242">
        <v>6.96</v>
      </c>
      <c r="L447" s="242">
        <v>6.96</v>
      </c>
      <c r="M447" s="242">
        <v>6.96</v>
      </c>
      <c r="N447" s="242">
        <v>6.96</v>
      </c>
      <c r="O447" s="242">
        <v>6.96</v>
      </c>
      <c r="P447" s="241" t="s">
        <v>3352</v>
      </c>
      <c r="Q447" s="241" t="s">
        <v>3347</v>
      </c>
      <c r="R447" s="243" t="s">
        <v>4562</v>
      </c>
      <c r="S447" s="270">
        <f t="shared" si="16"/>
        <v>40441</v>
      </c>
      <c r="T447" s="270"/>
      <c r="U447" s="270">
        <f>IFERROR(VLOOKUP($A447,GeneratingCapabilityList!$E$7:$O$1673,11,FALSE),"ID Not Found")</f>
        <v>40441</v>
      </c>
      <c r="V447" s="271" t="str">
        <f>IFERROR(VLOOKUP($A447,GeneratingCapabilityList!$E$7:$O$1673,6,FALSE),"UNKNOWN")</f>
        <v>BIOMASS</v>
      </c>
      <c r="W447" s="271">
        <f>IFERROR(VLOOKUP($A447,GeneratingCapabilityList!$E$7:$O$1673,3,FALSE),"ID Not Found")</f>
        <v>6.96</v>
      </c>
      <c r="Y447" s="270"/>
    </row>
    <row r="448" spans="1:25">
      <c r="A448" s="241" t="s">
        <v>697</v>
      </c>
      <c r="B448" s="241" t="s">
        <v>3328</v>
      </c>
      <c r="C448" s="241" t="s">
        <v>3620</v>
      </c>
      <c r="D448" s="242">
        <v>26.84</v>
      </c>
      <c r="E448" s="242">
        <v>26.91</v>
      </c>
      <c r="F448" s="242">
        <v>25.54</v>
      </c>
      <c r="G448" s="242">
        <v>24.56</v>
      </c>
      <c r="H448" s="242">
        <v>24.42</v>
      </c>
      <c r="I448" s="242">
        <v>26.13</v>
      </c>
      <c r="J448" s="242">
        <v>26.72</v>
      </c>
      <c r="K448" s="242">
        <v>26.56</v>
      </c>
      <c r="L448" s="242">
        <v>26.6</v>
      </c>
      <c r="M448" s="242">
        <v>23.11</v>
      </c>
      <c r="N448" s="242">
        <v>26.45</v>
      </c>
      <c r="O448" s="242">
        <v>25.51</v>
      </c>
      <c r="P448" s="241" t="s">
        <v>3352</v>
      </c>
      <c r="Q448" s="241" t="s">
        <v>3347</v>
      </c>
      <c r="R448" s="243" t="s">
        <v>4562</v>
      </c>
      <c r="S448" s="270">
        <f t="shared" si="16"/>
        <v>27760</v>
      </c>
      <c r="T448" s="270"/>
      <c r="U448" s="270">
        <f>IFERROR(VLOOKUP($A448,GeneratingCapabilityList!$E$7:$O$1673,11,FALSE),"ID Not Found")</f>
        <v>27760</v>
      </c>
      <c r="V448" s="271" t="str">
        <f>IFERROR(VLOOKUP($A448,GeneratingCapabilityList!$E$7:$O$1673,6,FALSE),"UNKNOWN")</f>
        <v>VARIOUS</v>
      </c>
      <c r="W448" s="271">
        <f>IFERROR(VLOOKUP($A448,GeneratingCapabilityList!$E$7:$O$1673,3,FALSE),"ID Not Found")</f>
        <v>35.799999999999997</v>
      </c>
      <c r="Y448" s="270"/>
    </row>
    <row r="449" spans="1:25">
      <c r="A449" s="241" t="s">
        <v>2681</v>
      </c>
      <c r="B449" s="241" t="s">
        <v>3328</v>
      </c>
      <c r="C449" s="241" t="s">
        <v>3621</v>
      </c>
      <c r="D449" s="242">
        <v>1.75</v>
      </c>
      <c r="E449" s="242">
        <v>2.04</v>
      </c>
      <c r="F449" s="242">
        <v>1.98</v>
      </c>
      <c r="G449" s="242">
        <v>1.86</v>
      </c>
      <c r="H449" s="242">
        <v>1.88</v>
      </c>
      <c r="I449" s="242">
        <v>1.48</v>
      </c>
      <c r="J449" s="242">
        <v>1.93</v>
      </c>
      <c r="K449" s="242">
        <v>2.0299999999999998</v>
      </c>
      <c r="L449" s="242">
        <v>1.48</v>
      </c>
      <c r="M449" s="242">
        <v>1.53</v>
      </c>
      <c r="N449" s="242">
        <v>1.91</v>
      </c>
      <c r="O449" s="242">
        <v>2.0499999999999998</v>
      </c>
      <c r="P449" s="241" t="s">
        <v>3352</v>
      </c>
      <c r="Q449" s="241" t="s">
        <v>3347</v>
      </c>
      <c r="R449" s="243" t="s">
        <v>4561</v>
      </c>
      <c r="S449" s="270">
        <f t="shared" si="16"/>
        <v>38109</v>
      </c>
      <c r="T449" s="270"/>
      <c r="U449" s="270">
        <f>IFERROR(VLOOKUP($A449,GeneratingCapabilityList!$E$7:$O$1673,11,FALSE),"ID Not Found")</f>
        <v>38109</v>
      </c>
      <c r="V449" s="271" t="str">
        <f>IFERROR(VLOOKUP($A449,GeneratingCapabilityList!$E$7:$O$1673,6,FALSE),"UNKNOWN")</f>
        <v>BIOMASS</v>
      </c>
      <c r="W449" s="271">
        <f>IFERROR(VLOOKUP($A449,GeneratingCapabilityList!$E$7:$O$1673,3,FALSE),"ID Not Found")</f>
        <v>2.4900000000000002</v>
      </c>
      <c r="Y449" s="270"/>
    </row>
    <row r="450" spans="1:25">
      <c r="A450" s="241" t="s">
        <v>452</v>
      </c>
      <c r="B450" s="241" t="s">
        <v>3361</v>
      </c>
      <c r="C450" s="241" t="s">
        <v>3622</v>
      </c>
      <c r="D450" s="242">
        <v>325</v>
      </c>
      <c r="E450" s="242">
        <v>325</v>
      </c>
      <c r="F450" s="242">
        <v>325</v>
      </c>
      <c r="G450" s="242">
        <v>325</v>
      </c>
      <c r="H450" s="242">
        <v>325</v>
      </c>
      <c r="I450" s="242">
        <v>325</v>
      </c>
      <c r="J450" s="242">
        <v>325</v>
      </c>
      <c r="K450" s="242">
        <v>325</v>
      </c>
      <c r="L450" s="242">
        <v>325</v>
      </c>
      <c r="M450" s="242">
        <v>325</v>
      </c>
      <c r="N450" s="242">
        <v>325</v>
      </c>
      <c r="O450" s="242">
        <v>325</v>
      </c>
      <c r="P450" s="241" t="s">
        <v>3345</v>
      </c>
      <c r="Q450" s="241" t="s">
        <v>3347</v>
      </c>
      <c r="R450" s="243" t="s">
        <v>4561</v>
      </c>
      <c r="S450" s="270">
        <f t="shared" si="16"/>
        <v>22981</v>
      </c>
      <c r="T450" s="270"/>
      <c r="U450" s="270">
        <f>IFERROR(VLOOKUP($A450,GeneratingCapabilityList!$E$7:$O$1673,11,FALSE),"ID Not Found")</f>
        <v>22981</v>
      </c>
      <c r="V450" s="271" t="str">
        <f>IFERROR(VLOOKUP($A450,GeneratingCapabilityList!$E$7:$O$1673,6,FALSE),"UNKNOWN")</f>
        <v>THERMAL</v>
      </c>
      <c r="W450" s="271">
        <f>IFERROR(VLOOKUP($A450,GeneratingCapabilityList!$E$7:$O$1673,3,FALSE),"ID Not Found")</f>
        <v>325</v>
      </c>
      <c r="X450" s="271" t="s">
        <v>12</v>
      </c>
      <c r="Y450" s="270">
        <v>41675</v>
      </c>
    </row>
    <row r="451" spans="1:25">
      <c r="A451" s="241" t="s">
        <v>464</v>
      </c>
      <c r="B451" s="241" t="s">
        <v>3361</v>
      </c>
      <c r="C451" s="241" t="s">
        <v>3623</v>
      </c>
      <c r="D451" s="242">
        <v>325</v>
      </c>
      <c r="E451" s="242">
        <v>325</v>
      </c>
      <c r="F451" s="242">
        <v>325</v>
      </c>
      <c r="G451" s="242">
        <v>325</v>
      </c>
      <c r="H451" s="242">
        <v>325</v>
      </c>
      <c r="I451" s="242">
        <v>325</v>
      </c>
      <c r="J451" s="242">
        <v>325</v>
      </c>
      <c r="K451" s="242">
        <v>325</v>
      </c>
      <c r="L451" s="242">
        <v>325</v>
      </c>
      <c r="M451" s="242">
        <v>325</v>
      </c>
      <c r="N451" s="242">
        <v>325</v>
      </c>
      <c r="O451" s="242">
        <v>325</v>
      </c>
      <c r="P451" s="241" t="s">
        <v>3345</v>
      </c>
      <c r="Q451" s="241" t="s">
        <v>3347</v>
      </c>
      <c r="R451" s="243" t="s">
        <v>4561</v>
      </c>
      <c r="S451" s="270">
        <f t="shared" si="16"/>
        <v>23012</v>
      </c>
      <c r="T451" s="270"/>
      <c r="U451" s="270">
        <f>IFERROR(VLOOKUP($A451,GeneratingCapabilityList!$E$7:$O$1673,11,FALSE),"ID Not Found")</f>
        <v>23012</v>
      </c>
      <c r="V451" s="271" t="str">
        <f>IFERROR(VLOOKUP($A451,GeneratingCapabilityList!$E$7:$O$1673,6,FALSE),"UNKNOWN")</f>
        <v>THERMAL</v>
      </c>
      <c r="W451" s="271">
        <f>IFERROR(VLOOKUP($A451,GeneratingCapabilityList!$E$7:$O$1673,3,FALSE),"ID Not Found")</f>
        <v>325</v>
      </c>
      <c r="X451" s="271" t="s">
        <v>12</v>
      </c>
      <c r="Y451" s="270">
        <v>41675</v>
      </c>
    </row>
    <row r="452" spans="1:25">
      <c r="A452" s="241" t="s">
        <v>1167</v>
      </c>
      <c r="B452" s="241" t="s">
        <v>3361</v>
      </c>
      <c r="C452" s="241" t="s">
        <v>3624</v>
      </c>
      <c r="D452" s="242">
        <v>0.03</v>
      </c>
      <c r="E452" s="242">
        <v>0.05</v>
      </c>
      <c r="F452" s="242">
        <v>0.03</v>
      </c>
      <c r="G452" s="242">
        <v>0.03</v>
      </c>
      <c r="H452" s="242">
        <v>0.02</v>
      </c>
      <c r="I452" s="242">
        <v>0</v>
      </c>
      <c r="J452" s="242">
        <v>0</v>
      </c>
      <c r="K452" s="242">
        <v>0</v>
      </c>
      <c r="L452" s="242">
        <v>0</v>
      </c>
      <c r="M452" s="242">
        <v>0</v>
      </c>
      <c r="N452" s="242">
        <v>0</v>
      </c>
      <c r="O452" s="242">
        <v>0</v>
      </c>
      <c r="P452" s="241" t="s">
        <v>3345</v>
      </c>
      <c r="Q452" s="241" t="s">
        <v>3347</v>
      </c>
      <c r="R452" s="243" t="s">
        <v>4562</v>
      </c>
      <c r="S452" s="270">
        <f t="shared" si="16"/>
        <v>31048</v>
      </c>
      <c r="T452" s="270"/>
      <c r="U452" s="270">
        <f>IFERROR(VLOOKUP($A452,GeneratingCapabilityList!$E$7:$O$1673,11,FALSE),"ID Not Found")</f>
        <v>31048</v>
      </c>
      <c r="V452" s="271" t="str">
        <f>IFERROR(VLOOKUP($A452,GeneratingCapabilityList!$E$7:$O$1673,6,FALSE),"UNKNOWN")</f>
        <v>BIOMASS</v>
      </c>
      <c r="W452" s="271">
        <f>IFERROR(VLOOKUP($A452,GeneratingCapabilityList!$E$7:$O$1673,3,FALSE),"ID Not Found")</f>
        <v>1</v>
      </c>
      <c r="Y452" s="270"/>
    </row>
    <row r="453" spans="1:25">
      <c r="A453" s="241" t="s">
        <v>2529</v>
      </c>
      <c r="B453" s="241" t="s">
        <v>3361</v>
      </c>
      <c r="C453" s="241" t="s">
        <v>3625</v>
      </c>
      <c r="D453" s="242">
        <v>510</v>
      </c>
      <c r="E453" s="242">
        <v>510</v>
      </c>
      <c r="F453" s="242">
        <v>510</v>
      </c>
      <c r="G453" s="242">
        <v>510</v>
      </c>
      <c r="H453" s="242">
        <v>510</v>
      </c>
      <c r="I453" s="242">
        <v>510</v>
      </c>
      <c r="J453" s="242">
        <v>510</v>
      </c>
      <c r="K453" s="242">
        <v>510</v>
      </c>
      <c r="L453" s="242">
        <v>510</v>
      </c>
      <c r="M453" s="242">
        <v>510</v>
      </c>
      <c r="N453" s="242">
        <v>510</v>
      </c>
      <c r="O453" s="242">
        <v>510</v>
      </c>
      <c r="P453" s="241" t="s">
        <v>3345</v>
      </c>
      <c r="Q453" s="241" t="s">
        <v>3347</v>
      </c>
      <c r="R453" s="243" t="s">
        <v>4561</v>
      </c>
      <c r="S453" s="270">
        <f t="shared" si="16"/>
        <v>37438</v>
      </c>
      <c r="T453" s="270"/>
      <c r="U453" s="270">
        <f>IFERROR(VLOOKUP($A453,GeneratingCapabilityList!$E$7:$O$1673,11,FALSE),"ID Not Found")</f>
        <v>37438</v>
      </c>
      <c r="V453" s="271" t="str">
        <f>IFERROR(VLOOKUP($A453,GeneratingCapabilityList!$E$7:$O$1673,6,FALSE),"UNKNOWN")</f>
        <v>THERMAL</v>
      </c>
      <c r="W453" s="271">
        <f>IFERROR(VLOOKUP($A453,GeneratingCapabilityList!$E$7:$O$1673,3,FALSE),"ID Not Found")</f>
        <v>510</v>
      </c>
      <c r="X453" s="271" t="s">
        <v>12</v>
      </c>
      <c r="Y453" s="270">
        <v>43100</v>
      </c>
    </row>
    <row r="454" spans="1:25">
      <c r="A454" s="241" t="s">
        <v>2537</v>
      </c>
      <c r="B454" s="241" t="s">
        <v>3361</v>
      </c>
      <c r="C454" s="241" t="s">
        <v>3626</v>
      </c>
      <c r="D454" s="242">
        <v>510</v>
      </c>
      <c r="E454" s="242">
        <v>510</v>
      </c>
      <c r="F454" s="242">
        <v>510</v>
      </c>
      <c r="G454" s="242">
        <v>510</v>
      </c>
      <c r="H454" s="242">
        <v>510</v>
      </c>
      <c r="I454" s="242">
        <v>510</v>
      </c>
      <c r="J454" s="242">
        <v>510</v>
      </c>
      <c r="K454" s="242">
        <v>510</v>
      </c>
      <c r="L454" s="242">
        <v>510</v>
      </c>
      <c r="M454" s="242">
        <v>510</v>
      </c>
      <c r="N454" s="242">
        <v>510</v>
      </c>
      <c r="O454" s="242">
        <v>510</v>
      </c>
      <c r="P454" s="241" t="s">
        <v>3345</v>
      </c>
      <c r="Q454" s="241" t="s">
        <v>3347</v>
      </c>
      <c r="R454" s="243" t="s">
        <v>4561</v>
      </c>
      <c r="S454" s="270">
        <f t="shared" si="16"/>
        <v>37448</v>
      </c>
      <c r="T454" s="270"/>
      <c r="U454" s="270">
        <f>IFERROR(VLOOKUP($A454,GeneratingCapabilityList!$E$7:$O$1673,11,FALSE),"ID Not Found")</f>
        <v>37448</v>
      </c>
      <c r="V454" s="271" t="str">
        <f>IFERROR(VLOOKUP($A454,GeneratingCapabilityList!$E$7:$O$1673,6,FALSE),"UNKNOWN")</f>
        <v>THERMAL</v>
      </c>
      <c r="W454" s="271">
        <f>IFERROR(VLOOKUP($A454,GeneratingCapabilityList!$E$7:$O$1673,3,FALSE),"ID Not Found")</f>
        <v>510</v>
      </c>
      <c r="X454" s="271" t="s">
        <v>12</v>
      </c>
      <c r="Y454" s="270">
        <v>43100</v>
      </c>
    </row>
    <row r="455" spans="1:25">
      <c r="A455" s="241" t="s">
        <v>532</v>
      </c>
      <c r="B455" s="241" t="s">
        <v>3361</v>
      </c>
      <c r="C455" s="241" t="s">
        <v>3627</v>
      </c>
      <c r="D455" s="242">
        <v>754.33</v>
      </c>
      <c r="E455" s="242">
        <v>754.33</v>
      </c>
      <c r="F455" s="242">
        <v>754.33</v>
      </c>
      <c r="G455" s="242">
        <v>754.33</v>
      </c>
      <c r="H455" s="242">
        <v>754.33</v>
      </c>
      <c r="I455" s="242">
        <v>754.33</v>
      </c>
      <c r="J455" s="242">
        <v>754.33</v>
      </c>
      <c r="K455" s="242">
        <v>754.33</v>
      </c>
      <c r="L455" s="242">
        <v>754.33</v>
      </c>
      <c r="M455" s="242">
        <v>754.33</v>
      </c>
      <c r="N455" s="242">
        <v>754.33</v>
      </c>
      <c r="O455" s="242">
        <v>754.33</v>
      </c>
      <c r="P455" s="241" t="s">
        <v>3345</v>
      </c>
      <c r="Q455" s="241" t="s">
        <v>3347</v>
      </c>
      <c r="R455" s="243" t="s">
        <v>4561</v>
      </c>
      <c r="S455" s="270">
        <f t="shared" si="16"/>
        <v>24473</v>
      </c>
      <c r="T455" s="270"/>
      <c r="U455" s="270">
        <f>IFERROR(VLOOKUP($A455,GeneratingCapabilityList!$E$7:$O$1673,11,FALSE),"ID Not Found")</f>
        <v>24473</v>
      </c>
      <c r="V455" s="271" t="str">
        <f>IFERROR(VLOOKUP($A455,GeneratingCapabilityList!$E$7:$O$1673,6,FALSE),"UNKNOWN")</f>
        <v>THERMAL</v>
      </c>
      <c r="W455" s="271">
        <f>IFERROR(VLOOKUP($A455,GeneratingCapabilityList!$E$7:$O$1673,3,FALSE),"ID Not Found")</f>
        <v>754.33</v>
      </c>
      <c r="X455" s="271" t="s">
        <v>12</v>
      </c>
      <c r="Y455" s="270">
        <v>43100</v>
      </c>
    </row>
    <row r="456" spans="1:25">
      <c r="A456" s="241" t="s">
        <v>605</v>
      </c>
      <c r="B456" s="241" t="s">
        <v>3361</v>
      </c>
      <c r="C456" s="241" t="s">
        <v>3628</v>
      </c>
      <c r="D456" s="242">
        <v>755.7</v>
      </c>
      <c r="E456" s="242">
        <v>755.7</v>
      </c>
      <c r="F456" s="242">
        <v>755.7</v>
      </c>
      <c r="G456" s="242">
        <v>755.7</v>
      </c>
      <c r="H456" s="242">
        <v>755.7</v>
      </c>
      <c r="I456" s="242">
        <v>755.7</v>
      </c>
      <c r="J456" s="242">
        <v>755.7</v>
      </c>
      <c r="K456" s="242">
        <v>755.7</v>
      </c>
      <c r="L456" s="242">
        <v>755.7</v>
      </c>
      <c r="M456" s="242">
        <v>755.7</v>
      </c>
      <c r="N456" s="242">
        <v>755.7</v>
      </c>
      <c r="O456" s="242">
        <v>755.7</v>
      </c>
      <c r="P456" s="241" t="s">
        <v>3345</v>
      </c>
      <c r="Q456" s="241" t="s">
        <v>3347</v>
      </c>
      <c r="R456" s="243" t="s">
        <v>4561</v>
      </c>
      <c r="S456" s="270">
        <f t="shared" si="16"/>
        <v>24838</v>
      </c>
      <c r="T456" s="270"/>
      <c r="U456" s="270">
        <f>IFERROR(VLOOKUP($A456,GeneratingCapabilityList!$E$7:$O$1673,11,FALSE),"ID Not Found")</f>
        <v>24838</v>
      </c>
      <c r="V456" s="271" t="str">
        <f>IFERROR(VLOOKUP($A456,GeneratingCapabilityList!$E$7:$O$1673,6,FALSE),"UNKNOWN")</f>
        <v>THERMAL</v>
      </c>
      <c r="W456" s="271">
        <f>IFERROR(VLOOKUP($A456,GeneratingCapabilityList!$E$7:$O$1673,3,FALSE),"ID Not Found")</f>
        <v>755.7</v>
      </c>
      <c r="X456" s="271" t="s">
        <v>12</v>
      </c>
      <c r="Y456" s="270">
        <v>43100</v>
      </c>
    </row>
    <row r="457" spans="1:25">
      <c r="A457" s="241" t="s">
        <v>4445</v>
      </c>
      <c r="B457" s="241" t="s">
        <v>3361</v>
      </c>
      <c r="C457" s="241" t="s">
        <v>4446</v>
      </c>
      <c r="D457" s="242">
        <v>419.25</v>
      </c>
      <c r="E457" s="242">
        <v>419.25</v>
      </c>
      <c r="F457" s="242">
        <v>419.25</v>
      </c>
      <c r="G457" s="242">
        <v>419.25</v>
      </c>
      <c r="H457" s="242">
        <v>419.25</v>
      </c>
      <c r="I457" s="242">
        <v>419.25</v>
      </c>
      <c r="J457" s="242">
        <v>419.25</v>
      </c>
      <c r="K457" s="242">
        <v>419.25</v>
      </c>
      <c r="L457" s="242">
        <v>419.25</v>
      </c>
      <c r="M457" s="242">
        <v>419.25</v>
      </c>
      <c r="N457" s="242">
        <v>419.25</v>
      </c>
      <c r="O457" s="242">
        <v>419.25</v>
      </c>
      <c r="P457" s="241" t="s">
        <v>3352</v>
      </c>
      <c r="Q457" s="241" t="s">
        <v>3629</v>
      </c>
      <c r="R457" s="243" t="s">
        <v>4561</v>
      </c>
      <c r="S457" s="270">
        <f t="shared" si="16"/>
        <v>41078</v>
      </c>
      <c r="T457" s="270"/>
      <c r="U457" s="270">
        <f>IFERROR(VLOOKUP($A457,GeneratingCapabilityList!$E$7:$O$1673,11,FALSE),"ID Not Found")</f>
        <v>41078</v>
      </c>
      <c r="V457" s="271" t="str">
        <f>IFERROR(VLOOKUP($A457,GeneratingCapabilityList!$E$7:$O$1673,6,FALSE),"UNKNOWN")</f>
        <v>THERMAL</v>
      </c>
      <c r="W457" s="271">
        <f>IFERROR(VLOOKUP($A457,GeneratingCapabilityList!$E$7:$O$1673,3,FALSE),"ID Not Found")</f>
        <v>494.58</v>
      </c>
      <c r="Y457" s="270"/>
    </row>
    <row r="458" spans="1:25">
      <c r="A458" s="241" t="s">
        <v>2909</v>
      </c>
      <c r="B458" s="241" t="s">
        <v>4579</v>
      </c>
      <c r="C458" s="241" t="s">
        <v>2910</v>
      </c>
      <c r="D458" s="242">
        <v>47.9</v>
      </c>
      <c r="E458" s="242">
        <v>47.9</v>
      </c>
      <c r="F458" s="242">
        <v>47.9</v>
      </c>
      <c r="G458" s="242">
        <v>47.9</v>
      </c>
      <c r="H458" s="242">
        <v>47.9</v>
      </c>
      <c r="I458" s="242">
        <v>47.9</v>
      </c>
      <c r="J458" s="242">
        <v>47.9</v>
      </c>
      <c r="K458" s="242">
        <v>47.9</v>
      </c>
      <c r="L458" s="242">
        <v>47.9</v>
      </c>
      <c r="M458" s="242">
        <v>47.9</v>
      </c>
      <c r="N458" s="242">
        <v>47.9</v>
      </c>
      <c r="O458" s="242">
        <v>47.9</v>
      </c>
      <c r="P458" s="241" t="s">
        <v>3352</v>
      </c>
      <c r="Q458" s="241" t="s">
        <v>3347</v>
      </c>
      <c r="R458" s="243" t="s">
        <v>4561</v>
      </c>
      <c r="S458" s="270">
        <f t="shared" si="16"/>
        <v>40032</v>
      </c>
      <c r="T458" s="270"/>
      <c r="U458" s="270">
        <f>IFERROR(VLOOKUP($A458,GeneratingCapabilityList!$E$7:$O$1673,11,FALSE),"ID Not Found")</f>
        <v>40032</v>
      </c>
      <c r="V458" s="271" t="str">
        <f>IFERROR(VLOOKUP($A458,GeneratingCapabilityList!$E$7:$O$1673,6,FALSE),"UNKNOWN")</f>
        <v>PEAKER</v>
      </c>
      <c r="W458" s="271">
        <f>IFERROR(VLOOKUP($A458,GeneratingCapabilityList!$E$7:$O$1673,3,FALSE),"ID Not Found")</f>
        <v>47.9</v>
      </c>
      <c r="Y458" s="270"/>
    </row>
    <row r="459" spans="1:25">
      <c r="A459" s="241" t="s">
        <v>2745</v>
      </c>
      <c r="B459" s="241" t="s">
        <v>4579</v>
      </c>
      <c r="C459" s="241" t="s">
        <v>3630</v>
      </c>
      <c r="D459" s="242">
        <v>48</v>
      </c>
      <c r="E459" s="242">
        <v>48</v>
      </c>
      <c r="F459" s="242">
        <v>48</v>
      </c>
      <c r="G459" s="242">
        <v>48</v>
      </c>
      <c r="H459" s="242">
        <v>48</v>
      </c>
      <c r="I459" s="242">
        <v>48</v>
      </c>
      <c r="J459" s="242">
        <v>48</v>
      </c>
      <c r="K459" s="242">
        <v>48</v>
      </c>
      <c r="L459" s="242">
        <v>48</v>
      </c>
      <c r="M459" s="242">
        <v>48</v>
      </c>
      <c r="N459" s="242">
        <v>48</v>
      </c>
      <c r="O459" s="242">
        <v>48</v>
      </c>
      <c r="P459" s="241" t="s">
        <v>3352</v>
      </c>
      <c r="Q459" s="241" t="s">
        <v>3347</v>
      </c>
      <c r="R459" s="243" t="s">
        <v>4561</v>
      </c>
      <c r="S459" s="270">
        <f t="shared" si="16"/>
        <v>38560</v>
      </c>
      <c r="T459" s="270"/>
      <c r="U459" s="270">
        <f>IFERROR(VLOOKUP($A459,GeneratingCapabilityList!$E$7:$O$1673,11,FALSE),"ID Not Found")</f>
        <v>38560</v>
      </c>
      <c r="V459" s="271" t="str">
        <f>IFERROR(VLOOKUP($A459,GeneratingCapabilityList!$E$7:$O$1673,6,FALSE),"UNKNOWN")</f>
        <v>PEAKER</v>
      </c>
      <c r="W459" s="271">
        <f>IFERROR(VLOOKUP($A459,GeneratingCapabilityList!$E$7:$O$1673,3,FALSE),"ID Not Found")</f>
        <v>48</v>
      </c>
      <c r="Y459" s="270"/>
    </row>
    <row r="460" spans="1:25">
      <c r="A460" s="241" t="s">
        <v>666</v>
      </c>
      <c r="B460" s="241" t="s">
        <v>4579</v>
      </c>
      <c r="C460" s="241" t="s">
        <v>3631</v>
      </c>
      <c r="D460" s="242">
        <v>36</v>
      </c>
      <c r="E460" s="242">
        <v>36</v>
      </c>
      <c r="F460" s="242">
        <v>36</v>
      </c>
      <c r="G460" s="242">
        <v>36</v>
      </c>
      <c r="H460" s="242">
        <v>36</v>
      </c>
      <c r="I460" s="242">
        <v>36</v>
      </c>
      <c r="J460" s="242">
        <v>36</v>
      </c>
      <c r="K460" s="242">
        <v>36</v>
      </c>
      <c r="L460" s="242">
        <v>36</v>
      </c>
      <c r="M460" s="242">
        <v>36</v>
      </c>
      <c r="N460" s="242">
        <v>36</v>
      </c>
      <c r="O460" s="242">
        <v>36</v>
      </c>
      <c r="P460" s="241" t="s">
        <v>3352</v>
      </c>
      <c r="Q460" s="241" t="s">
        <v>3347</v>
      </c>
      <c r="R460" s="243" t="s">
        <v>4561</v>
      </c>
      <c r="S460" s="270">
        <f t="shared" si="16"/>
        <v>26299</v>
      </c>
      <c r="T460" s="270"/>
      <c r="U460" s="270">
        <f>IFERROR(VLOOKUP($A460,GeneratingCapabilityList!$E$7:$O$1673,11,FALSE),"ID Not Found")</f>
        <v>26299</v>
      </c>
      <c r="V460" s="271" t="str">
        <f>IFERROR(VLOOKUP($A460,GeneratingCapabilityList!$E$7:$O$1673,6,FALSE),"UNKNOWN")</f>
        <v>PEAKER</v>
      </c>
      <c r="W460" s="271">
        <f>IFERROR(VLOOKUP($A460,GeneratingCapabilityList!$E$7:$O$1673,3,FALSE),"ID Not Found")</f>
        <v>36</v>
      </c>
      <c r="Y460" s="270"/>
    </row>
    <row r="461" spans="1:25">
      <c r="A461" s="241" t="s">
        <v>2614</v>
      </c>
      <c r="B461" s="241" t="s">
        <v>4579</v>
      </c>
      <c r="C461" s="241" t="s">
        <v>2615</v>
      </c>
      <c r="D461" s="242">
        <v>3.85</v>
      </c>
      <c r="E461" s="242">
        <v>3.75</v>
      </c>
      <c r="F461" s="242">
        <v>3.59</v>
      </c>
      <c r="G461" s="242">
        <v>3.31</v>
      </c>
      <c r="H461" s="242">
        <v>3.78</v>
      </c>
      <c r="I461" s="242">
        <v>3.6</v>
      </c>
      <c r="J461" s="242">
        <v>3.67</v>
      </c>
      <c r="K461" s="242">
        <v>3.64</v>
      </c>
      <c r="L461" s="242">
        <v>3.31</v>
      </c>
      <c r="M461" s="242">
        <v>3.02</v>
      </c>
      <c r="N461" s="242">
        <v>3.13</v>
      </c>
      <c r="O461" s="242">
        <v>3.7</v>
      </c>
      <c r="P461" s="241" t="s">
        <v>3352</v>
      </c>
      <c r="Q461" s="241" t="s">
        <v>3347</v>
      </c>
      <c r="R461" s="243" t="s">
        <v>4562</v>
      </c>
      <c r="S461" s="270">
        <f t="shared" si="16"/>
        <v>37762</v>
      </c>
      <c r="T461" s="270"/>
      <c r="U461" s="270">
        <f>IFERROR(VLOOKUP($A461,GeneratingCapabilityList!$E$7:$O$1673,11,FALSE),"ID Not Found")</f>
        <v>37762</v>
      </c>
      <c r="V461" s="271" t="str">
        <f>IFERROR(VLOOKUP($A461,GeneratingCapabilityList!$E$7:$O$1673,6,FALSE),"UNKNOWN")</f>
        <v>BIOMASS</v>
      </c>
      <c r="W461" s="271">
        <f>IFERROR(VLOOKUP($A461,GeneratingCapabilityList!$E$7:$O$1673,3,FALSE),"ID Not Found")</f>
        <v>5</v>
      </c>
      <c r="Y461" s="270"/>
    </row>
    <row r="462" spans="1:25">
      <c r="A462" s="241" t="s">
        <v>763</v>
      </c>
      <c r="B462" s="241" t="s">
        <v>4579</v>
      </c>
      <c r="C462" s="241" t="s">
        <v>3632</v>
      </c>
      <c r="D462" s="242">
        <v>0.41</v>
      </c>
      <c r="E462" s="242">
        <v>0.62</v>
      </c>
      <c r="F462" s="242">
        <v>0.5</v>
      </c>
      <c r="G462" s="242">
        <v>0.44</v>
      </c>
      <c r="H462" s="242">
        <v>0.49</v>
      </c>
      <c r="I462" s="242">
        <v>0.62</v>
      </c>
      <c r="J462" s="242">
        <v>0.75</v>
      </c>
      <c r="K462" s="242">
        <v>0.7</v>
      </c>
      <c r="L462" s="242">
        <v>0.59</v>
      </c>
      <c r="M462" s="242">
        <v>0.55000000000000004</v>
      </c>
      <c r="N462" s="242">
        <v>0.54</v>
      </c>
      <c r="O462" s="242">
        <v>0.48</v>
      </c>
      <c r="P462" s="241" t="s">
        <v>3352</v>
      </c>
      <c r="Q462" s="241" t="s">
        <v>3347</v>
      </c>
      <c r="R462" s="243" t="s">
        <v>4562</v>
      </c>
      <c r="S462" s="270">
        <f t="shared" si="16"/>
        <v>29221</v>
      </c>
      <c r="T462" s="270"/>
      <c r="U462" s="270">
        <f>IFERROR(VLOOKUP($A462,GeneratingCapabilityList!$E$7:$O$1673,11,FALSE),"ID Not Found")</f>
        <v>29221</v>
      </c>
      <c r="V462" s="271" t="str">
        <f>IFERROR(VLOOKUP($A462,GeneratingCapabilityList!$E$7:$O$1673,6,FALSE),"UNKNOWN")</f>
        <v>VARIOUS</v>
      </c>
      <c r="W462" s="271">
        <f>IFERROR(VLOOKUP($A462,GeneratingCapabilityList!$E$7:$O$1673,3,FALSE),"ID Not Found")</f>
        <v>50</v>
      </c>
      <c r="Y462" s="270"/>
    </row>
    <row r="463" spans="1:25">
      <c r="A463" s="241" t="s">
        <v>1080</v>
      </c>
      <c r="B463" s="241" t="s">
        <v>3361</v>
      </c>
      <c r="C463" s="241" t="s">
        <v>3633</v>
      </c>
      <c r="D463" s="242">
        <v>3.45</v>
      </c>
      <c r="E463" s="242">
        <v>4.62</v>
      </c>
      <c r="F463" s="242">
        <v>4.7300000000000004</v>
      </c>
      <c r="G463" s="242">
        <v>4.7699999999999996</v>
      </c>
      <c r="H463" s="242">
        <v>5.28</v>
      </c>
      <c r="I463" s="242">
        <v>9.2200000000000006</v>
      </c>
      <c r="J463" s="242">
        <v>9</v>
      </c>
      <c r="K463" s="242">
        <v>9.56</v>
      </c>
      <c r="L463" s="242">
        <v>9.6</v>
      </c>
      <c r="M463" s="242">
        <v>7.68</v>
      </c>
      <c r="N463" s="242">
        <v>0</v>
      </c>
      <c r="O463" s="242">
        <v>0</v>
      </c>
      <c r="P463" s="241" t="s">
        <v>3345</v>
      </c>
      <c r="Q463" s="241" t="s">
        <v>3347</v>
      </c>
      <c r="R463" s="243" t="s">
        <v>4562</v>
      </c>
      <c r="S463" s="270">
        <f t="shared" si="16"/>
        <v>30966</v>
      </c>
      <c r="T463" s="270"/>
      <c r="U463" s="270">
        <f>IFERROR(VLOOKUP($A463,GeneratingCapabilityList!$E$7:$O$1673,11,FALSE),"ID Not Found")</f>
        <v>30966</v>
      </c>
      <c r="V463" s="271" t="str">
        <f>IFERROR(VLOOKUP($A463,GeneratingCapabilityList!$E$7:$O$1673,6,FALSE),"UNKNOWN")</f>
        <v>BIOMASS</v>
      </c>
      <c r="W463" s="271">
        <f>IFERROR(VLOOKUP($A463,GeneratingCapabilityList!$E$7:$O$1673,3,FALSE),"ID Not Found")</f>
        <v>13.1</v>
      </c>
      <c r="Y463" s="270"/>
    </row>
    <row r="464" spans="1:25">
      <c r="A464" s="241" t="s">
        <v>1823</v>
      </c>
      <c r="B464" s="241" t="s">
        <v>3370</v>
      </c>
      <c r="C464" s="241" t="s">
        <v>3634</v>
      </c>
      <c r="D464" s="242">
        <v>41.49</v>
      </c>
      <c r="E464" s="242">
        <v>41.88</v>
      </c>
      <c r="F464" s="242">
        <v>31.63</v>
      </c>
      <c r="G464" s="242">
        <v>36.01</v>
      </c>
      <c r="H464" s="242">
        <v>28.06</v>
      </c>
      <c r="I464" s="242">
        <v>22.17</v>
      </c>
      <c r="J464" s="242">
        <v>21.75</v>
      </c>
      <c r="K464" s="242">
        <v>18.61</v>
      </c>
      <c r="L464" s="242">
        <v>23.96</v>
      </c>
      <c r="M464" s="242">
        <v>32.14</v>
      </c>
      <c r="N464" s="242">
        <v>17.440000000000001</v>
      </c>
      <c r="O464" s="242">
        <v>31.68</v>
      </c>
      <c r="P464" s="241" t="s">
        <v>3345</v>
      </c>
      <c r="Q464" s="241" t="s">
        <v>3347</v>
      </c>
      <c r="R464" s="243" t="s">
        <v>4562</v>
      </c>
      <c r="S464" s="270">
        <f t="shared" si="16"/>
        <v>32599</v>
      </c>
      <c r="T464" s="270"/>
      <c r="U464" s="270">
        <f>IFERROR(VLOOKUP($A464,GeneratingCapabilityList!$E$7:$O$1673,11,FALSE),"ID Not Found")</f>
        <v>32599</v>
      </c>
      <c r="V464" s="271" t="str">
        <f>IFERROR(VLOOKUP($A464,GeneratingCapabilityList!$E$7:$O$1673,6,FALSE),"UNKNOWN")</f>
        <v>COGENERATION</v>
      </c>
      <c r="W464" s="271">
        <f>IFERROR(VLOOKUP($A464,GeneratingCapabilityList!$E$7:$O$1673,3,FALSE),"ID Not Found")</f>
        <v>46.64</v>
      </c>
      <c r="Y464" s="270"/>
    </row>
    <row r="465" spans="1:25">
      <c r="A465" s="241" t="s">
        <v>2304</v>
      </c>
      <c r="B465" s="241" t="s">
        <v>3327</v>
      </c>
      <c r="C465" s="241" t="s">
        <v>3635</v>
      </c>
      <c r="D465" s="242">
        <v>1.5</v>
      </c>
      <c r="E465" s="242">
        <v>7.02</v>
      </c>
      <c r="F465" s="242">
        <v>18.809999999999999</v>
      </c>
      <c r="G465" s="242">
        <v>12.57</v>
      </c>
      <c r="H465" s="242">
        <v>21.87</v>
      </c>
      <c r="I465" s="242">
        <v>27.8</v>
      </c>
      <c r="J465" s="242">
        <v>15.21</v>
      </c>
      <c r="K465" s="242">
        <v>8.2899999999999991</v>
      </c>
      <c r="L465" s="242">
        <v>2.69</v>
      </c>
      <c r="M465" s="242">
        <v>3.45</v>
      </c>
      <c r="N465" s="242">
        <v>3.44</v>
      </c>
      <c r="O465" s="242">
        <v>2.4</v>
      </c>
      <c r="P465" s="241" t="s">
        <v>3352</v>
      </c>
      <c r="Q465" s="241" t="s">
        <v>3347</v>
      </c>
      <c r="R465" s="243" t="s">
        <v>4562</v>
      </c>
      <c r="S465" s="270">
        <f t="shared" si="16"/>
        <v>36974</v>
      </c>
      <c r="T465" s="270"/>
      <c r="U465" s="270">
        <f>IFERROR(VLOOKUP($A465,GeneratingCapabilityList!$E$7:$O$1673,11,FALSE),"ID Not Found")</f>
        <v>36974</v>
      </c>
      <c r="V465" s="271" t="str">
        <f>IFERROR(VLOOKUP($A465,GeneratingCapabilityList!$E$7:$O$1673,6,FALSE),"UNKNOWN")</f>
        <v>WIND</v>
      </c>
      <c r="W465" s="271">
        <f>IFERROR(VLOOKUP($A465,GeneratingCapabilityList!$E$7:$O$1673,3,FALSE),"ID Not Found")</f>
        <v>44.4</v>
      </c>
      <c r="Y465" s="270"/>
    </row>
    <row r="466" spans="1:25">
      <c r="A466" s="241" t="s">
        <v>2459</v>
      </c>
      <c r="B466" s="241" t="s">
        <v>3327</v>
      </c>
      <c r="C466" s="241" t="s">
        <v>3636</v>
      </c>
      <c r="D466" s="242">
        <v>0.68</v>
      </c>
      <c r="E466" s="242">
        <v>3.32</v>
      </c>
      <c r="F466" s="242">
        <v>8.3800000000000008</v>
      </c>
      <c r="G466" s="242">
        <v>6.2</v>
      </c>
      <c r="H466" s="242">
        <v>10.25</v>
      </c>
      <c r="I466" s="242">
        <v>13.39</v>
      </c>
      <c r="J466" s="242">
        <v>5.86</v>
      </c>
      <c r="K466" s="242">
        <v>3.1</v>
      </c>
      <c r="L466" s="242">
        <v>1.1599999999999999</v>
      </c>
      <c r="M466" s="242">
        <v>1.7</v>
      </c>
      <c r="N466" s="242">
        <v>1.69</v>
      </c>
      <c r="O466" s="242">
        <v>1.1000000000000001</v>
      </c>
      <c r="P466" s="241" t="s">
        <v>3352</v>
      </c>
      <c r="Q466" s="241" t="s">
        <v>3347</v>
      </c>
      <c r="R466" s="243" t="s">
        <v>4562</v>
      </c>
      <c r="S466" s="270">
        <f t="shared" si="16"/>
        <v>37151</v>
      </c>
      <c r="T466" s="270"/>
      <c r="U466" s="270">
        <f>IFERROR(VLOOKUP($A466,GeneratingCapabilityList!$E$7:$O$1673,11,FALSE),"ID Not Found")</f>
        <v>37151</v>
      </c>
      <c r="V466" s="271" t="str">
        <f>IFERROR(VLOOKUP($A466,GeneratingCapabilityList!$E$7:$O$1673,6,FALSE),"UNKNOWN")</f>
        <v>WIND</v>
      </c>
      <c r="W466" s="271">
        <f>IFERROR(VLOOKUP($A466,GeneratingCapabilityList!$E$7:$O$1673,3,FALSE),"ID Not Found")</f>
        <v>22.2</v>
      </c>
      <c r="Y466" s="270"/>
    </row>
    <row r="467" spans="1:25">
      <c r="A467" s="241" t="s">
        <v>2663</v>
      </c>
      <c r="B467" s="241" t="s">
        <v>3327</v>
      </c>
      <c r="C467" s="241" t="s">
        <v>3637</v>
      </c>
      <c r="D467" s="242">
        <v>0.63</v>
      </c>
      <c r="E467" s="242">
        <v>2.21</v>
      </c>
      <c r="F467" s="242">
        <v>6.67</v>
      </c>
      <c r="G467" s="242">
        <v>4.47</v>
      </c>
      <c r="H467" s="242">
        <v>9.41</v>
      </c>
      <c r="I467" s="242">
        <v>14.61</v>
      </c>
      <c r="J467" s="242">
        <v>6.75</v>
      </c>
      <c r="K467" s="242">
        <v>4.2300000000000004</v>
      </c>
      <c r="L467" s="242">
        <v>1.75</v>
      </c>
      <c r="M467" s="242">
        <v>2.1</v>
      </c>
      <c r="N467" s="242">
        <v>1.84</v>
      </c>
      <c r="O467" s="242">
        <v>0.82</v>
      </c>
      <c r="P467" s="241" t="s">
        <v>3352</v>
      </c>
      <c r="Q467" s="241" t="s">
        <v>3347</v>
      </c>
      <c r="R467" s="243" t="s">
        <v>4562</v>
      </c>
      <c r="S467" s="270">
        <f t="shared" si="16"/>
        <v>37970</v>
      </c>
      <c r="T467" s="270"/>
      <c r="U467" s="270">
        <f>IFERROR(VLOOKUP($A467,GeneratingCapabilityList!$E$7:$O$1673,11,FALSE),"ID Not Found")</f>
        <v>37970</v>
      </c>
      <c r="V467" s="271" t="str">
        <f>IFERROR(VLOOKUP($A467,GeneratingCapabilityList!$E$7:$O$1673,6,FALSE),"UNKNOWN")</f>
        <v>WIND</v>
      </c>
      <c r="W467" s="271">
        <f>IFERROR(VLOOKUP($A467,GeneratingCapabilityList!$E$7:$O$1673,3,FALSE),"ID Not Found")</f>
        <v>22.44</v>
      </c>
      <c r="Y467" s="270"/>
    </row>
    <row r="468" spans="1:25">
      <c r="A468" s="241" t="s">
        <v>313</v>
      </c>
      <c r="B468" s="241" t="s">
        <v>3375</v>
      </c>
      <c r="C468" s="241" t="s">
        <v>3638</v>
      </c>
      <c r="D468" s="242">
        <v>7.8</v>
      </c>
      <c r="E468" s="242">
        <v>6.92</v>
      </c>
      <c r="F468" s="242">
        <v>6.74</v>
      </c>
      <c r="G468" s="242">
        <v>7.5</v>
      </c>
      <c r="H468" s="242">
        <v>10.63</v>
      </c>
      <c r="I468" s="242">
        <v>10.64</v>
      </c>
      <c r="J468" s="242">
        <v>8.3699999999999992</v>
      </c>
      <c r="K468" s="242">
        <v>9.99</v>
      </c>
      <c r="L468" s="242">
        <v>10.63</v>
      </c>
      <c r="M468" s="242">
        <v>9</v>
      </c>
      <c r="N468" s="242">
        <v>5.12</v>
      </c>
      <c r="O468" s="242">
        <v>6.4</v>
      </c>
      <c r="P468" s="241" t="s">
        <v>3345</v>
      </c>
      <c r="Q468" s="241" t="s">
        <v>3347</v>
      </c>
      <c r="R468" s="243" t="s">
        <v>4561</v>
      </c>
      <c r="S468" s="270">
        <f t="shared" si="16"/>
        <v>15342</v>
      </c>
      <c r="T468" s="270"/>
      <c r="U468" s="270">
        <f>IFERROR(VLOOKUP($A468,GeneratingCapabilityList!$E$7:$O$1673,11,FALSE),"ID Not Found")</f>
        <v>15342</v>
      </c>
      <c r="V468" s="271" t="str">
        <f>IFERROR(VLOOKUP($A468,GeneratingCapabilityList!$E$7:$O$1673,6,FALSE),"UNKNOWN")</f>
        <v>HYDRO</v>
      </c>
      <c r="W468" s="271">
        <f>IFERROR(VLOOKUP($A468,GeneratingCapabilityList!$E$7:$O$1673,3,FALSE),"ID Not Found")</f>
        <v>12</v>
      </c>
      <c r="Y468" s="270"/>
    </row>
    <row r="469" spans="1:25">
      <c r="A469" s="241" t="s">
        <v>634</v>
      </c>
      <c r="B469" s="241" t="s">
        <v>3375</v>
      </c>
      <c r="C469" s="241" t="s">
        <v>635</v>
      </c>
      <c r="D469" s="242">
        <v>18.899999999999999</v>
      </c>
      <c r="E469" s="242">
        <v>16.440000000000001</v>
      </c>
      <c r="F469" s="242">
        <v>28.13</v>
      </c>
      <c r="G469" s="242">
        <v>38.979999999999997</v>
      </c>
      <c r="H469" s="242">
        <v>38.61</v>
      </c>
      <c r="I469" s="242">
        <v>39.729999999999997</v>
      </c>
      <c r="J469" s="242">
        <v>39.68</v>
      </c>
      <c r="K469" s="242">
        <v>28.51</v>
      </c>
      <c r="L469" s="242">
        <v>0.09</v>
      </c>
      <c r="M469" s="242">
        <v>2.64</v>
      </c>
      <c r="N469" s="242">
        <v>8.64</v>
      </c>
      <c r="O469" s="242">
        <v>29.71</v>
      </c>
      <c r="P469" s="241" t="s">
        <v>3345</v>
      </c>
      <c r="Q469" s="241" t="s">
        <v>3347</v>
      </c>
      <c r="R469" s="243" t="s">
        <v>4561</v>
      </c>
      <c r="S469" s="270">
        <f t="shared" si="16"/>
        <v>25204</v>
      </c>
      <c r="T469" s="270"/>
      <c r="U469" s="270">
        <f>IFERROR(VLOOKUP($A469,GeneratingCapabilityList!$E$7:$O$1673,11,FALSE),"ID Not Found")</f>
        <v>25204</v>
      </c>
      <c r="V469" s="271" t="str">
        <f>IFERROR(VLOOKUP($A469,GeneratingCapabilityList!$E$7:$O$1673,6,FALSE),"UNKNOWN")</f>
        <v>HYDRO</v>
      </c>
      <c r="W469" s="271">
        <f>IFERROR(VLOOKUP($A469,GeneratingCapabilityList!$E$7:$O$1673,3,FALSE),"ID Not Found")</f>
        <v>55</v>
      </c>
      <c r="Y469" s="270"/>
    </row>
    <row r="470" spans="1:25">
      <c r="A470" s="241" t="s">
        <v>1910</v>
      </c>
      <c r="B470" s="241" t="s">
        <v>3361</v>
      </c>
      <c r="C470" s="241" t="s">
        <v>3639</v>
      </c>
      <c r="D470" s="242">
        <v>66.290000000000006</v>
      </c>
      <c r="E470" s="242">
        <v>65.44</v>
      </c>
      <c r="F470" s="242">
        <v>61.85</v>
      </c>
      <c r="G470" s="242">
        <v>55.6</v>
      </c>
      <c r="H470" s="242">
        <v>64.06</v>
      </c>
      <c r="I470" s="242">
        <v>60.15</v>
      </c>
      <c r="J470" s="242">
        <v>60.48</v>
      </c>
      <c r="K470" s="242">
        <v>59.79</v>
      </c>
      <c r="L470" s="242">
        <v>60.29</v>
      </c>
      <c r="M470" s="242">
        <v>63.42</v>
      </c>
      <c r="N470" s="242">
        <v>65.89</v>
      </c>
      <c r="O470" s="242">
        <v>65.349999999999994</v>
      </c>
      <c r="P470" s="241" t="s">
        <v>3352</v>
      </c>
      <c r="Q470" s="241" t="s">
        <v>3347</v>
      </c>
      <c r="R470" s="243" t="s">
        <v>4562</v>
      </c>
      <c r="S470" s="270">
        <f t="shared" si="16"/>
        <v>32865</v>
      </c>
      <c r="T470" s="270"/>
      <c r="U470" s="270">
        <f>IFERROR(VLOOKUP($A470,GeneratingCapabilityList!$E$7:$O$1673,11,FALSE),"ID Not Found")</f>
        <v>32865</v>
      </c>
      <c r="V470" s="271" t="str">
        <f>IFERROR(VLOOKUP($A470,GeneratingCapabilityList!$E$7:$O$1673,6,FALSE),"UNKNOWN")</f>
        <v>GEOTHERMAL</v>
      </c>
      <c r="W470" s="271">
        <f>IFERROR(VLOOKUP($A470,GeneratingCapabilityList!$E$7:$O$1673,3,FALSE),"ID Not Found")</f>
        <v>99</v>
      </c>
      <c r="Y470" s="270"/>
    </row>
    <row r="471" spans="1:25">
      <c r="A471" s="244" t="s">
        <v>857</v>
      </c>
      <c r="B471" s="245" t="s">
        <v>3346</v>
      </c>
      <c r="C471" s="245" t="s">
        <v>3640</v>
      </c>
      <c r="D471" s="281">
        <v>27.883318624225595</v>
      </c>
      <c r="E471" s="281">
        <v>27.472088571428568</v>
      </c>
      <c r="F471" s="281">
        <v>29.96790967741936</v>
      </c>
      <c r="G471" s="281">
        <v>29.477989333333344</v>
      </c>
      <c r="H471" s="281">
        <v>28.060510967741937</v>
      </c>
      <c r="I471" s="281">
        <v>26.904701333333325</v>
      </c>
      <c r="J471" s="281">
        <v>26.860227096774196</v>
      </c>
      <c r="K471" s="281">
        <v>27.01977290322581</v>
      </c>
      <c r="L471" s="281">
        <v>27.391045333333334</v>
      </c>
      <c r="M471" s="281">
        <v>27.444732903225812</v>
      </c>
      <c r="N471" s="281">
        <v>27.423562666666669</v>
      </c>
      <c r="O471" s="281">
        <v>27.138987526881717</v>
      </c>
      <c r="P471" s="245" t="s">
        <v>3345</v>
      </c>
      <c r="Q471" s="245" t="s">
        <v>3347</v>
      </c>
      <c r="R471" s="246" t="s">
        <v>4561</v>
      </c>
      <c r="S471" s="270">
        <f t="shared" si="16"/>
        <v>30317</v>
      </c>
      <c r="T471" s="270"/>
      <c r="U471" s="270">
        <f>IFERROR(VLOOKUP($A471,GeneratingCapabilityList!$E$7:$O$1673,11,FALSE),"ID Not Found")</f>
        <v>30317</v>
      </c>
      <c r="V471" s="271" t="str">
        <f>IFERROR(VLOOKUP($A471,GeneratingCapabilityList!$E$7:$O$1673,6,FALSE),"UNKNOWN")</f>
        <v>GEOTHERMAL</v>
      </c>
      <c r="W471" s="271">
        <f>IFERROR(VLOOKUP($A471,GeneratingCapabilityList!$E$7:$O$1673,3,FALSE),"ID Not Found")</f>
        <v>38.85</v>
      </c>
      <c r="Y471" s="270"/>
    </row>
    <row r="472" spans="1:25">
      <c r="A472" s="244" t="s">
        <v>860</v>
      </c>
      <c r="B472" s="245" t="s">
        <v>3346</v>
      </c>
      <c r="C472" s="245" t="s">
        <v>3641</v>
      </c>
      <c r="D472" s="281">
        <v>25.14990649861139</v>
      </c>
      <c r="E472" s="281">
        <v>24.169371428571434</v>
      </c>
      <c r="F472" s="281">
        <v>25.762312258064497</v>
      </c>
      <c r="G472" s="281">
        <v>25.20448</v>
      </c>
      <c r="H472" s="281">
        <v>24.540201290322585</v>
      </c>
      <c r="I472" s="281">
        <v>22.935808000000005</v>
      </c>
      <c r="J472" s="281">
        <v>22.535845161290325</v>
      </c>
      <c r="K472" s="281">
        <v>23.023277419354837</v>
      </c>
      <c r="L472" s="281">
        <v>23.928447999999989</v>
      </c>
      <c r="M472" s="281">
        <v>23.765140645161292</v>
      </c>
      <c r="N472" s="281">
        <v>24.014719999999986</v>
      </c>
      <c r="O472" s="281">
        <v>24.44267246179966</v>
      </c>
      <c r="P472" s="245" t="s">
        <v>3345</v>
      </c>
      <c r="Q472" s="245" t="s">
        <v>3347</v>
      </c>
      <c r="R472" s="246" t="s">
        <v>4561</v>
      </c>
      <c r="S472" s="270">
        <f t="shared" si="16"/>
        <v>30317</v>
      </c>
      <c r="T472" s="270"/>
      <c r="U472" s="270">
        <f>IFERROR(VLOOKUP($A472,GeneratingCapabilityList!$E$7:$O$1673,11,FALSE),"ID Not Found")</f>
        <v>30317</v>
      </c>
      <c r="V472" s="271" t="str">
        <f>IFERROR(VLOOKUP($A472,GeneratingCapabilityList!$E$7:$O$1673,6,FALSE),"UNKNOWN")</f>
        <v>GEOTHERMAL</v>
      </c>
      <c r="W472" s="271">
        <f>IFERROR(VLOOKUP($A472,GeneratingCapabilityList!$E$7:$O$1673,3,FALSE),"ID Not Found")</f>
        <v>34</v>
      </c>
      <c r="Y472" s="270"/>
    </row>
    <row r="473" spans="1:25">
      <c r="A473" s="241" t="s">
        <v>1128</v>
      </c>
      <c r="B473" s="241" t="s">
        <v>3346</v>
      </c>
      <c r="C473" s="241" t="s">
        <v>3642</v>
      </c>
      <c r="D473" s="242">
        <v>8.73</v>
      </c>
      <c r="E473" s="242">
        <v>8.07</v>
      </c>
      <c r="F473" s="242">
        <v>8.89</v>
      </c>
      <c r="G473" s="242">
        <v>9.52</v>
      </c>
      <c r="H473" s="242">
        <v>4</v>
      </c>
      <c r="I473" s="242">
        <v>0.01</v>
      </c>
      <c r="J473" s="242">
        <v>0</v>
      </c>
      <c r="K473" s="242">
        <v>0</v>
      </c>
      <c r="L473" s="242">
        <v>0.01</v>
      </c>
      <c r="M473" s="242">
        <v>0.04</v>
      </c>
      <c r="N473" s="242">
        <v>0.09</v>
      </c>
      <c r="O473" s="242">
        <v>0.09</v>
      </c>
      <c r="P473" s="241" t="s">
        <v>3345</v>
      </c>
      <c r="Q473" s="241" t="s">
        <v>3347</v>
      </c>
      <c r="R473" s="243" t="s">
        <v>4561</v>
      </c>
      <c r="S473" s="270">
        <f t="shared" si="16"/>
        <v>31048</v>
      </c>
      <c r="T473" s="270"/>
      <c r="U473" s="270">
        <f>IFERROR(VLOOKUP($A473,GeneratingCapabilityList!$E$7:$O$1673,11,FALSE),"ID Not Found")</f>
        <v>31048</v>
      </c>
      <c r="V473" s="271" t="str">
        <f>IFERROR(VLOOKUP($A473,GeneratingCapabilityList!$E$7:$O$1673,6,FALSE),"UNKNOWN")</f>
        <v>GEOTHERMAL</v>
      </c>
      <c r="W473" s="271">
        <f>IFERROR(VLOOKUP($A473,GeneratingCapabilityList!$E$7:$O$1673,3,FALSE),"ID Not Found")</f>
        <v>42.42</v>
      </c>
      <c r="Y473" s="270"/>
    </row>
    <row r="474" spans="1:25">
      <c r="A474" s="259" t="s">
        <v>1275</v>
      </c>
      <c r="B474" s="250" t="s">
        <v>3346</v>
      </c>
      <c r="C474" s="250" t="s">
        <v>3643</v>
      </c>
      <c r="D474" s="281">
        <v>39.49706838709676</v>
      </c>
      <c r="E474" s="281">
        <v>40.293862857142848</v>
      </c>
      <c r="F474" s="281">
        <v>31.955623225806459</v>
      </c>
      <c r="G474" s="281">
        <v>32.184512000000005</v>
      </c>
      <c r="H474" s="281">
        <v>41.036005161290326</v>
      </c>
      <c r="I474" s="281">
        <v>47.524099678160916</v>
      </c>
      <c r="J474" s="281">
        <v>49.109069070711392</v>
      </c>
      <c r="K474" s="281">
        <v>49.14868645161291</v>
      </c>
      <c r="L474" s="281">
        <v>47.97834774049219</v>
      </c>
      <c r="M474" s="281">
        <v>48.244003272190604</v>
      </c>
      <c r="N474" s="281">
        <v>49.821194666666678</v>
      </c>
      <c r="O474" s="281">
        <v>48.661811394820518</v>
      </c>
      <c r="P474" s="252" t="s">
        <v>3345</v>
      </c>
      <c r="Q474" s="252" t="s">
        <v>3347</v>
      </c>
      <c r="R474" s="253" t="s">
        <v>4561</v>
      </c>
      <c r="S474" s="270">
        <f t="shared" si="16"/>
        <v>31413</v>
      </c>
      <c r="T474" s="270"/>
      <c r="U474" s="270">
        <f>IFERROR(VLOOKUP($A474,GeneratingCapabilityList!$E$7:$O$1673,11,FALSE),"ID Not Found")</f>
        <v>31413</v>
      </c>
      <c r="V474" s="271" t="str">
        <f>IFERROR(VLOOKUP($A474,GeneratingCapabilityList!$E$7:$O$1673,6,FALSE),"UNKNOWN")</f>
        <v>GEOTHERMAL</v>
      </c>
      <c r="W474" s="271">
        <f>IFERROR(VLOOKUP($A474,GeneratingCapabilityList!$E$7:$O$1673,3,FALSE),"ID Not Found")</f>
        <v>52.73</v>
      </c>
      <c r="Y474" s="270"/>
    </row>
    <row r="475" spans="1:25">
      <c r="A475" s="241" t="s">
        <v>4404</v>
      </c>
      <c r="B475" s="241" t="s">
        <v>3328</v>
      </c>
      <c r="C475" s="241" t="s">
        <v>4405</v>
      </c>
      <c r="D475" s="242">
        <v>0.55000000000000004</v>
      </c>
      <c r="E475" s="242">
        <v>5.26</v>
      </c>
      <c r="F475" s="242">
        <v>12.28</v>
      </c>
      <c r="G475" s="242">
        <v>39.72</v>
      </c>
      <c r="H475" s="242">
        <v>48.47</v>
      </c>
      <c r="I475" s="242">
        <v>57.24</v>
      </c>
      <c r="J475" s="242">
        <v>55.97</v>
      </c>
      <c r="K475" s="242">
        <v>53.75</v>
      </c>
      <c r="L475" s="242">
        <v>48.91</v>
      </c>
      <c r="M475" s="242">
        <v>30.9</v>
      </c>
      <c r="N475" s="242">
        <v>4.2699999999999996</v>
      </c>
      <c r="O475" s="242">
        <v>1.79</v>
      </c>
      <c r="P475" s="241" t="s">
        <v>3352</v>
      </c>
      <c r="Q475" s="241" t="s">
        <v>3347</v>
      </c>
      <c r="R475" s="243" t="s">
        <v>4562</v>
      </c>
      <c r="S475" s="270">
        <f t="shared" ref="S475:S501" si="17">U475</f>
        <v>41292</v>
      </c>
      <c r="T475" s="270"/>
      <c r="U475" s="270">
        <f>IFERROR(VLOOKUP($A475,GeneratingCapabilityList!$E$7:$O$1673,11,FALSE),"ID Not Found")</f>
        <v>41292</v>
      </c>
      <c r="V475" s="271" t="str">
        <f>IFERROR(VLOOKUP($A475,GeneratingCapabilityList!$E$7:$O$1673,6,FALSE),"UNKNOWN")</f>
        <v>SOLAR</v>
      </c>
      <c r="W475" s="271">
        <f>IFERROR(VLOOKUP($A475,GeneratingCapabilityList!$E$7:$O$1673,3,FALSE),"ID Not Found")</f>
        <v>66</v>
      </c>
      <c r="Y475" s="270"/>
    </row>
    <row r="476" spans="1:25">
      <c r="A476" s="241" t="s">
        <v>3285</v>
      </c>
      <c r="B476" s="241" t="s">
        <v>3324</v>
      </c>
      <c r="C476" s="241" t="s">
        <v>3644</v>
      </c>
      <c r="D476" s="242">
        <v>0.02</v>
      </c>
      <c r="E476" s="242">
        <v>0.03</v>
      </c>
      <c r="F476" s="242">
        <v>0.02</v>
      </c>
      <c r="G476" s="242">
        <v>0.02</v>
      </c>
      <c r="H476" s="242">
        <v>0.02</v>
      </c>
      <c r="I476" s="242">
        <v>0.03</v>
      </c>
      <c r="J476" s="242">
        <v>0.03</v>
      </c>
      <c r="K476" s="242">
        <v>0.02</v>
      </c>
      <c r="L476" s="242">
        <v>0.02</v>
      </c>
      <c r="M476" s="242">
        <v>0.02</v>
      </c>
      <c r="N476" s="242">
        <v>0.03</v>
      </c>
      <c r="O476" s="242">
        <v>0.02</v>
      </c>
      <c r="P476" s="241" t="s">
        <v>3345</v>
      </c>
      <c r="Q476" s="241" t="s">
        <v>3347</v>
      </c>
      <c r="R476" s="243" t="s">
        <v>4562</v>
      </c>
      <c r="S476" s="270">
        <f t="shared" si="17"/>
        <v>29755</v>
      </c>
      <c r="T476" s="270"/>
      <c r="U476" s="270">
        <f>IFERROR(VLOOKUP($A476,GeneratingCapabilityList!$E$7:$O$1673,11,FALSE),"ID Not Found")</f>
        <v>29755</v>
      </c>
      <c r="V476" s="271" t="str">
        <f>IFERROR(VLOOKUP($A476,GeneratingCapabilityList!$E$7:$O$1673,6,FALSE),"UNKNOWN")</f>
        <v>WIND</v>
      </c>
      <c r="W476" s="271">
        <f>IFERROR(VLOOKUP($A476,GeneratingCapabilityList!$E$7:$O$1673,3,FALSE),"ID Not Found")</f>
        <v>1.1000000000000001</v>
      </c>
      <c r="Y476" s="270"/>
    </row>
    <row r="477" spans="1:25">
      <c r="A477" s="241" t="s">
        <v>1370</v>
      </c>
      <c r="B477" s="241" t="s">
        <v>3361</v>
      </c>
      <c r="C477" s="241" t="s">
        <v>3645</v>
      </c>
      <c r="D477" s="242">
        <v>0.23</v>
      </c>
      <c r="E477" s="242">
        <v>0.28000000000000003</v>
      </c>
      <c r="F477" s="242">
        <v>0.48</v>
      </c>
      <c r="G477" s="242">
        <v>1.46</v>
      </c>
      <c r="H477" s="242">
        <v>1.46</v>
      </c>
      <c r="I477" s="242">
        <v>1.4</v>
      </c>
      <c r="J477" s="242">
        <v>1.49</v>
      </c>
      <c r="K477" s="242">
        <v>1.41</v>
      </c>
      <c r="L477" s="242">
        <v>0.72</v>
      </c>
      <c r="M477" s="242">
        <v>0.21</v>
      </c>
      <c r="N477" s="242">
        <v>0.2</v>
      </c>
      <c r="O477" s="242">
        <v>0.06</v>
      </c>
      <c r="P477" s="241" t="s">
        <v>3345</v>
      </c>
      <c r="Q477" s="241" t="s">
        <v>3347</v>
      </c>
      <c r="R477" s="243" t="s">
        <v>4562</v>
      </c>
      <c r="S477" s="270">
        <f t="shared" si="17"/>
        <v>31517</v>
      </c>
      <c r="T477" s="270"/>
      <c r="U477" s="270">
        <f>IFERROR(VLOOKUP($A477,GeneratingCapabilityList!$E$7:$O$1673,11,FALSE),"ID Not Found")</f>
        <v>31517</v>
      </c>
      <c r="V477" s="271" t="str">
        <f>IFERROR(VLOOKUP($A477,GeneratingCapabilityList!$E$7:$O$1673,6,FALSE),"UNKNOWN")</f>
        <v>HYDRO</v>
      </c>
      <c r="W477" s="271">
        <f>IFERROR(VLOOKUP($A477,GeneratingCapabilityList!$E$7:$O$1673,3,FALSE),"ID Not Found")</f>
        <v>4</v>
      </c>
      <c r="Y477" s="270"/>
    </row>
    <row r="478" spans="1:25">
      <c r="A478" s="241" t="s">
        <v>1771</v>
      </c>
      <c r="B478" s="241" t="s">
        <v>4579</v>
      </c>
      <c r="C478" s="241" t="s">
        <v>3646</v>
      </c>
      <c r="D478" s="242">
        <v>37</v>
      </c>
      <c r="E478" s="242">
        <v>36.26</v>
      </c>
      <c r="F478" s="242">
        <v>34.479999999999997</v>
      </c>
      <c r="G478" s="242">
        <v>33.97</v>
      </c>
      <c r="H478" s="242">
        <v>37</v>
      </c>
      <c r="I478" s="242">
        <v>35.76</v>
      </c>
      <c r="J478" s="242">
        <v>35.99</v>
      </c>
      <c r="K478" s="242">
        <v>36.43</v>
      </c>
      <c r="L478" s="242">
        <v>36.01</v>
      </c>
      <c r="M478" s="242">
        <v>32.69</v>
      </c>
      <c r="N478" s="242">
        <v>36.619999999999997</v>
      </c>
      <c r="O478" s="242">
        <v>36.33</v>
      </c>
      <c r="P478" s="241" t="s">
        <v>3352</v>
      </c>
      <c r="Q478" s="241" t="s">
        <v>3347</v>
      </c>
      <c r="R478" s="243" t="s">
        <v>4562</v>
      </c>
      <c r="S478" s="270">
        <v>29190</v>
      </c>
      <c r="T478" s="270" t="s">
        <v>5357</v>
      </c>
      <c r="U478" s="270">
        <f>IFERROR(VLOOKUP($A478,GeneratingCapabilityList!$E$7:$O$1673,11,FALSE),"ID Not Found")</f>
        <v>32509</v>
      </c>
      <c r="V478" s="271" t="str">
        <f>IFERROR(VLOOKUP($A478,GeneratingCapabilityList!$E$7:$O$1673,6,FALSE),"UNKNOWN")</f>
        <v>COGENERATION</v>
      </c>
      <c r="W478" s="271">
        <f>IFERROR(VLOOKUP($A478,GeneratingCapabilityList!$E$7:$O$1673,3,FALSE),"ID Not Found")</f>
        <v>37</v>
      </c>
      <c r="Y478" s="270"/>
    </row>
    <row r="479" spans="1:25">
      <c r="A479" s="241" t="s">
        <v>1281</v>
      </c>
      <c r="B479" s="241" t="s">
        <v>3375</v>
      </c>
      <c r="C479" s="241" t="s">
        <v>3647</v>
      </c>
      <c r="D479" s="242">
        <v>5.49</v>
      </c>
      <c r="E479" s="242">
        <v>5.76</v>
      </c>
      <c r="F479" s="242">
        <v>5.09</v>
      </c>
      <c r="G479" s="242">
        <v>3.43</v>
      </c>
      <c r="H479" s="242">
        <v>2.11</v>
      </c>
      <c r="I479" s="242">
        <v>1.05</v>
      </c>
      <c r="J479" s="242">
        <v>0.24</v>
      </c>
      <c r="K479" s="242">
        <v>0.03</v>
      </c>
      <c r="L479" s="242">
        <v>1.36</v>
      </c>
      <c r="M479" s="242">
        <v>0.6</v>
      </c>
      <c r="N479" s="242">
        <v>4.0999999999999996</v>
      </c>
      <c r="O479" s="242">
        <v>3.73</v>
      </c>
      <c r="P479" s="241" t="s">
        <v>3345</v>
      </c>
      <c r="Q479" s="241" t="s">
        <v>3347</v>
      </c>
      <c r="R479" s="243" t="s">
        <v>4561</v>
      </c>
      <c r="S479" s="270">
        <f t="shared" si="17"/>
        <v>31413</v>
      </c>
      <c r="T479" s="270"/>
      <c r="U479" s="270">
        <f>IFERROR(VLOOKUP($A479,GeneratingCapabilityList!$E$7:$O$1673,11,FALSE),"ID Not Found")</f>
        <v>31413</v>
      </c>
      <c r="V479" s="271" t="str">
        <f>IFERROR(VLOOKUP($A479,GeneratingCapabilityList!$E$7:$O$1673,6,FALSE),"UNKNOWN")</f>
        <v>HYDRO</v>
      </c>
      <c r="W479" s="271">
        <f>IFERROR(VLOOKUP($A479,GeneratingCapabilityList!$E$7:$O$1673,3,FALSE),"ID Not Found")</f>
        <v>12</v>
      </c>
      <c r="Y479" s="270"/>
    </row>
    <row r="480" spans="1:25">
      <c r="A480" s="241" t="s">
        <v>4635</v>
      </c>
      <c r="B480" s="241" t="s">
        <v>3328</v>
      </c>
      <c r="C480" s="241" t="s">
        <v>4636</v>
      </c>
      <c r="D480" s="242">
        <v>0.23</v>
      </c>
      <c r="E480" s="242">
        <v>0.75</v>
      </c>
      <c r="F480" s="242">
        <v>1.84</v>
      </c>
      <c r="G480" s="242">
        <v>2.14</v>
      </c>
      <c r="H480" s="242">
        <v>2.71</v>
      </c>
      <c r="I480" s="242">
        <v>3.06</v>
      </c>
      <c r="J480" s="242">
        <v>2.15</v>
      </c>
      <c r="K480" s="242">
        <v>1.41</v>
      </c>
      <c r="L480" s="242">
        <v>0.42</v>
      </c>
      <c r="M480" s="242">
        <v>0.54</v>
      </c>
      <c r="N480" s="242">
        <v>0.67</v>
      </c>
      <c r="O480" s="242">
        <v>0.37</v>
      </c>
      <c r="P480" s="241" t="s">
        <v>3352</v>
      </c>
      <c r="Q480" s="241" t="s">
        <v>3347</v>
      </c>
      <c r="R480" s="243" t="s">
        <v>4562</v>
      </c>
      <c r="S480" s="270">
        <f>Scenarios!$B$55</f>
        <v>36526</v>
      </c>
      <c r="T480" s="270" t="s">
        <v>4798</v>
      </c>
      <c r="U480" s="270" t="str">
        <f>IFERROR(VLOOKUP($A480,GeneratingCapabilityList!$E$7:$O$1673,11,FALSE),"ID Not Found")</f>
        <v>ID Not Found</v>
      </c>
      <c r="V480" s="271" t="str">
        <f>IFERROR(VLOOKUP($A480,GeneratingCapabilityList!$E$7:$O$1673,6,FALSE),"UNKNOWN")</f>
        <v>UNKNOWN</v>
      </c>
      <c r="W480" s="271" t="str">
        <f>IFERROR(VLOOKUP($A480,GeneratingCapabilityList!$E$7:$O$1673,3,FALSE),"ID Not Found")</f>
        <v>ID Not Found</v>
      </c>
      <c r="Y480" s="270"/>
    </row>
    <row r="481" spans="1:26">
      <c r="A481" s="245" t="s">
        <v>4637</v>
      </c>
      <c r="B481" s="245" t="s">
        <v>3324</v>
      </c>
      <c r="C481" s="245" t="s">
        <v>4638</v>
      </c>
      <c r="D481" s="242">
        <v>0.04</v>
      </c>
      <c r="E481" s="242">
        <v>0.45</v>
      </c>
      <c r="F481" s="242">
        <v>0.36</v>
      </c>
      <c r="G481" s="242">
        <v>0.5</v>
      </c>
      <c r="H481" s="242">
        <v>0.56999999999999995</v>
      </c>
      <c r="I481" s="242">
        <v>0.55000000000000004</v>
      </c>
      <c r="J481" s="242">
        <v>0.59</v>
      </c>
      <c r="K481" s="242">
        <v>0.73</v>
      </c>
      <c r="L481" s="242">
        <v>0.61</v>
      </c>
      <c r="M481" s="242">
        <v>0.28000000000000003</v>
      </c>
      <c r="N481" s="242">
        <v>0.85</v>
      </c>
      <c r="O481" s="242">
        <v>0.5</v>
      </c>
      <c r="P481" s="241" t="s">
        <v>3345</v>
      </c>
      <c r="Q481" s="241" t="s">
        <v>3347</v>
      </c>
      <c r="R481" s="243" t="s">
        <v>4562</v>
      </c>
      <c r="S481" s="270">
        <f>Scenarios!$B$55</f>
        <v>36526</v>
      </c>
      <c r="T481" s="270" t="s">
        <v>4798</v>
      </c>
      <c r="U481" s="270" t="str">
        <f>IFERROR(VLOOKUP($A481,GeneratingCapabilityList!$E$7:$O$1673,11,FALSE),"ID Not Found")</f>
        <v>ID Not Found</v>
      </c>
      <c r="V481" s="271" t="str">
        <f>IFERROR(VLOOKUP($A481,GeneratingCapabilityList!$E$7:$O$1673,6,FALSE),"UNKNOWN")</f>
        <v>UNKNOWN</v>
      </c>
      <c r="W481" s="271" t="str">
        <f>IFERROR(VLOOKUP($A481,GeneratingCapabilityList!$E$7:$O$1673,3,FALSE),"ID Not Found")</f>
        <v>ID Not Found</v>
      </c>
      <c r="Y481" s="270"/>
    </row>
    <row r="482" spans="1:26">
      <c r="A482" s="241" t="s">
        <v>725</v>
      </c>
      <c r="B482" s="241" t="s">
        <v>3324</v>
      </c>
      <c r="C482" s="241" t="s">
        <v>3648</v>
      </c>
      <c r="D482" s="242">
        <v>55</v>
      </c>
      <c r="E482" s="242">
        <v>55</v>
      </c>
      <c r="F482" s="242">
        <v>55</v>
      </c>
      <c r="G482" s="242">
        <v>55</v>
      </c>
      <c r="H482" s="242">
        <v>55</v>
      </c>
      <c r="I482" s="242">
        <v>55</v>
      </c>
      <c r="J482" s="242">
        <v>55</v>
      </c>
      <c r="K482" s="242">
        <v>55</v>
      </c>
      <c r="L482" s="242">
        <v>55</v>
      </c>
      <c r="M482" s="242">
        <v>55</v>
      </c>
      <c r="N482" s="242">
        <v>55</v>
      </c>
      <c r="O482" s="242">
        <v>55</v>
      </c>
      <c r="P482" s="241" t="s">
        <v>3345</v>
      </c>
      <c r="Q482" s="241" t="s">
        <v>3347</v>
      </c>
      <c r="R482" s="243" t="s">
        <v>4561</v>
      </c>
      <c r="S482" s="270">
        <f t="shared" si="17"/>
        <v>28491</v>
      </c>
      <c r="T482" s="270"/>
      <c r="U482" s="270">
        <f>IFERROR(VLOOKUP($A482,GeneratingCapabilityList!$E$7:$O$1673,11,FALSE),"ID Not Found")</f>
        <v>28491</v>
      </c>
      <c r="V482" s="271" t="str">
        <f>IFERROR(VLOOKUP($A482,GeneratingCapabilityList!$E$7:$O$1673,6,FALSE),"UNKNOWN")</f>
        <v>PEAKER</v>
      </c>
      <c r="W482" s="271">
        <f>IFERROR(VLOOKUP($A482,GeneratingCapabilityList!$E$7:$O$1673,3,FALSE),"ID Not Found")</f>
        <v>55</v>
      </c>
      <c r="Y482" s="270"/>
    </row>
    <row r="483" spans="1:26">
      <c r="A483" s="241" t="s">
        <v>729</v>
      </c>
      <c r="B483" s="241" t="s">
        <v>3324</v>
      </c>
      <c r="C483" s="241" t="s">
        <v>3649</v>
      </c>
      <c r="D483" s="242">
        <v>55</v>
      </c>
      <c r="E483" s="242">
        <v>55</v>
      </c>
      <c r="F483" s="242">
        <v>55</v>
      </c>
      <c r="G483" s="242">
        <v>55</v>
      </c>
      <c r="H483" s="242">
        <v>55</v>
      </c>
      <c r="I483" s="242">
        <v>55</v>
      </c>
      <c r="J483" s="242">
        <v>55</v>
      </c>
      <c r="K483" s="242">
        <v>55</v>
      </c>
      <c r="L483" s="242">
        <v>55</v>
      </c>
      <c r="M483" s="242">
        <v>55</v>
      </c>
      <c r="N483" s="242">
        <v>55</v>
      </c>
      <c r="O483" s="242">
        <v>55</v>
      </c>
      <c r="P483" s="241" t="s">
        <v>3345</v>
      </c>
      <c r="Q483" s="241" t="s">
        <v>3347</v>
      </c>
      <c r="R483" s="243" t="s">
        <v>4561</v>
      </c>
      <c r="S483" s="270">
        <f t="shared" si="17"/>
        <v>28491</v>
      </c>
      <c r="T483" s="270"/>
      <c r="U483" s="270">
        <f>IFERROR(VLOOKUP($A483,GeneratingCapabilityList!$E$7:$O$1673,11,FALSE),"ID Not Found")</f>
        <v>28491</v>
      </c>
      <c r="V483" s="271" t="str">
        <f>IFERROR(VLOOKUP($A483,GeneratingCapabilityList!$E$7:$O$1673,6,FALSE),"UNKNOWN")</f>
        <v>PEAKER</v>
      </c>
      <c r="W483" s="271">
        <f>IFERROR(VLOOKUP($A483,GeneratingCapabilityList!$E$7:$O$1673,3,FALSE),"ID Not Found")</f>
        <v>55</v>
      </c>
      <c r="Y483" s="270"/>
    </row>
    <row r="484" spans="1:26">
      <c r="A484" s="241" t="s">
        <v>732</v>
      </c>
      <c r="B484" s="241" t="s">
        <v>3324</v>
      </c>
      <c r="C484" s="241" t="s">
        <v>3650</v>
      </c>
      <c r="D484" s="242">
        <v>55</v>
      </c>
      <c r="E484" s="242">
        <v>55</v>
      </c>
      <c r="F484" s="242">
        <v>55</v>
      </c>
      <c r="G484" s="242">
        <v>55</v>
      </c>
      <c r="H484" s="242">
        <v>55</v>
      </c>
      <c r="I484" s="242">
        <v>55</v>
      </c>
      <c r="J484" s="242">
        <v>55</v>
      </c>
      <c r="K484" s="242">
        <v>55</v>
      </c>
      <c r="L484" s="242">
        <v>55</v>
      </c>
      <c r="M484" s="242">
        <v>55</v>
      </c>
      <c r="N484" s="242">
        <v>55</v>
      </c>
      <c r="O484" s="242">
        <v>55</v>
      </c>
      <c r="P484" s="241" t="s">
        <v>3345</v>
      </c>
      <c r="Q484" s="241" t="s">
        <v>3347</v>
      </c>
      <c r="R484" s="243" t="s">
        <v>4561</v>
      </c>
      <c r="S484" s="270">
        <f t="shared" si="17"/>
        <v>28491</v>
      </c>
      <c r="T484" s="270"/>
      <c r="U484" s="270">
        <f>IFERROR(VLOOKUP($A484,GeneratingCapabilityList!$E$7:$O$1673,11,FALSE),"ID Not Found")</f>
        <v>28491</v>
      </c>
      <c r="V484" s="271" t="str">
        <f>IFERROR(VLOOKUP($A484,GeneratingCapabilityList!$E$7:$O$1673,6,FALSE),"UNKNOWN")</f>
        <v>PEAKER</v>
      </c>
      <c r="W484" s="271">
        <f>IFERROR(VLOOKUP($A484,GeneratingCapabilityList!$E$7:$O$1673,3,FALSE),"ID Not Found")</f>
        <v>55</v>
      </c>
      <c r="Y484" s="270"/>
    </row>
    <row r="485" spans="1:26">
      <c r="A485" s="241" t="s">
        <v>4639</v>
      </c>
      <c r="B485" s="245" t="s">
        <v>4579</v>
      </c>
      <c r="C485" s="875" t="s">
        <v>4640</v>
      </c>
      <c r="D485" s="242">
        <v>10.4</v>
      </c>
      <c r="E485" s="242">
        <v>24</v>
      </c>
      <c r="F485" s="242">
        <v>51.05</v>
      </c>
      <c r="G485" s="242">
        <v>57.42</v>
      </c>
      <c r="H485" s="242">
        <v>82.05</v>
      </c>
      <c r="I485" s="242">
        <v>85.7</v>
      </c>
      <c r="J485" s="242">
        <v>55.27</v>
      </c>
      <c r="K485" s="242">
        <v>46.26</v>
      </c>
      <c r="L485" s="242">
        <v>16.84</v>
      </c>
      <c r="M485" s="242">
        <v>20.52</v>
      </c>
      <c r="N485" s="242">
        <v>18.940000000000001</v>
      </c>
      <c r="O485" s="242">
        <v>14.93</v>
      </c>
      <c r="P485" s="245" t="s">
        <v>3352</v>
      </c>
      <c r="Q485" s="245" t="s">
        <v>3347</v>
      </c>
      <c r="R485" s="243" t="s">
        <v>4562</v>
      </c>
      <c r="S485" s="270">
        <f t="shared" si="17"/>
        <v>41484</v>
      </c>
      <c r="T485" s="270"/>
      <c r="U485" s="270">
        <f>IFERROR(VLOOKUP($A485,GeneratingCapabilityList!$E$7:$O$1673,11,FALSE),"ID Not Found")</f>
        <v>41484</v>
      </c>
      <c r="V485" s="271" t="str">
        <f>IFERROR(VLOOKUP($A485,GeneratingCapabilityList!$E$7:$O$1673,6,FALSE),"UNKNOWN")</f>
        <v>WIND</v>
      </c>
      <c r="W485" s="271">
        <f>IFERROR(VLOOKUP($A485,GeneratingCapabilityList!$E$7:$O$1673,3,FALSE),"ID Not Found")</f>
        <v>265</v>
      </c>
      <c r="Y485" s="270"/>
      <c r="Z485" s="271" t="b">
        <f>TRUE</f>
        <v>1</v>
      </c>
    </row>
    <row r="486" spans="1:26">
      <c r="A486" s="241" t="s">
        <v>2942</v>
      </c>
      <c r="B486" s="241" t="s">
        <v>4579</v>
      </c>
      <c r="C486" s="241" t="s">
        <v>2943</v>
      </c>
      <c r="D486" s="242">
        <v>99.9</v>
      </c>
      <c r="E486" s="242">
        <v>99.9</v>
      </c>
      <c r="F486" s="242">
        <v>99.9</v>
      </c>
      <c r="G486" s="242">
        <v>99.9</v>
      </c>
      <c r="H486" s="242">
        <v>99.9</v>
      </c>
      <c r="I486" s="242">
        <v>99.9</v>
      </c>
      <c r="J486" s="242">
        <v>99.9</v>
      </c>
      <c r="K486" s="242">
        <v>99.9</v>
      </c>
      <c r="L486" s="242">
        <v>99.9</v>
      </c>
      <c r="M486" s="242">
        <v>99.9</v>
      </c>
      <c r="N486" s="242">
        <v>99.9</v>
      </c>
      <c r="O486" s="242">
        <v>99.9</v>
      </c>
      <c r="P486" s="241" t="s">
        <v>3352</v>
      </c>
      <c r="Q486" s="241" t="s">
        <v>3347</v>
      </c>
      <c r="R486" s="243" t="s">
        <v>4561</v>
      </c>
      <c r="S486" s="270">
        <f t="shared" si="17"/>
        <v>40346</v>
      </c>
      <c r="T486" s="270"/>
      <c r="U486" s="270">
        <f>IFERROR(VLOOKUP($A486,GeneratingCapabilityList!$E$7:$O$1673,11,FALSE),"ID Not Found")</f>
        <v>40346</v>
      </c>
      <c r="V486" s="271" t="str">
        <f>IFERROR(VLOOKUP($A486,GeneratingCapabilityList!$E$7:$O$1673,6,FALSE),"UNKNOWN")</f>
        <v>PEAKER</v>
      </c>
      <c r="W486" s="271">
        <f>IFERROR(VLOOKUP($A486,GeneratingCapabilityList!$E$7:$O$1673,3,FALSE),"ID Not Found")</f>
        <v>99.9</v>
      </c>
      <c r="Y486" s="270"/>
    </row>
    <row r="487" spans="1:26">
      <c r="A487" s="241" t="s">
        <v>1106</v>
      </c>
      <c r="B487" s="241" t="s">
        <v>3370</v>
      </c>
      <c r="C487" s="241" t="s">
        <v>1107</v>
      </c>
      <c r="D487" s="242">
        <v>40.03</v>
      </c>
      <c r="E487" s="242">
        <v>40.01</v>
      </c>
      <c r="F487" s="242">
        <v>36.340000000000003</v>
      </c>
      <c r="G487" s="242">
        <v>39.83</v>
      </c>
      <c r="H487" s="242">
        <v>37.78</v>
      </c>
      <c r="I487" s="242">
        <v>39.35</v>
      </c>
      <c r="J487" s="242">
        <v>39.68</v>
      </c>
      <c r="K487" s="242">
        <v>38.340000000000003</v>
      </c>
      <c r="L487" s="242">
        <v>39.65</v>
      </c>
      <c r="M487" s="242">
        <v>39.82</v>
      </c>
      <c r="N487" s="242">
        <v>32.85</v>
      </c>
      <c r="O487" s="242">
        <v>32.53</v>
      </c>
      <c r="P487" s="241" t="s">
        <v>3345</v>
      </c>
      <c r="Q487" s="241" t="s">
        <v>3347</v>
      </c>
      <c r="R487" s="243" t="s">
        <v>4562</v>
      </c>
      <c r="S487" s="270">
        <f t="shared" si="17"/>
        <v>31045</v>
      </c>
      <c r="T487" s="270"/>
      <c r="U487" s="270">
        <f>IFERROR(VLOOKUP($A487,GeneratingCapabilityList!$E$7:$O$1673,11,FALSE),"ID Not Found")</f>
        <v>31045</v>
      </c>
      <c r="V487" s="271" t="str">
        <f>IFERROR(VLOOKUP($A487,GeneratingCapabilityList!$E$7:$O$1673,6,FALSE),"UNKNOWN")</f>
        <v>COGENERATION</v>
      </c>
      <c r="W487" s="271">
        <f>IFERROR(VLOOKUP($A487,GeneratingCapabilityList!$E$7:$O$1673,3,FALSE),"ID Not Found")</f>
        <v>47.1</v>
      </c>
      <c r="Y487" s="270"/>
    </row>
    <row r="488" spans="1:26">
      <c r="A488" s="241" t="s">
        <v>3289</v>
      </c>
      <c r="B488" s="241" t="s">
        <v>3361</v>
      </c>
      <c r="C488" s="241" t="s">
        <v>4641</v>
      </c>
      <c r="D488" s="242">
        <v>0.24</v>
      </c>
      <c r="E488" s="242">
        <v>0.17</v>
      </c>
      <c r="F488" s="242">
        <v>1.04</v>
      </c>
      <c r="G488" s="242">
        <v>1.93</v>
      </c>
      <c r="H488" s="242">
        <v>1.35</v>
      </c>
      <c r="I488" s="242">
        <v>2.67</v>
      </c>
      <c r="J488" s="242">
        <v>3.29</v>
      </c>
      <c r="K488" s="242">
        <v>2.86</v>
      </c>
      <c r="L488" s="242">
        <v>2.31</v>
      </c>
      <c r="M488" s="242">
        <v>1.39</v>
      </c>
      <c r="N488" s="242">
        <v>0.34</v>
      </c>
      <c r="O488" s="242">
        <v>0.21</v>
      </c>
      <c r="P488" s="241" t="s">
        <v>3345</v>
      </c>
      <c r="Q488" s="241" t="s">
        <v>3347</v>
      </c>
      <c r="R488" s="243" t="s">
        <v>4562</v>
      </c>
      <c r="S488" s="270">
        <f t="shared" si="17"/>
        <v>31971</v>
      </c>
      <c r="T488" s="270"/>
      <c r="U488" s="270">
        <f>IFERROR(VLOOKUP($A488,GeneratingCapabilityList!$E$7:$O$1673,11,FALSE),"ID Not Found")</f>
        <v>31971</v>
      </c>
      <c r="V488" s="271" t="str">
        <f>IFERROR(VLOOKUP($A488,GeneratingCapabilityList!$E$7:$O$1673,6,FALSE),"UNKNOWN")</f>
        <v>HYDRO</v>
      </c>
      <c r="W488" s="271">
        <f>IFERROR(VLOOKUP($A488,GeneratingCapabilityList!$E$7:$O$1673,3,FALSE),"ID Not Found")</f>
        <v>3.8</v>
      </c>
      <c r="Y488" s="270"/>
    </row>
    <row r="489" spans="1:26">
      <c r="A489" s="241" t="s">
        <v>744</v>
      </c>
      <c r="B489" s="241" t="s">
        <v>3327</v>
      </c>
      <c r="C489" s="241" t="s">
        <v>3651</v>
      </c>
      <c r="D489" s="242">
        <v>3.13</v>
      </c>
      <c r="E489" s="242">
        <v>3.13</v>
      </c>
      <c r="F489" s="242">
        <v>3.13</v>
      </c>
      <c r="G489" s="242">
        <v>3.13</v>
      </c>
      <c r="H489" s="242">
        <v>3.13</v>
      </c>
      <c r="I489" s="242">
        <v>3.13</v>
      </c>
      <c r="J489" s="242">
        <v>3.13</v>
      </c>
      <c r="K489" s="242">
        <v>3.13</v>
      </c>
      <c r="L489" s="242">
        <v>3.13</v>
      </c>
      <c r="M489" s="242">
        <v>3.13</v>
      </c>
      <c r="N489" s="242">
        <v>3.13</v>
      </c>
      <c r="O489" s="242">
        <v>3.13</v>
      </c>
      <c r="P489" s="241" t="s">
        <v>3352</v>
      </c>
      <c r="Q489" s="241" t="s">
        <v>3347</v>
      </c>
      <c r="R489" s="243" t="s">
        <v>4561</v>
      </c>
      <c r="S489" s="270">
        <f t="shared" si="17"/>
        <v>28907</v>
      </c>
      <c r="T489" s="270"/>
      <c r="U489" s="270">
        <f>IFERROR(VLOOKUP($A489,GeneratingCapabilityList!$E$7:$O$1673,11,FALSE),"ID Not Found")</f>
        <v>28907</v>
      </c>
      <c r="V489" s="271" t="str">
        <f>IFERROR(VLOOKUP($A489,GeneratingCapabilityList!$E$7:$O$1673,6,FALSE),"UNKNOWN")</f>
        <v>HYDRO</v>
      </c>
      <c r="W489" s="271">
        <f>IFERROR(VLOOKUP($A489,GeneratingCapabilityList!$E$7:$O$1673,3,FALSE),"ID Not Found")</f>
        <v>3.13</v>
      </c>
      <c r="Y489" s="270"/>
    </row>
    <row r="490" spans="1:26">
      <c r="A490" s="245" t="s">
        <v>4416</v>
      </c>
      <c r="B490" s="247" t="s">
        <v>3327</v>
      </c>
      <c r="C490" s="248" t="s">
        <v>4417</v>
      </c>
      <c r="D490" s="249">
        <v>25.32</v>
      </c>
      <c r="E490" s="249">
        <v>26.01</v>
      </c>
      <c r="F490" s="249">
        <v>24.53</v>
      </c>
      <c r="G490" s="249">
        <v>21.82</v>
      </c>
      <c r="H490" s="249">
        <v>21.64</v>
      </c>
      <c r="I490" s="249">
        <v>26.24</v>
      </c>
      <c r="J490" s="249">
        <v>27.66</v>
      </c>
      <c r="K490" s="249">
        <v>27.19</v>
      </c>
      <c r="L490" s="249">
        <v>27.18</v>
      </c>
      <c r="M490" s="249">
        <v>25.49</v>
      </c>
      <c r="N490" s="249">
        <v>25.15</v>
      </c>
      <c r="O490" s="249">
        <v>25.9</v>
      </c>
      <c r="P490" s="245" t="s">
        <v>3352</v>
      </c>
      <c r="Q490" s="245" t="s">
        <v>3347</v>
      </c>
      <c r="R490" s="246" t="s">
        <v>4562</v>
      </c>
      <c r="S490" s="270">
        <f t="shared" si="17"/>
        <v>41214</v>
      </c>
      <c r="T490" s="270"/>
      <c r="U490" s="270">
        <f>IFERROR(VLOOKUP($A490,GeneratingCapabilityList!$E$7:$O$1673,11,FALSE),"ID Not Found")</f>
        <v>41214</v>
      </c>
      <c r="V490" s="271" t="str">
        <f>IFERROR(VLOOKUP($A490,GeneratingCapabilityList!$E$7:$O$1673,6,FALSE),"UNKNOWN")</f>
        <v>THERMAL</v>
      </c>
      <c r="W490" s="271">
        <f>IFERROR(VLOOKUP($A490,GeneratingCapabilityList!$E$7:$O$1673,3,FALSE),"ID Not Found")</f>
        <v>28.1</v>
      </c>
      <c r="Y490" s="270"/>
    </row>
    <row r="491" spans="1:26">
      <c r="A491" s="241" t="s">
        <v>1013</v>
      </c>
      <c r="B491" s="241" t="s">
        <v>3327</v>
      </c>
      <c r="C491" s="241" t="s">
        <v>3652</v>
      </c>
      <c r="D491" s="242">
        <v>0.02</v>
      </c>
      <c r="E491" s="242">
        <v>0.02</v>
      </c>
      <c r="F491" s="242">
        <v>0.02</v>
      </c>
      <c r="G491" s="242">
        <v>0.02</v>
      </c>
      <c r="H491" s="242">
        <v>0.09</v>
      </c>
      <c r="I491" s="242">
        <v>0.19</v>
      </c>
      <c r="J491" s="242">
        <v>0.17</v>
      </c>
      <c r="K491" s="242">
        <v>0.16</v>
      </c>
      <c r="L491" s="242">
        <v>0.17</v>
      </c>
      <c r="M491" s="242">
        <v>0.11</v>
      </c>
      <c r="N491" s="242">
        <v>0.08</v>
      </c>
      <c r="O491" s="242">
        <v>0.02</v>
      </c>
      <c r="P491" s="241" t="s">
        <v>3352</v>
      </c>
      <c r="Q491" s="241" t="s">
        <v>3347</v>
      </c>
      <c r="R491" s="243" t="s">
        <v>4562</v>
      </c>
      <c r="S491" s="270">
        <f t="shared" si="17"/>
        <v>30682</v>
      </c>
      <c r="T491" s="270"/>
      <c r="U491" s="270">
        <f>IFERROR(VLOOKUP($A491,GeneratingCapabilityList!$E$7:$O$1673,11,FALSE),"ID Not Found")</f>
        <v>30682</v>
      </c>
      <c r="V491" s="271" t="str">
        <f>IFERROR(VLOOKUP($A491,GeneratingCapabilityList!$E$7:$O$1673,6,FALSE),"UNKNOWN")</f>
        <v>HYDRO</v>
      </c>
      <c r="W491" s="271">
        <f>IFERROR(VLOOKUP($A491,GeneratingCapabilityList!$E$7:$O$1673,3,FALSE),"ID Not Found")</f>
        <v>13.3</v>
      </c>
      <c r="Y491" s="270"/>
    </row>
    <row r="492" spans="1:26">
      <c r="A492" s="241" t="s">
        <v>2493</v>
      </c>
      <c r="B492" s="241" t="s">
        <v>3327</v>
      </c>
      <c r="C492" s="241" t="s">
        <v>2493</v>
      </c>
      <c r="D492" s="242">
        <v>4.41</v>
      </c>
      <c r="E492" s="242">
        <v>4.34</v>
      </c>
      <c r="F492" s="242">
        <v>3.96</v>
      </c>
      <c r="G492" s="242">
        <v>4.32</v>
      </c>
      <c r="H492" s="242">
        <v>4.22</v>
      </c>
      <c r="I492" s="242">
        <v>4.3</v>
      </c>
      <c r="J492" s="242">
        <v>4.22</v>
      </c>
      <c r="K492" s="242">
        <v>4.09</v>
      </c>
      <c r="L492" s="242">
        <v>4.18</v>
      </c>
      <c r="M492" s="242">
        <v>4.21</v>
      </c>
      <c r="N492" s="242">
        <v>4.24</v>
      </c>
      <c r="O492" s="242">
        <v>4.01</v>
      </c>
      <c r="P492" s="241" t="s">
        <v>3352</v>
      </c>
      <c r="Q492" s="241" t="s">
        <v>3347</v>
      </c>
      <c r="R492" s="243" t="s">
        <v>4562</v>
      </c>
      <c r="S492" s="270">
        <f t="shared" si="17"/>
        <v>37377</v>
      </c>
      <c r="T492" s="270"/>
      <c r="U492" s="270">
        <f>IFERROR(VLOOKUP($A492,GeneratingCapabilityList!$E$7:$O$1673,11,FALSE),"ID Not Found")</f>
        <v>37377</v>
      </c>
      <c r="V492" s="271" t="str">
        <f>IFERROR(VLOOKUP($A492,GeneratingCapabilityList!$E$7:$O$1673,6,FALSE),"UNKNOWN")</f>
        <v>BIOMASS</v>
      </c>
      <c r="W492" s="271">
        <f>IFERROR(VLOOKUP($A492,GeneratingCapabilityList!$E$7:$O$1673,3,FALSE),"ID Not Found")</f>
        <v>5.6</v>
      </c>
      <c r="Y492" s="270"/>
    </row>
    <row r="493" spans="1:26">
      <c r="A493" s="245" t="s">
        <v>4642</v>
      </c>
      <c r="B493" s="247" t="s">
        <v>3370</v>
      </c>
      <c r="C493" s="248" t="s">
        <v>4643</v>
      </c>
      <c r="D493" s="257" t="s">
        <v>4573</v>
      </c>
      <c r="E493" s="257" t="s">
        <v>4573</v>
      </c>
      <c r="F493" s="257" t="s">
        <v>4573</v>
      </c>
      <c r="G493" s="257" t="s">
        <v>4573</v>
      </c>
      <c r="H493" s="257" t="s">
        <v>4573</v>
      </c>
      <c r="I493" s="257" t="s">
        <v>4573</v>
      </c>
      <c r="J493" s="257" t="s">
        <v>4573</v>
      </c>
      <c r="K493" s="257" t="s">
        <v>4573</v>
      </c>
      <c r="L493" s="257" t="s">
        <v>4573</v>
      </c>
      <c r="M493" s="257" t="s">
        <v>4573</v>
      </c>
      <c r="N493" s="257" t="s">
        <v>4573</v>
      </c>
      <c r="O493" s="257" t="s">
        <v>4573</v>
      </c>
      <c r="P493" s="248" t="s">
        <v>3345</v>
      </c>
      <c r="Q493" s="248" t="s">
        <v>3385</v>
      </c>
      <c r="R493" s="246" t="s">
        <v>4562</v>
      </c>
      <c r="S493" s="270">
        <f t="shared" si="17"/>
        <v>41447</v>
      </c>
      <c r="T493" s="270"/>
      <c r="U493" s="270">
        <f>IFERROR(VLOOKUP($A493,GeneratingCapabilityList!$E$7:$O$1673,11,FALSE),"ID Not Found")</f>
        <v>41447</v>
      </c>
      <c r="V493" s="271" t="str">
        <f>IFERROR(VLOOKUP($A493,GeneratingCapabilityList!$E$7:$O$1673,6,FALSE),"UNKNOWN")</f>
        <v>SOLAR</v>
      </c>
      <c r="W493" s="271">
        <f>IFERROR(VLOOKUP($A493,GeneratingCapabilityList!$E$7:$O$1673,3,FALSE),"ID Not Found")</f>
        <v>20</v>
      </c>
      <c r="Y493" s="270"/>
    </row>
    <row r="494" spans="1:26">
      <c r="A494" s="241" t="s">
        <v>1962</v>
      </c>
      <c r="B494" s="241" t="s">
        <v>3361</v>
      </c>
      <c r="C494" s="241" t="s">
        <v>1963</v>
      </c>
      <c r="D494" s="242">
        <v>0.67</v>
      </c>
      <c r="E494" s="242">
        <v>0.74</v>
      </c>
      <c r="F494" s="242">
        <v>1.73</v>
      </c>
      <c r="G494" s="242">
        <v>2.2000000000000002</v>
      </c>
      <c r="H494" s="242">
        <v>2.93</v>
      </c>
      <c r="I494" s="242">
        <v>2.57</v>
      </c>
      <c r="J494" s="242">
        <v>0.72</v>
      </c>
      <c r="K494" s="242">
        <v>0.14000000000000001</v>
      </c>
      <c r="L494" s="242">
        <v>0.02</v>
      </c>
      <c r="M494" s="242">
        <v>0</v>
      </c>
      <c r="N494" s="242">
        <v>0.01</v>
      </c>
      <c r="O494" s="242">
        <v>0.3</v>
      </c>
      <c r="P494" s="241" t="s">
        <v>3345</v>
      </c>
      <c r="Q494" s="241" t="s">
        <v>3347</v>
      </c>
      <c r="R494" s="243" t="s">
        <v>4562</v>
      </c>
      <c r="S494" s="270">
        <f t="shared" si="17"/>
        <v>32876</v>
      </c>
      <c r="T494" s="270"/>
      <c r="U494" s="270">
        <f>IFERROR(VLOOKUP($A494,GeneratingCapabilityList!$E$7:$O$1673,11,FALSE),"ID Not Found")</f>
        <v>32876</v>
      </c>
      <c r="V494" s="271" t="str">
        <f>IFERROR(VLOOKUP($A494,GeneratingCapabilityList!$E$7:$O$1673,6,FALSE),"UNKNOWN")</f>
        <v>HYDRO</v>
      </c>
      <c r="W494" s="271">
        <f>IFERROR(VLOOKUP($A494,GeneratingCapabilityList!$E$7:$O$1673,3,FALSE),"ID Not Found")</f>
        <v>5.8</v>
      </c>
      <c r="Y494" s="270"/>
    </row>
    <row r="495" spans="1:26">
      <c r="A495" s="241" t="s">
        <v>1201</v>
      </c>
      <c r="B495" s="241" t="s">
        <v>3328</v>
      </c>
      <c r="C495" s="241" t="s">
        <v>3653</v>
      </c>
      <c r="D495" s="242">
        <v>77.25</v>
      </c>
      <c r="E495" s="242">
        <v>77.25</v>
      </c>
      <c r="F495" s="242">
        <v>77.25</v>
      </c>
      <c r="G495" s="242">
        <v>77.25</v>
      </c>
      <c r="H495" s="242">
        <v>77.25</v>
      </c>
      <c r="I495" s="242">
        <v>77.25</v>
      </c>
      <c r="J495" s="242">
        <v>77.25</v>
      </c>
      <c r="K495" s="242">
        <v>77.25</v>
      </c>
      <c r="L495" s="242">
        <v>77.25</v>
      </c>
      <c r="M495" s="242">
        <v>77.25</v>
      </c>
      <c r="N495" s="242">
        <v>77.25</v>
      </c>
      <c r="O495" s="242">
        <v>77.25</v>
      </c>
      <c r="P495" s="241" t="s">
        <v>3352</v>
      </c>
      <c r="Q495" s="241" t="s">
        <v>3347</v>
      </c>
      <c r="R495" s="243" t="s">
        <v>4561</v>
      </c>
      <c r="S495" s="270">
        <f t="shared" si="17"/>
        <v>31168</v>
      </c>
      <c r="T495" s="270"/>
      <c r="U495" s="270">
        <f>IFERROR(VLOOKUP($A495,GeneratingCapabilityList!$E$7:$O$1673,11,FALSE),"ID Not Found")</f>
        <v>31168</v>
      </c>
      <c r="V495" s="271" t="str">
        <f>IFERROR(VLOOKUP($A495,GeneratingCapabilityList!$E$7:$O$1673,6,FALSE),"UNKNOWN")</f>
        <v>COGENERATION</v>
      </c>
      <c r="W495" s="271">
        <f>IFERROR(VLOOKUP($A495,GeneratingCapabilityList!$E$7:$O$1673,3,FALSE),"ID Not Found")</f>
        <v>78</v>
      </c>
      <c r="Y495" s="270"/>
    </row>
    <row r="496" spans="1:26">
      <c r="A496" s="241" t="s">
        <v>1205</v>
      </c>
      <c r="B496" s="241" t="s">
        <v>3328</v>
      </c>
      <c r="C496" s="241" t="s">
        <v>3654</v>
      </c>
      <c r="D496" s="242">
        <v>77.25</v>
      </c>
      <c r="E496" s="242">
        <v>77.25</v>
      </c>
      <c r="F496" s="242">
        <v>77.25</v>
      </c>
      <c r="G496" s="242">
        <v>77.25</v>
      </c>
      <c r="H496" s="242">
        <v>77.25</v>
      </c>
      <c r="I496" s="242">
        <v>77.25</v>
      </c>
      <c r="J496" s="242">
        <v>77.25</v>
      </c>
      <c r="K496" s="242">
        <v>77.25</v>
      </c>
      <c r="L496" s="242">
        <v>77.25</v>
      </c>
      <c r="M496" s="242">
        <v>77.25</v>
      </c>
      <c r="N496" s="242">
        <v>77.25</v>
      </c>
      <c r="O496" s="242">
        <v>77.25</v>
      </c>
      <c r="P496" s="241" t="s">
        <v>3352</v>
      </c>
      <c r="Q496" s="241" t="s">
        <v>3347</v>
      </c>
      <c r="R496" s="243" t="s">
        <v>4561</v>
      </c>
      <c r="S496" s="270">
        <f t="shared" si="17"/>
        <v>31168</v>
      </c>
      <c r="T496" s="270"/>
      <c r="U496" s="270">
        <f>IFERROR(VLOOKUP($A496,GeneratingCapabilityList!$E$7:$O$1673,11,FALSE),"ID Not Found")</f>
        <v>31168</v>
      </c>
      <c r="V496" s="271" t="str">
        <f>IFERROR(VLOOKUP($A496,GeneratingCapabilityList!$E$7:$O$1673,6,FALSE),"UNKNOWN")</f>
        <v>COGENERATION</v>
      </c>
      <c r="W496" s="271">
        <f>IFERROR(VLOOKUP($A496,GeneratingCapabilityList!$E$7:$O$1673,3,FALSE),"ID Not Found")</f>
        <v>78</v>
      </c>
      <c r="Y496" s="270"/>
    </row>
    <row r="497" spans="1:25">
      <c r="A497" s="241" t="s">
        <v>1207</v>
      </c>
      <c r="B497" s="241" t="s">
        <v>3328</v>
      </c>
      <c r="C497" s="241" t="s">
        <v>3655</v>
      </c>
      <c r="D497" s="242">
        <v>77.25</v>
      </c>
      <c r="E497" s="242">
        <v>77.25</v>
      </c>
      <c r="F497" s="242">
        <v>77.25</v>
      </c>
      <c r="G497" s="242">
        <v>77.25</v>
      </c>
      <c r="H497" s="242">
        <v>77.25</v>
      </c>
      <c r="I497" s="242">
        <v>77.25</v>
      </c>
      <c r="J497" s="242">
        <v>77.25</v>
      </c>
      <c r="K497" s="242">
        <v>77.25</v>
      </c>
      <c r="L497" s="242">
        <v>77.25</v>
      </c>
      <c r="M497" s="242">
        <v>77.25</v>
      </c>
      <c r="N497" s="242">
        <v>77.25</v>
      </c>
      <c r="O497" s="242">
        <v>77.25</v>
      </c>
      <c r="P497" s="241" t="s">
        <v>3352</v>
      </c>
      <c r="Q497" s="241" t="s">
        <v>3347</v>
      </c>
      <c r="R497" s="243" t="s">
        <v>4561</v>
      </c>
      <c r="S497" s="270">
        <f t="shared" si="17"/>
        <v>31168</v>
      </c>
      <c r="T497" s="270"/>
      <c r="U497" s="270">
        <f>IFERROR(VLOOKUP($A497,GeneratingCapabilityList!$E$7:$O$1673,11,FALSE),"ID Not Found")</f>
        <v>31168</v>
      </c>
      <c r="V497" s="271" t="str">
        <f>IFERROR(VLOOKUP($A497,GeneratingCapabilityList!$E$7:$O$1673,6,FALSE),"UNKNOWN")</f>
        <v>COGENERATION</v>
      </c>
      <c r="W497" s="271">
        <f>IFERROR(VLOOKUP($A497,GeneratingCapabilityList!$E$7:$O$1673,3,FALSE),"ID Not Found")</f>
        <v>80</v>
      </c>
      <c r="Y497" s="270"/>
    </row>
    <row r="498" spans="1:25">
      <c r="A498" s="241" t="s">
        <v>1209</v>
      </c>
      <c r="B498" s="241" t="s">
        <v>3328</v>
      </c>
      <c r="C498" s="241" t="s">
        <v>3656</v>
      </c>
      <c r="D498" s="242">
        <v>77.25</v>
      </c>
      <c r="E498" s="242">
        <v>77.25</v>
      </c>
      <c r="F498" s="242">
        <v>77.25</v>
      </c>
      <c r="G498" s="242">
        <v>77.25</v>
      </c>
      <c r="H498" s="242">
        <v>77.25</v>
      </c>
      <c r="I498" s="242">
        <v>77.25</v>
      </c>
      <c r="J498" s="242">
        <v>77.25</v>
      </c>
      <c r="K498" s="242">
        <v>77.25</v>
      </c>
      <c r="L498" s="242">
        <v>77.25</v>
      </c>
      <c r="M498" s="242">
        <v>77.25</v>
      </c>
      <c r="N498" s="242">
        <v>77.25</v>
      </c>
      <c r="O498" s="242">
        <v>77.25</v>
      </c>
      <c r="P498" s="241" t="s">
        <v>3352</v>
      </c>
      <c r="Q498" s="241" t="s">
        <v>3347</v>
      </c>
      <c r="R498" s="243" t="s">
        <v>4561</v>
      </c>
      <c r="S498" s="270">
        <f t="shared" si="17"/>
        <v>31168</v>
      </c>
      <c r="T498" s="270"/>
      <c r="U498" s="270">
        <f>IFERROR(VLOOKUP($A498,GeneratingCapabilityList!$E$7:$O$1673,11,FALSE),"ID Not Found")</f>
        <v>31168</v>
      </c>
      <c r="V498" s="271" t="str">
        <f>IFERROR(VLOOKUP($A498,GeneratingCapabilityList!$E$7:$O$1673,6,FALSE),"UNKNOWN")</f>
        <v>COGENERATION</v>
      </c>
      <c r="W498" s="271">
        <f>IFERROR(VLOOKUP($A498,GeneratingCapabilityList!$E$7:$O$1673,3,FALSE),"ID Not Found")</f>
        <v>80</v>
      </c>
      <c r="Y498" s="270"/>
    </row>
    <row r="499" spans="1:25">
      <c r="A499" s="241" t="s">
        <v>649</v>
      </c>
      <c r="B499" s="241" t="s">
        <v>3328</v>
      </c>
      <c r="C499" s="241" t="s">
        <v>3657</v>
      </c>
      <c r="D499" s="242">
        <v>741.27</v>
      </c>
      <c r="E499" s="242">
        <v>741.27</v>
      </c>
      <c r="F499" s="242">
        <v>741.27</v>
      </c>
      <c r="G499" s="242">
        <v>741.27</v>
      </c>
      <c r="H499" s="242">
        <v>741.27</v>
      </c>
      <c r="I499" s="242">
        <v>741.27</v>
      </c>
      <c r="J499" s="242">
        <v>741.27</v>
      </c>
      <c r="K499" s="242">
        <v>741.27</v>
      </c>
      <c r="L499" s="242">
        <v>741.27</v>
      </c>
      <c r="M499" s="242">
        <v>741.27</v>
      </c>
      <c r="N499" s="242">
        <v>741.27</v>
      </c>
      <c r="O499" s="242">
        <v>741.27</v>
      </c>
      <c r="P499" s="241" t="s">
        <v>3352</v>
      </c>
      <c r="Q499" s="241" t="s">
        <v>3347</v>
      </c>
      <c r="R499" s="243" t="s">
        <v>4561</v>
      </c>
      <c r="S499" s="270">
        <f t="shared" si="17"/>
        <v>25934</v>
      </c>
      <c r="T499" s="270"/>
      <c r="U499" s="270">
        <f>IFERROR(VLOOKUP($A499,GeneratingCapabilityList!$E$7:$O$1673,11,FALSE),"ID Not Found")</f>
        <v>25934</v>
      </c>
      <c r="V499" s="271" t="str">
        <f>IFERROR(VLOOKUP($A499,GeneratingCapabilityList!$E$7:$O$1673,6,FALSE),"UNKNOWN")</f>
        <v>THERMAL</v>
      </c>
      <c r="W499" s="271">
        <f>IFERROR(VLOOKUP($A499,GeneratingCapabilityList!$E$7:$O$1673,3,FALSE),"ID Not Found")</f>
        <v>741.27</v>
      </c>
      <c r="X499" s="271" t="s">
        <v>12</v>
      </c>
      <c r="Y499" s="270">
        <v>44196</v>
      </c>
    </row>
    <row r="500" spans="1:25">
      <c r="A500" s="241" t="s">
        <v>652</v>
      </c>
      <c r="B500" s="241" t="s">
        <v>3328</v>
      </c>
      <c r="C500" s="241" t="s">
        <v>3658</v>
      </c>
      <c r="D500" s="242">
        <v>775</v>
      </c>
      <c r="E500" s="242">
        <v>775</v>
      </c>
      <c r="F500" s="242">
        <v>775</v>
      </c>
      <c r="G500" s="242">
        <v>775</v>
      </c>
      <c r="H500" s="242">
        <v>775</v>
      </c>
      <c r="I500" s="242">
        <v>775</v>
      </c>
      <c r="J500" s="242">
        <v>775</v>
      </c>
      <c r="K500" s="242">
        <v>775</v>
      </c>
      <c r="L500" s="242">
        <v>775</v>
      </c>
      <c r="M500" s="242">
        <v>775</v>
      </c>
      <c r="N500" s="242">
        <v>775</v>
      </c>
      <c r="O500" s="242">
        <v>775</v>
      </c>
      <c r="P500" s="241" t="s">
        <v>3352</v>
      </c>
      <c r="Q500" s="241" t="s">
        <v>3347</v>
      </c>
      <c r="R500" s="243" t="s">
        <v>4561</v>
      </c>
      <c r="S500" s="270">
        <f t="shared" si="17"/>
        <v>25934</v>
      </c>
      <c r="T500" s="270"/>
      <c r="U500" s="270">
        <f>IFERROR(VLOOKUP($A500,GeneratingCapabilityList!$E$7:$O$1673,11,FALSE),"ID Not Found")</f>
        <v>25934</v>
      </c>
      <c r="V500" s="271" t="str">
        <f>IFERROR(VLOOKUP($A500,GeneratingCapabilityList!$E$7:$O$1673,6,FALSE),"UNKNOWN")</f>
        <v>THERMAL</v>
      </c>
      <c r="W500" s="271">
        <f>IFERROR(VLOOKUP($A500,GeneratingCapabilityList!$E$7:$O$1673,3,FALSE),"ID Not Found")</f>
        <v>775</v>
      </c>
      <c r="X500" s="271" t="s">
        <v>12</v>
      </c>
      <c r="Y500" s="270">
        <v>44196</v>
      </c>
    </row>
    <row r="501" spans="1:25">
      <c r="A501" s="244" t="s">
        <v>1902</v>
      </c>
      <c r="B501" s="241" t="s">
        <v>3375</v>
      </c>
      <c r="C501" s="241" t="s">
        <v>1903</v>
      </c>
      <c r="D501" s="269">
        <v>7.5</v>
      </c>
      <c r="E501" s="269">
        <v>7.5</v>
      </c>
      <c r="F501" s="269">
        <v>7.5</v>
      </c>
      <c r="G501" s="269">
        <v>7.5</v>
      </c>
      <c r="H501" s="269">
        <v>7.5</v>
      </c>
      <c r="I501" s="269">
        <v>7.5</v>
      </c>
      <c r="J501" s="269">
        <v>7.5</v>
      </c>
      <c r="K501" s="269">
        <v>7.5</v>
      </c>
      <c r="L501" s="269">
        <v>7.5</v>
      </c>
      <c r="M501" s="269">
        <v>7.5</v>
      </c>
      <c r="N501" s="269">
        <v>7.5</v>
      </c>
      <c r="O501" s="269">
        <v>7.5</v>
      </c>
      <c r="P501" s="241" t="s">
        <v>3345</v>
      </c>
      <c r="Q501" s="241" t="s">
        <v>3347</v>
      </c>
      <c r="R501" s="243" t="s">
        <v>4561</v>
      </c>
      <c r="S501" s="270">
        <f t="shared" si="17"/>
        <v>32860</v>
      </c>
      <c r="T501" s="270"/>
      <c r="U501" s="270">
        <f>IFERROR(VLOOKUP($A501,GeneratingCapabilityList!$E$7:$O$1673,11,FALSE),"ID Not Found")</f>
        <v>32860</v>
      </c>
      <c r="V501" s="271" t="str">
        <f>IFERROR(VLOOKUP($A501,GeneratingCapabilityList!$E$7:$O$1673,6,FALSE),"UNKNOWN")</f>
        <v>COGENERATION</v>
      </c>
      <c r="W501" s="271">
        <f>IFERROR(VLOOKUP($A501,GeneratingCapabilityList!$E$7:$O$1673,3,FALSE),"ID Not Found")</f>
        <v>7.5</v>
      </c>
      <c r="Y501" s="270"/>
    </row>
    <row r="502" spans="1:25">
      <c r="A502" s="245" t="s">
        <v>3659</v>
      </c>
      <c r="B502" s="245" t="s">
        <v>3328</v>
      </c>
      <c r="C502" s="245" t="s">
        <v>3659</v>
      </c>
      <c r="D502" s="249">
        <v>13.987500190734863</v>
      </c>
      <c r="E502" s="249">
        <v>12.738615989685059</v>
      </c>
      <c r="F502" s="249">
        <v>13.987500190734863</v>
      </c>
      <c r="G502" s="249">
        <v>13.987500190734863</v>
      </c>
      <c r="H502" s="249">
        <v>18</v>
      </c>
      <c r="I502" s="249">
        <v>18</v>
      </c>
      <c r="J502" s="249">
        <v>18</v>
      </c>
      <c r="K502" s="249">
        <v>18</v>
      </c>
      <c r="L502" s="249">
        <v>18</v>
      </c>
      <c r="M502" s="249">
        <v>18</v>
      </c>
      <c r="N502" s="249">
        <v>18</v>
      </c>
      <c r="O502" s="249">
        <v>13.400927543640137</v>
      </c>
      <c r="P502" s="245" t="s">
        <v>3352</v>
      </c>
      <c r="Q502" s="245" t="s">
        <v>3347</v>
      </c>
      <c r="R502" s="246" t="s">
        <v>4562</v>
      </c>
      <c r="S502" s="270">
        <f>Scenarios!$B$55</f>
        <v>36526</v>
      </c>
      <c r="T502" s="270" t="s">
        <v>4798</v>
      </c>
      <c r="U502" s="270" t="str">
        <f>IFERROR(VLOOKUP($A502,GeneratingCapabilityList!$E$7:$O$1673,11,FALSE),"ID Not Found")</f>
        <v>UNK</v>
      </c>
      <c r="V502" s="271" t="str">
        <f>IFERROR(VLOOKUP($A502,GeneratingCapabilityList!$E$7:$O$1673,6,FALSE),"UNKNOWN")</f>
        <v>PUMP</v>
      </c>
      <c r="W502" s="271">
        <f>IFERROR(VLOOKUP($A502,GeneratingCapabilityList!$E$7:$O$1673,3,FALSE),"ID Not Found")</f>
        <v>18</v>
      </c>
      <c r="Y502" s="270"/>
    </row>
    <row r="503" spans="1:25">
      <c r="A503" s="241" t="s">
        <v>2823</v>
      </c>
      <c r="B503" s="241" t="s">
        <v>4579</v>
      </c>
      <c r="C503" s="241" t="s">
        <v>4644</v>
      </c>
      <c r="D503" s="242">
        <v>35.5</v>
      </c>
      <c r="E503" s="242">
        <v>35.5</v>
      </c>
      <c r="F503" s="242">
        <v>35.5</v>
      </c>
      <c r="G503" s="242">
        <v>35.5</v>
      </c>
      <c r="H503" s="242">
        <v>35.5</v>
      </c>
      <c r="I503" s="242">
        <v>35.5</v>
      </c>
      <c r="J503" s="242">
        <v>35.5</v>
      </c>
      <c r="K503" s="242">
        <v>35.5</v>
      </c>
      <c r="L503" s="242">
        <v>35.5</v>
      </c>
      <c r="M503" s="242">
        <v>35.5</v>
      </c>
      <c r="N503" s="242">
        <v>35.5</v>
      </c>
      <c r="O503" s="242">
        <v>35.5</v>
      </c>
      <c r="P503" s="241" t="s">
        <v>3352</v>
      </c>
      <c r="Q503" s="241" t="s">
        <v>3347</v>
      </c>
      <c r="R503" s="243" t="s">
        <v>4561</v>
      </c>
      <c r="S503" s="270">
        <f t="shared" ref="S503:S517" si="18">U503</f>
        <v>38876</v>
      </c>
      <c r="T503" s="270"/>
      <c r="U503" s="270">
        <f>IFERROR(VLOOKUP($A503,GeneratingCapabilityList!$E$7:$O$1673,11,FALSE),"ID Not Found")</f>
        <v>38876</v>
      </c>
      <c r="V503" s="271" t="str">
        <f>IFERROR(VLOOKUP($A503,GeneratingCapabilityList!$E$7:$O$1673,6,FALSE),"UNKNOWN")</f>
        <v>PEAKER</v>
      </c>
      <c r="W503" s="271">
        <f>IFERROR(VLOOKUP($A503,GeneratingCapabilityList!$E$7:$O$1673,3,FALSE),"ID Not Found")</f>
        <v>35.5</v>
      </c>
      <c r="Y503" s="270"/>
    </row>
    <row r="504" spans="1:25">
      <c r="A504" s="241" t="s">
        <v>1496</v>
      </c>
      <c r="B504" s="241" t="s">
        <v>4579</v>
      </c>
      <c r="C504" s="241" t="s">
        <v>3660</v>
      </c>
      <c r="D504" s="242">
        <v>1.78</v>
      </c>
      <c r="E504" s="242">
        <v>2.86</v>
      </c>
      <c r="F504" s="242">
        <v>2.96</v>
      </c>
      <c r="G504" s="242">
        <v>2.69</v>
      </c>
      <c r="H504" s="242">
        <v>2.67</v>
      </c>
      <c r="I504" s="242">
        <v>2.54</v>
      </c>
      <c r="J504" s="242">
        <v>2.4900000000000002</v>
      </c>
      <c r="K504" s="242">
        <v>2.83</v>
      </c>
      <c r="L504" s="242">
        <v>2.73</v>
      </c>
      <c r="M504" s="242">
        <v>2.69</v>
      </c>
      <c r="N504" s="242">
        <v>2.88</v>
      </c>
      <c r="O504" s="242">
        <v>2.93</v>
      </c>
      <c r="P504" s="241" t="s">
        <v>3352</v>
      </c>
      <c r="Q504" s="241" t="s">
        <v>3347</v>
      </c>
      <c r="R504" s="243" t="s">
        <v>4562</v>
      </c>
      <c r="S504" s="270">
        <f t="shared" si="18"/>
        <v>31778</v>
      </c>
      <c r="T504" s="270"/>
      <c r="U504" s="270">
        <f>IFERROR(VLOOKUP($A504,GeneratingCapabilityList!$E$7:$O$1673,11,FALSE),"ID Not Found")</f>
        <v>31778</v>
      </c>
      <c r="V504" s="271" t="str">
        <f>IFERROR(VLOOKUP($A504,GeneratingCapabilityList!$E$7:$O$1673,6,FALSE),"UNKNOWN")</f>
        <v>BIOMASS</v>
      </c>
      <c r="W504" s="271">
        <f>IFERROR(VLOOKUP($A504,GeneratingCapabilityList!$E$7:$O$1673,3,FALSE),"ID Not Found")</f>
        <v>3</v>
      </c>
      <c r="Y504" s="270"/>
    </row>
    <row r="505" spans="1:25">
      <c r="A505" s="241" t="s">
        <v>2835</v>
      </c>
      <c r="B505" s="241" t="s">
        <v>4579</v>
      </c>
      <c r="C505" s="241" t="s">
        <v>2836</v>
      </c>
      <c r="D505" s="242">
        <v>2.85</v>
      </c>
      <c r="E505" s="242">
        <v>2.48</v>
      </c>
      <c r="F505" s="242">
        <v>2.62</v>
      </c>
      <c r="G505" s="242">
        <v>2.64</v>
      </c>
      <c r="H505" s="242">
        <v>2.68</v>
      </c>
      <c r="I505" s="242">
        <v>2.6</v>
      </c>
      <c r="J505" s="242">
        <v>2.42</v>
      </c>
      <c r="K505" s="242">
        <v>2.57</v>
      </c>
      <c r="L505" s="242">
        <v>2.9</v>
      </c>
      <c r="M505" s="242">
        <v>2.95</v>
      </c>
      <c r="N505" s="242">
        <v>2.8</v>
      </c>
      <c r="O505" s="242">
        <v>2.86</v>
      </c>
      <c r="P505" s="241" t="s">
        <v>3352</v>
      </c>
      <c r="Q505" s="241" t="s">
        <v>3347</v>
      </c>
      <c r="R505" s="243" t="s">
        <v>4562</v>
      </c>
      <c r="S505" s="270">
        <f t="shared" si="18"/>
        <v>39149</v>
      </c>
      <c r="T505" s="270"/>
      <c r="U505" s="270">
        <f>IFERROR(VLOOKUP($A505,GeneratingCapabilityList!$E$7:$O$1673,11,FALSE),"ID Not Found")</f>
        <v>39149</v>
      </c>
      <c r="V505" s="271" t="str">
        <f>IFERROR(VLOOKUP($A505,GeneratingCapabilityList!$E$7:$O$1673,6,FALSE),"UNKNOWN")</f>
        <v>BIOMASS</v>
      </c>
      <c r="W505" s="271">
        <f>IFERROR(VLOOKUP($A505,GeneratingCapabilityList!$E$7:$O$1673,3,FALSE),"ID Not Found")</f>
        <v>3.75</v>
      </c>
      <c r="Y505" s="270"/>
    </row>
    <row r="506" spans="1:25">
      <c r="A506" s="241" t="s">
        <v>2914</v>
      </c>
      <c r="B506" s="241" t="s">
        <v>4579</v>
      </c>
      <c r="C506" s="241" t="s">
        <v>3661</v>
      </c>
      <c r="D506" s="242">
        <v>603.6</v>
      </c>
      <c r="E506" s="242">
        <v>603.6</v>
      </c>
      <c r="F506" s="242">
        <v>603.6</v>
      </c>
      <c r="G506" s="242">
        <v>603.6</v>
      </c>
      <c r="H506" s="242">
        <v>603.6</v>
      </c>
      <c r="I506" s="242">
        <v>603.6</v>
      </c>
      <c r="J506" s="242">
        <v>603.6</v>
      </c>
      <c r="K506" s="242">
        <v>603.6</v>
      </c>
      <c r="L506" s="242">
        <v>603.6</v>
      </c>
      <c r="M506" s="242">
        <v>603.6</v>
      </c>
      <c r="N506" s="242">
        <v>603.6</v>
      </c>
      <c r="O506" s="242">
        <v>603.6</v>
      </c>
      <c r="P506" s="241" t="s">
        <v>3352</v>
      </c>
      <c r="Q506" s="241" t="s">
        <v>3347</v>
      </c>
      <c r="R506" s="243" t="s">
        <v>4561</v>
      </c>
      <c r="S506" s="270">
        <f t="shared" si="18"/>
        <v>40089</v>
      </c>
      <c r="T506" s="270"/>
      <c r="U506" s="270">
        <f>IFERROR(VLOOKUP($A506,GeneratingCapabilityList!$E$7:$O$1673,11,FALSE),"ID Not Found")</f>
        <v>40089</v>
      </c>
      <c r="V506" s="271" t="str">
        <f>IFERROR(VLOOKUP($A506,GeneratingCapabilityList!$E$7:$O$1673,6,FALSE),"UNKNOWN")</f>
        <v>THERMAL</v>
      </c>
      <c r="W506" s="271">
        <f>IFERROR(VLOOKUP($A506,GeneratingCapabilityList!$E$7:$O$1673,3,FALSE),"ID Not Found")</f>
        <v>603.67999999999995</v>
      </c>
      <c r="Y506" s="270"/>
    </row>
    <row r="507" spans="1:25">
      <c r="A507" s="241" t="s">
        <v>524</v>
      </c>
      <c r="B507" s="241" t="s">
        <v>3375</v>
      </c>
      <c r="C507" s="241" t="s">
        <v>3662</v>
      </c>
      <c r="D507" s="242">
        <v>6</v>
      </c>
      <c r="E507" s="242">
        <v>6</v>
      </c>
      <c r="F507" s="242">
        <v>6</v>
      </c>
      <c r="G507" s="242">
        <v>6</v>
      </c>
      <c r="H507" s="242">
        <v>6</v>
      </c>
      <c r="I507" s="242">
        <v>6</v>
      </c>
      <c r="J507" s="242">
        <v>6</v>
      </c>
      <c r="K507" s="242">
        <v>6</v>
      </c>
      <c r="L507" s="242">
        <v>6</v>
      </c>
      <c r="M507" s="242">
        <v>6</v>
      </c>
      <c r="N507" s="242">
        <v>6</v>
      </c>
      <c r="O507" s="242">
        <v>6</v>
      </c>
      <c r="P507" s="241" t="s">
        <v>3345</v>
      </c>
      <c r="Q507" s="241" t="s">
        <v>3347</v>
      </c>
      <c r="R507" s="243" t="s">
        <v>4561</v>
      </c>
      <c r="S507" s="270">
        <f t="shared" si="18"/>
        <v>24108</v>
      </c>
      <c r="T507" s="270"/>
      <c r="U507" s="270">
        <f>IFERROR(VLOOKUP($A507,GeneratingCapabilityList!$E$7:$O$1673,11,FALSE),"ID Not Found")</f>
        <v>24108</v>
      </c>
      <c r="V507" s="271" t="str">
        <f>IFERROR(VLOOKUP($A507,GeneratingCapabilityList!$E$7:$O$1673,6,FALSE),"UNKNOWN")</f>
        <v>HYDRO</v>
      </c>
      <c r="W507" s="271">
        <f>IFERROR(VLOOKUP($A507,GeneratingCapabilityList!$E$7:$O$1673,3,FALSE),"ID Not Found")</f>
        <v>6</v>
      </c>
      <c r="Y507" s="270"/>
    </row>
    <row r="508" spans="1:25">
      <c r="A508" s="259" t="s">
        <v>2885</v>
      </c>
      <c r="B508" s="250" t="s">
        <v>3324</v>
      </c>
      <c r="C508" s="250" t="s">
        <v>3663</v>
      </c>
      <c r="D508" s="281">
        <v>9.9292749462365588</v>
      </c>
      <c r="E508" s="281">
        <v>10.390480952380956</v>
      </c>
      <c r="F508" s="281">
        <v>10.294859569892472</v>
      </c>
      <c r="G508" s="281">
        <v>10.085848555555556</v>
      </c>
      <c r="H508" s="281">
        <v>10.234674086021503</v>
      </c>
      <c r="I508" s="281">
        <v>9.6447324444444433</v>
      </c>
      <c r="J508" s="281">
        <v>9.9051187747594795</v>
      </c>
      <c r="K508" s="281">
        <v>10.042013826979476</v>
      </c>
      <c r="L508" s="281">
        <v>10.278132666666666</v>
      </c>
      <c r="M508" s="281">
        <v>10.088954086021506</v>
      </c>
      <c r="N508" s="281">
        <v>10.720901999999997</v>
      </c>
      <c r="O508" s="281">
        <v>10.781233333333335</v>
      </c>
      <c r="P508" s="252" t="s">
        <v>3345</v>
      </c>
      <c r="Q508" s="252" t="s">
        <v>3347</v>
      </c>
      <c r="R508" s="253" t="s">
        <v>4562</v>
      </c>
      <c r="S508" s="270">
        <f t="shared" si="18"/>
        <v>39904</v>
      </c>
      <c r="T508" s="270"/>
      <c r="U508" s="270">
        <f>IFERROR(VLOOKUP($A508,GeneratingCapabilityList!$E$7:$O$1673,11,FALSE),"ID Not Found")</f>
        <v>39904</v>
      </c>
      <c r="V508" s="271" t="str">
        <f>IFERROR(VLOOKUP($A508,GeneratingCapabilityList!$E$7:$O$1673,6,FALSE),"UNKNOWN")</f>
        <v>BIOMASS</v>
      </c>
      <c r="W508" s="271">
        <f>IFERROR(VLOOKUP($A508,GeneratingCapabilityList!$E$7:$O$1673,3,FALSE),"ID Not Found")</f>
        <v>10.62</v>
      </c>
      <c r="Y508" s="270"/>
    </row>
    <row r="509" spans="1:25">
      <c r="A509" s="241" t="s">
        <v>1362</v>
      </c>
      <c r="B509" s="241" t="s">
        <v>3384</v>
      </c>
      <c r="C509" s="241" t="s">
        <v>3664</v>
      </c>
      <c r="D509" s="242">
        <v>12.86</v>
      </c>
      <c r="E509" s="242">
        <v>13.3</v>
      </c>
      <c r="F509" s="242">
        <v>7.72</v>
      </c>
      <c r="G509" s="242">
        <v>6.34</v>
      </c>
      <c r="H509" s="242">
        <v>10.130000000000001</v>
      </c>
      <c r="I509" s="242">
        <v>18.29</v>
      </c>
      <c r="J509" s="242">
        <v>19.420000000000002</v>
      </c>
      <c r="K509" s="242">
        <v>19.78</v>
      </c>
      <c r="L509" s="242">
        <v>22.59</v>
      </c>
      <c r="M509" s="242">
        <v>20.97</v>
      </c>
      <c r="N509" s="242">
        <v>16.670000000000002</v>
      </c>
      <c r="O509" s="242">
        <v>10.85</v>
      </c>
      <c r="P509" s="241" t="s">
        <v>3345</v>
      </c>
      <c r="Q509" s="241" t="s">
        <v>3347</v>
      </c>
      <c r="R509" s="243" t="s">
        <v>4562</v>
      </c>
      <c r="S509" s="270">
        <f t="shared" si="18"/>
        <v>31493</v>
      </c>
      <c r="T509" s="270"/>
      <c r="U509" s="270">
        <f>IFERROR(VLOOKUP($A509,GeneratingCapabilityList!$E$7:$O$1673,11,FALSE),"ID Not Found")</f>
        <v>31493</v>
      </c>
      <c r="V509" s="271" t="str">
        <f>IFERROR(VLOOKUP($A509,GeneratingCapabilityList!$E$7:$O$1673,6,FALSE),"UNKNOWN")</f>
        <v>BIOMASS</v>
      </c>
      <c r="W509" s="271">
        <f>IFERROR(VLOOKUP($A509,GeneratingCapabilityList!$E$7:$O$1673,3,FALSE),"ID Not Found")</f>
        <v>28.8</v>
      </c>
      <c r="Y509" s="270"/>
    </row>
    <row r="510" spans="1:25">
      <c r="A510" s="241" t="s">
        <v>2194</v>
      </c>
      <c r="B510" s="241" t="s">
        <v>3375</v>
      </c>
      <c r="C510" s="241" t="s">
        <v>2195</v>
      </c>
      <c r="D510" s="242">
        <v>12.45</v>
      </c>
      <c r="E510" s="242">
        <v>9.9600000000000009</v>
      </c>
      <c r="F510" s="242">
        <v>8.77</v>
      </c>
      <c r="G510" s="242">
        <v>7.02</v>
      </c>
      <c r="H510" s="242">
        <v>8.4499999999999993</v>
      </c>
      <c r="I510" s="242">
        <v>14.1</v>
      </c>
      <c r="J510" s="242">
        <v>14.65</v>
      </c>
      <c r="K510" s="242">
        <v>14.14</v>
      </c>
      <c r="L510" s="242">
        <v>14.44</v>
      </c>
      <c r="M510" s="242">
        <v>12.92</v>
      </c>
      <c r="N510" s="242">
        <v>6.77</v>
      </c>
      <c r="O510" s="242">
        <v>10.220000000000001</v>
      </c>
      <c r="P510" s="241" t="s">
        <v>3345</v>
      </c>
      <c r="Q510" s="241" t="s">
        <v>3347</v>
      </c>
      <c r="R510" s="243" t="s">
        <v>4562</v>
      </c>
      <c r="S510" s="270">
        <f t="shared" si="18"/>
        <v>34968</v>
      </c>
      <c r="T510" s="270"/>
      <c r="U510" s="270">
        <f>IFERROR(VLOOKUP($A510,GeneratingCapabilityList!$E$7:$O$1673,11,FALSE),"ID Not Found")</f>
        <v>34968</v>
      </c>
      <c r="V510" s="271" t="str">
        <f>IFERROR(VLOOKUP($A510,GeneratingCapabilityList!$E$7:$O$1673,6,FALSE),"UNKNOWN")</f>
        <v>BIOMASS</v>
      </c>
      <c r="W510" s="271">
        <f>IFERROR(VLOOKUP($A510,GeneratingCapabilityList!$E$7:$O$1673,3,FALSE),"ID Not Found")</f>
        <v>23.8</v>
      </c>
      <c r="Y510" s="270"/>
    </row>
    <row r="511" spans="1:25">
      <c r="A511" s="241" t="s">
        <v>36</v>
      </c>
      <c r="B511" s="241" t="s">
        <v>3327</v>
      </c>
      <c r="C511" s="241" t="s">
        <v>3665</v>
      </c>
      <c r="D511" s="242">
        <v>0.8</v>
      </c>
      <c r="E511" s="242">
        <v>1.23</v>
      </c>
      <c r="F511" s="242">
        <v>1.38</v>
      </c>
      <c r="G511" s="242">
        <v>1.71</v>
      </c>
      <c r="H511" s="242">
        <v>1.69</v>
      </c>
      <c r="I511" s="242">
        <v>1.69</v>
      </c>
      <c r="J511" s="242">
        <v>0.51</v>
      </c>
      <c r="K511" s="242">
        <v>0.89</v>
      </c>
      <c r="L511" s="242">
        <v>0.66</v>
      </c>
      <c r="M511" s="242">
        <v>0.37</v>
      </c>
      <c r="N511" s="242">
        <v>0.66</v>
      </c>
      <c r="O511" s="242">
        <v>0.81</v>
      </c>
      <c r="P511" s="241" t="s">
        <v>3352</v>
      </c>
      <c r="Q511" s="241" t="s">
        <v>3347</v>
      </c>
      <c r="R511" s="243" t="s">
        <v>4562</v>
      </c>
      <c r="S511" s="270">
        <f t="shared" si="18"/>
        <v>732</v>
      </c>
      <c r="T511" s="270"/>
      <c r="U511" s="270">
        <f>IFERROR(VLOOKUP($A511,GeneratingCapabilityList!$E$7:$O$1673,11,FALSE),"ID Not Found")</f>
        <v>732</v>
      </c>
      <c r="V511" s="271" t="str">
        <f>IFERROR(VLOOKUP($A511,GeneratingCapabilityList!$E$7:$O$1673,6,FALSE),"UNKNOWN")</f>
        <v>HYDRO</v>
      </c>
      <c r="W511" s="271">
        <f>IFERROR(VLOOKUP($A511,GeneratingCapabilityList!$E$7:$O$1673,3,FALSE),"ID Not Found")</f>
        <v>1.92</v>
      </c>
      <c r="Y511" s="270"/>
    </row>
    <row r="512" spans="1:25">
      <c r="A512" s="244" t="s">
        <v>769</v>
      </c>
      <c r="B512" s="245" t="s">
        <v>3327</v>
      </c>
      <c r="C512" s="245" t="s">
        <v>3666</v>
      </c>
      <c r="D512" s="281">
        <v>3.1066800000000008</v>
      </c>
      <c r="E512" s="281">
        <v>2.7263573809523813</v>
      </c>
      <c r="F512" s="281">
        <v>3.5360569892473119</v>
      </c>
      <c r="G512" s="281">
        <v>7.2538168888888883</v>
      </c>
      <c r="H512" s="281">
        <v>6.1086075268817188</v>
      </c>
      <c r="I512" s="281">
        <v>6.2535100000000012</v>
      </c>
      <c r="J512" s="281">
        <v>4.0607303225806453</v>
      </c>
      <c r="K512" s="281">
        <v>4.6657608602150527</v>
      </c>
      <c r="L512" s="281">
        <v>4.4918826666666662</v>
      </c>
      <c r="M512" s="281">
        <v>6.6924240860215063</v>
      </c>
      <c r="N512" s="281">
        <v>5.9296795555555546</v>
      </c>
      <c r="O512" s="281">
        <v>5.0630621505376334</v>
      </c>
      <c r="P512" s="245" t="s">
        <v>3352</v>
      </c>
      <c r="Q512" s="245" t="s">
        <v>3347</v>
      </c>
      <c r="R512" s="246" t="s">
        <v>4561</v>
      </c>
      <c r="S512" s="270">
        <f t="shared" si="18"/>
        <v>29587</v>
      </c>
      <c r="T512" s="270"/>
      <c r="U512" s="270">
        <f>IFERROR(VLOOKUP($A512,GeneratingCapabilityList!$E$7:$O$1673,11,FALSE),"ID Not Found")</f>
        <v>29587</v>
      </c>
      <c r="V512" s="271" t="str">
        <f>IFERROR(VLOOKUP($A512,GeneratingCapabilityList!$E$7:$O$1673,6,FALSE),"UNKNOWN")</f>
        <v>HYDRO</v>
      </c>
      <c r="W512" s="271">
        <f>IFERROR(VLOOKUP($A512,GeneratingCapabilityList!$E$7:$O$1673,3,FALSE),"ID Not Found")</f>
        <v>9.9</v>
      </c>
      <c r="Y512" s="270"/>
    </row>
    <row r="513" spans="1:25">
      <c r="A513" s="241" t="s">
        <v>1015</v>
      </c>
      <c r="B513" s="241" t="s">
        <v>3327</v>
      </c>
      <c r="C513" s="241" t="s">
        <v>3667</v>
      </c>
      <c r="D513" s="242">
        <v>0.33</v>
      </c>
      <c r="E513" s="242">
        <v>0.16</v>
      </c>
      <c r="F513" s="242">
        <v>0.35</v>
      </c>
      <c r="G513" s="242">
        <v>0.42</v>
      </c>
      <c r="H513" s="242">
        <v>0.43</v>
      </c>
      <c r="I513" s="242">
        <v>0.45</v>
      </c>
      <c r="J513" s="242">
        <v>0.51</v>
      </c>
      <c r="K513" s="242">
        <v>0.68</v>
      </c>
      <c r="L513" s="242">
        <v>0.68</v>
      </c>
      <c r="M513" s="242">
        <v>0.34</v>
      </c>
      <c r="N513" s="242">
        <v>0.3</v>
      </c>
      <c r="O513" s="242">
        <v>0.28000000000000003</v>
      </c>
      <c r="P513" s="241" t="s">
        <v>3352</v>
      </c>
      <c r="Q513" s="241" t="s">
        <v>3347</v>
      </c>
      <c r="R513" s="243" t="s">
        <v>4562</v>
      </c>
      <c r="S513" s="270">
        <f t="shared" si="18"/>
        <v>30682</v>
      </c>
      <c r="T513" s="270"/>
      <c r="U513" s="270">
        <f>IFERROR(VLOOKUP($A513,GeneratingCapabilityList!$E$7:$O$1673,11,FALSE),"ID Not Found")</f>
        <v>30682</v>
      </c>
      <c r="V513" s="271" t="str">
        <f>IFERROR(VLOOKUP($A513,GeneratingCapabilityList!$E$7:$O$1673,6,FALSE),"UNKNOWN")</f>
        <v>HYDRO</v>
      </c>
      <c r="W513" s="271">
        <f>IFERROR(VLOOKUP($A513,GeneratingCapabilityList!$E$7:$O$1673,3,FALSE),"ID Not Found")</f>
        <v>30.1</v>
      </c>
      <c r="Y513" s="270"/>
    </row>
    <row r="514" spans="1:25">
      <c r="A514" s="241" t="s">
        <v>1342</v>
      </c>
      <c r="B514" s="241" t="s">
        <v>3327</v>
      </c>
      <c r="C514" s="241" t="s">
        <v>3668</v>
      </c>
      <c r="D514" s="242">
        <v>0</v>
      </c>
      <c r="E514" s="242">
        <v>0</v>
      </c>
      <c r="F514" s="242">
        <v>0</v>
      </c>
      <c r="G514" s="242">
        <v>0</v>
      </c>
      <c r="H514" s="242">
        <v>1.05</v>
      </c>
      <c r="I514" s="242">
        <v>1.05</v>
      </c>
      <c r="J514" s="242">
        <v>1.05</v>
      </c>
      <c r="K514" s="242">
        <v>1.05</v>
      </c>
      <c r="L514" s="242">
        <v>1.05</v>
      </c>
      <c r="M514" s="242">
        <v>0</v>
      </c>
      <c r="N514" s="242">
        <v>0</v>
      </c>
      <c r="O514" s="242">
        <v>0</v>
      </c>
      <c r="P514" s="241" t="s">
        <v>3352</v>
      </c>
      <c r="Q514" s="241" t="s">
        <v>3347</v>
      </c>
      <c r="R514" s="243" t="s">
        <v>4561</v>
      </c>
      <c r="S514" s="270">
        <f t="shared" si="18"/>
        <v>31440</v>
      </c>
      <c r="T514" s="270"/>
      <c r="U514" s="270">
        <f>IFERROR(VLOOKUP($A514,GeneratingCapabilityList!$E$7:$O$1673,11,FALSE),"ID Not Found")</f>
        <v>31440</v>
      </c>
      <c r="V514" s="271" t="str">
        <f>IFERROR(VLOOKUP($A514,GeneratingCapabilityList!$E$7:$O$1673,6,FALSE),"UNKNOWN")</f>
        <v>HYDRO</v>
      </c>
      <c r="W514" s="271">
        <f>IFERROR(VLOOKUP($A514,GeneratingCapabilityList!$E$7:$O$1673,3,FALSE),"ID Not Found")</f>
        <v>1.05</v>
      </c>
      <c r="Y514" s="270"/>
    </row>
    <row r="515" spans="1:25">
      <c r="A515" s="241" t="s">
        <v>2864</v>
      </c>
      <c r="B515" s="241" t="s">
        <v>3324</v>
      </c>
      <c r="C515" s="241" t="s">
        <v>3669</v>
      </c>
      <c r="D515" s="242">
        <v>4.5</v>
      </c>
      <c r="E515" s="242">
        <v>4.5</v>
      </c>
      <c r="F515" s="242">
        <v>4.5</v>
      </c>
      <c r="G515" s="242">
        <v>4.5</v>
      </c>
      <c r="H515" s="242">
        <v>4.5</v>
      </c>
      <c r="I515" s="242">
        <v>4.5</v>
      </c>
      <c r="J515" s="242">
        <v>4.5</v>
      </c>
      <c r="K515" s="242">
        <v>4.5</v>
      </c>
      <c r="L515" s="242">
        <v>4.5</v>
      </c>
      <c r="M515" s="242">
        <v>4.5</v>
      </c>
      <c r="N515" s="242">
        <v>4.5</v>
      </c>
      <c r="O515" s="242">
        <v>4.5</v>
      </c>
      <c r="P515" s="241" t="s">
        <v>3345</v>
      </c>
      <c r="Q515" s="241" t="s">
        <v>3347</v>
      </c>
      <c r="R515" s="243" t="s">
        <v>4562</v>
      </c>
      <c r="S515" s="270">
        <f t="shared" si="18"/>
        <v>39370</v>
      </c>
      <c r="T515" s="270"/>
      <c r="U515" s="270">
        <f>IFERROR(VLOOKUP($A515,GeneratingCapabilityList!$E$7:$O$1673,11,FALSE),"ID Not Found")</f>
        <v>39370</v>
      </c>
      <c r="V515" s="271" t="str">
        <f>IFERROR(VLOOKUP($A515,GeneratingCapabilityList!$E$7:$O$1673,6,FALSE),"UNKNOWN")</f>
        <v>PEAKER</v>
      </c>
      <c r="W515" s="271">
        <f>IFERROR(VLOOKUP($A515,GeneratingCapabilityList!$E$7:$O$1673,3,FALSE),"ID Not Found")</f>
        <v>4.5</v>
      </c>
      <c r="Y515" s="270"/>
    </row>
    <row r="516" spans="1:25">
      <c r="A516" s="241" t="s">
        <v>2800</v>
      </c>
      <c r="B516" s="241" t="s">
        <v>4579</v>
      </c>
      <c r="C516" s="241" t="s">
        <v>3670</v>
      </c>
      <c r="D516" s="242">
        <v>565.61</v>
      </c>
      <c r="E516" s="242">
        <v>565.61</v>
      </c>
      <c r="F516" s="242">
        <v>565.61</v>
      </c>
      <c r="G516" s="242">
        <v>565.61</v>
      </c>
      <c r="H516" s="242">
        <v>565.61</v>
      </c>
      <c r="I516" s="242">
        <v>565.61</v>
      </c>
      <c r="J516" s="242">
        <v>565.61</v>
      </c>
      <c r="K516" s="242">
        <v>565.61</v>
      </c>
      <c r="L516" s="242">
        <v>565.61</v>
      </c>
      <c r="M516" s="242">
        <v>565.61</v>
      </c>
      <c r="N516" s="242">
        <v>565.61</v>
      </c>
      <c r="O516" s="242">
        <v>565.61</v>
      </c>
      <c r="P516" s="241" t="s">
        <v>3352</v>
      </c>
      <c r="Q516" s="241" t="s">
        <v>3347</v>
      </c>
      <c r="R516" s="243" t="s">
        <v>4561</v>
      </c>
      <c r="S516" s="270">
        <f t="shared" si="18"/>
        <v>38807</v>
      </c>
      <c r="T516" s="270"/>
      <c r="U516" s="270">
        <f>IFERROR(VLOOKUP($A516,GeneratingCapabilityList!$E$7:$O$1673,11,FALSE),"ID Not Found")</f>
        <v>38807</v>
      </c>
      <c r="V516" s="271" t="str">
        <f>IFERROR(VLOOKUP($A516,GeneratingCapabilityList!$E$7:$O$1673,6,FALSE),"UNKNOWN")</f>
        <v>THERMAL</v>
      </c>
      <c r="W516" s="271">
        <f>IFERROR(VLOOKUP($A516,GeneratingCapabilityList!$E$7:$O$1673,3,FALSE),"ID Not Found")</f>
        <v>575</v>
      </c>
      <c r="Y516" s="270"/>
    </row>
    <row r="517" spans="1:25">
      <c r="A517" s="241" t="s">
        <v>1929</v>
      </c>
      <c r="B517" s="241" t="s">
        <v>3328</v>
      </c>
      <c r="C517" s="241" t="s">
        <v>3671</v>
      </c>
      <c r="D517" s="242">
        <v>36.950000000000003</v>
      </c>
      <c r="E517" s="242">
        <v>41.36</v>
      </c>
      <c r="F517" s="242">
        <v>34.78</v>
      </c>
      <c r="G517" s="242">
        <v>38.68</v>
      </c>
      <c r="H517" s="242">
        <v>30.5</v>
      </c>
      <c r="I517" s="242">
        <v>32.96</v>
      </c>
      <c r="J517" s="242">
        <v>46.38</v>
      </c>
      <c r="K517" s="242">
        <v>46.64</v>
      </c>
      <c r="L517" s="242">
        <v>46.12</v>
      </c>
      <c r="M517" s="242">
        <v>36.85</v>
      </c>
      <c r="N517" s="242">
        <v>45.87</v>
      </c>
      <c r="O517" s="242">
        <v>43.93</v>
      </c>
      <c r="P517" s="241" t="s">
        <v>3352</v>
      </c>
      <c r="Q517" s="241" t="s">
        <v>3347</v>
      </c>
      <c r="R517" s="243" t="s">
        <v>4561</v>
      </c>
      <c r="S517" s="270">
        <f t="shared" si="18"/>
        <v>32874</v>
      </c>
      <c r="T517" s="270"/>
      <c r="U517" s="270">
        <f>IFERROR(VLOOKUP($A517,GeneratingCapabilityList!$E$7:$O$1673,11,FALSE),"ID Not Found")</f>
        <v>32874</v>
      </c>
      <c r="V517" s="271" t="str">
        <f>IFERROR(VLOOKUP($A517,GeneratingCapabilityList!$E$7:$O$1673,6,FALSE),"UNKNOWN")</f>
        <v>BIOMASS</v>
      </c>
      <c r="W517" s="271">
        <f>IFERROR(VLOOKUP($A517,GeneratingCapabilityList!$E$7:$O$1673,3,FALSE),"ID Not Found")</f>
        <v>49</v>
      </c>
      <c r="Y517" s="270"/>
    </row>
    <row r="518" spans="1:25">
      <c r="A518" s="241" t="s">
        <v>4645</v>
      </c>
      <c r="B518" s="241" t="s">
        <v>3327</v>
      </c>
      <c r="C518" s="241" t="s">
        <v>4646</v>
      </c>
      <c r="D518" s="242">
        <v>1.17</v>
      </c>
      <c r="E518" s="242">
        <v>2.71</v>
      </c>
      <c r="F518" s="242">
        <v>5.78</v>
      </c>
      <c r="G518" s="242">
        <v>5.55</v>
      </c>
      <c r="H518" s="242">
        <v>9.0500000000000007</v>
      </c>
      <c r="I518" s="242">
        <v>10.07</v>
      </c>
      <c r="J518" s="242">
        <v>5.23</v>
      </c>
      <c r="K518" s="242">
        <v>4.21</v>
      </c>
      <c r="L518" s="242">
        <v>1.46</v>
      </c>
      <c r="M518" s="242">
        <v>1.74</v>
      </c>
      <c r="N518" s="242">
        <v>2</v>
      </c>
      <c r="O518" s="242">
        <v>1.46</v>
      </c>
      <c r="P518" s="241" t="s">
        <v>3352</v>
      </c>
      <c r="Q518" s="241" t="s">
        <v>3347</v>
      </c>
      <c r="R518" s="243" t="s">
        <v>4562</v>
      </c>
      <c r="S518" s="270">
        <f>Scenarios!$B$55</f>
        <v>36526</v>
      </c>
      <c r="T518" s="270" t="s">
        <v>4798</v>
      </c>
      <c r="U518" s="270" t="str">
        <f>IFERROR(VLOOKUP($A518,GeneratingCapabilityList!$E$7:$O$1673,11,FALSE),"ID Not Found")</f>
        <v>ID Not Found</v>
      </c>
      <c r="V518" s="271" t="str">
        <f>IFERROR(VLOOKUP($A518,GeneratingCapabilityList!$E$7:$O$1673,6,FALSE),"UNKNOWN")</f>
        <v>UNKNOWN</v>
      </c>
      <c r="W518" s="271" t="str">
        <f>IFERROR(VLOOKUP($A518,GeneratingCapabilityList!$E$7:$O$1673,3,FALSE),"ID Not Found")</f>
        <v>ID Not Found</v>
      </c>
      <c r="Y518" s="270"/>
    </row>
    <row r="519" spans="1:25">
      <c r="A519" s="245" t="s">
        <v>3672</v>
      </c>
      <c r="B519" s="245" t="s">
        <v>3361</v>
      </c>
      <c r="C519" s="245" t="s">
        <v>3672</v>
      </c>
      <c r="D519" s="249">
        <v>21</v>
      </c>
      <c r="E519" s="249">
        <v>21</v>
      </c>
      <c r="F519" s="249">
        <v>21</v>
      </c>
      <c r="G519" s="249">
        <v>46</v>
      </c>
      <c r="H519" s="249">
        <v>46</v>
      </c>
      <c r="I519" s="249">
        <v>46</v>
      </c>
      <c r="J519" s="249">
        <v>46</v>
      </c>
      <c r="K519" s="249">
        <v>46</v>
      </c>
      <c r="L519" s="249">
        <v>46</v>
      </c>
      <c r="M519" s="249">
        <v>46</v>
      </c>
      <c r="N519" s="249">
        <v>46</v>
      </c>
      <c r="O519" s="249">
        <v>42</v>
      </c>
      <c r="P519" s="245" t="s">
        <v>3352</v>
      </c>
      <c r="Q519" s="245" t="s">
        <v>3347</v>
      </c>
      <c r="R519" s="246" t="s">
        <v>4562</v>
      </c>
      <c r="S519" s="270">
        <f>Scenarios!$B$55</f>
        <v>36526</v>
      </c>
      <c r="T519" s="270" t="s">
        <v>4798</v>
      </c>
      <c r="U519" s="270" t="str">
        <f>IFERROR(VLOOKUP($A519,GeneratingCapabilityList!$E$7:$O$1673,11,FALSE),"ID Not Found")</f>
        <v>UNK</v>
      </c>
      <c r="V519" s="271" t="str">
        <f>IFERROR(VLOOKUP($A519,GeneratingCapabilityList!$E$7:$O$1673,6,FALSE),"UNKNOWN")</f>
        <v>PUMP</v>
      </c>
      <c r="W519" s="271">
        <f>IFERROR(VLOOKUP($A519,GeneratingCapabilityList!$E$7:$O$1673,3,FALSE),"ID Not Found")</f>
        <v>46</v>
      </c>
      <c r="Y519" s="270"/>
    </row>
    <row r="520" spans="1:25">
      <c r="A520" s="241" t="s">
        <v>306</v>
      </c>
      <c r="B520" s="241" t="s">
        <v>3373</v>
      </c>
      <c r="C520" s="241" t="s">
        <v>307</v>
      </c>
      <c r="D520" s="242">
        <v>0.79</v>
      </c>
      <c r="E520" s="242">
        <v>0.79</v>
      </c>
      <c r="F520" s="242">
        <v>1.18</v>
      </c>
      <c r="G520" s="242">
        <v>1.55</v>
      </c>
      <c r="H520" s="242">
        <v>1.5</v>
      </c>
      <c r="I520" s="242">
        <v>1.31</v>
      </c>
      <c r="J520" s="242">
        <v>1.37</v>
      </c>
      <c r="K520" s="242">
        <v>1.33</v>
      </c>
      <c r="L520" s="242">
        <v>1.05</v>
      </c>
      <c r="M520" s="242">
        <v>0.77</v>
      </c>
      <c r="N520" s="242">
        <v>1.06</v>
      </c>
      <c r="O520" s="242">
        <v>1.22</v>
      </c>
      <c r="P520" s="241" t="s">
        <v>3345</v>
      </c>
      <c r="Q520" s="241" t="s">
        <v>3347</v>
      </c>
      <c r="R520" s="243" t="s">
        <v>4561</v>
      </c>
      <c r="S520" s="270">
        <f t="shared" ref="S520:S547" si="19">U520</f>
        <v>14611</v>
      </c>
      <c r="T520" s="270"/>
      <c r="U520" s="270">
        <f>IFERROR(VLOOKUP($A520,GeneratingCapabilityList!$E$7:$O$1673,11,FALSE),"ID Not Found")</f>
        <v>14611</v>
      </c>
      <c r="V520" s="271" t="str">
        <f>IFERROR(VLOOKUP($A520,GeneratingCapabilityList!$E$7:$O$1673,6,FALSE),"UNKNOWN")</f>
        <v>HYDRO</v>
      </c>
      <c r="W520" s="271">
        <f>IFERROR(VLOOKUP($A520,GeneratingCapabilityList!$E$7:$O$1673,3,FALSE),"ID Not Found")</f>
        <v>2</v>
      </c>
      <c r="Y520" s="270"/>
    </row>
    <row r="521" spans="1:25">
      <c r="A521" s="245" t="s">
        <v>991</v>
      </c>
      <c r="B521" s="245" t="s">
        <v>3349</v>
      </c>
      <c r="C521" s="245" t="s">
        <v>3673</v>
      </c>
      <c r="D521" s="249">
        <v>0</v>
      </c>
      <c r="E521" s="249">
        <v>0</v>
      </c>
      <c r="F521" s="249">
        <v>19.350000000000001</v>
      </c>
      <c r="G521" s="249">
        <v>42.4</v>
      </c>
      <c r="H521" s="249">
        <v>93.4</v>
      </c>
      <c r="I521" s="249">
        <v>140.1</v>
      </c>
      <c r="J521" s="249">
        <v>104.85</v>
      </c>
      <c r="K521" s="249">
        <v>65.25</v>
      </c>
      <c r="L521" s="249">
        <v>0</v>
      </c>
      <c r="M521" s="249">
        <v>0</v>
      </c>
      <c r="N521" s="249">
        <v>0</v>
      </c>
      <c r="O521" s="249">
        <v>0</v>
      </c>
      <c r="P521" s="245" t="s">
        <v>3345</v>
      </c>
      <c r="Q521" s="245" t="s">
        <v>3347</v>
      </c>
      <c r="R521" s="246" t="s">
        <v>4561</v>
      </c>
      <c r="S521" s="270">
        <f t="shared" si="19"/>
        <v>30682</v>
      </c>
      <c r="T521" s="270"/>
      <c r="U521" s="270">
        <f>IFERROR(VLOOKUP($A521,GeneratingCapabilityList!$E$7:$O$1673,11,FALSE),"ID Not Found")</f>
        <v>30682</v>
      </c>
      <c r="V521" s="271" t="str">
        <f>IFERROR(VLOOKUP($A521,GeneratingCapabilityList!$E$7:$O$1673,6,FALSE),"UNKNOWN")</f>
        <v>HYDRO</v>
      </c>
      <c r="W521" s="271">
        <f>IFERROR(VLOOKUP($A521,GeneratingCapabilityList!$E$7:$O$1673,3,FALSE),"ID Not Found")</f>
        <v>210</v>
      </c>
      <c r="Y521" s="270"/>
    </row>
    <row r="522" spans="1:25">
      <c r="A522" s="241" t="s">
        <v>208</v>
      </c>
      <c r="B522" s="241" t="s">
        <v>3361</v>
      </c>
      <c r="C522" s="241" t="s">
        <v>3674</v>
      </c>
      <c r="D522" s="242">
        <v>30.5</v>
      </c>
      <c r="E522" s="242">
        <v>30.5</v>
      </c>
      <c r="F522" s="242">
        <v>30.5</v>
      </c>
      <c r="G522" s="242">
        <v>30.5</v>
      </c>
      <c r="H522" s="242">
        <v>30.5</v>
      </c>
      <c r="I522" s="242">
        <v>30.5</v>
      </c>
      <c r="J522" s="242">
        <v>30.5</v>
      </c>
      <c r="K522" s="242">
        <v>30.5</v>
      </c>
      <c r="L522" s="242">
        <v>30.5</v>
      </c>
      <c r="M522" s="242">
        <v>30.5</v>
      </c>
      <c r="N522" s="242">
        <v>30.5</v>
      </c>
      <c r="O522" s="242">
        <v>30.5</v>
      </c>
      <c r="P522" s="241" t="s">
        <v>3345</v>
      </c>
      <c r="Q522" s="241" t="s">
        <v>3347</v>
      </c>
      <c r="R522" s="243" t="s">
        <v>4561</v>
      </c>
      <c r="S522" s="270">
        <f t="shared" si="19"/>
        <v>8037</v>
      </c>
      <c r="T522" s="270"/>
      <c r="U522" s="270">
        <f>IFERROR(VLOOKUP($A522,GeneratingCapabilityList!$E$7:$O$1673,11,FALSE),"ID Not Found")</f>
        <v>8037</v>
      </c>
      <c r="V522" s="271" t="str">
        <f>IFERROR(VLOOKUP($A522,GeneratingCapabilityList!$E$7:$O$1673,6,FALSE),"UNKNOWN")</f>
        <v>HYDRO</v>
      </c>
      <c r="W522" s="271">
        <f>IFERROR(VLOOKUP($A522,GeneratingCapabilityList!$E$7:$O$1673,3,FALSE),"ID Not Found")</f>
        <v>32</v>
      </c>
      <c r="Y522" s="270"/>
    </row>
    <row r="523" spans="1:25">
      <c r="A523" s="241" t="s">
        <v>210</v>
      </c>
      <c r="B523" s="241" t="s">
        <v>3361</v>
      </c>
      <c r="C523" s="241" t="s">
        <v>3675</v>
      </c>
      <c r="D523" s="242">
        <v>30.5</v>
      </c>
      <c r="E523" s="242">
        <v>30.5</v>
      </c>
      <c r="F523" s="242">
        <v>30.5</v>
      </c>
      <c r="G523" s="242">
        <v>30.5</v>
      </c>
      <c r="H523" s="242">
        <v>30.5</v>
      </c>
      <c r="I523" s="242">
        <v>30.5</v>
      </c>
      <c r="J523" s="242">
        <v>30.5</v>
      </c>
      <c r="K523" s="242">
        <v>30.5</v>
      </c>
      <c r="L523" s="242">
        <v>30.5</v>
      </c>
      <c r="M523" s="242">
        <v>30.5</v>
      </c>
      <c r="N523" s="242">
        <v>30.5</v>
      </c>
      <c r="O523" s="242">
        <v>30.5</v>
      </c>
      <c r="P523" s="241" t="s">
        <v>3345</v>
      </c>
      <c r="Q523" s="241" t="s">
        <v>3347</v>
      </c>
      <c r="R523" s="243" t="s">
        <v>4561</v>
      </c>
      <c r="S523" s="270">
        <f t="shared" si="19"/>
        <v>8037</v>
      </c>
      <c r="T523" s="270"/>
      <c r="U523" s="270">
        <f>IFERROR(VLOOKUP($A523,GeneratingCapabilityList!$E$7:$O$1673,11,FALSE),"ID Not Found")</f>
        <v>8037</v>
      </c>
      <c r="V523" s="271" t="str">
        <f>IFERROR(VLOOKUP($A523,GeneratingCapabilityList!$E$7:$O$1673,6,FALSE),"UNKNOWN")</f>
        <v>HYDRO</v>
      </c>
      <c r="W523" s="271">
        <f>IFERROR(VLOOKUP($A523,GeneratingCapabilityList!$E$7:$O$1673,3,FALSE),"ID Not Found")</f>
        <v>32</v>
      </c>
      <c r="Y523" s="270"/>
    </row>
    <row r="524" spans="1:25">
      <c r="A524" s="241" t="s">
        <v>230</v>
      </c>
      <c r="B524" s="241" t="s">
        <v>3361</v>
      </c>
      <c r="C524" s="241" t="s">
        <v>3676</v>
      </c>
      <c r="D524" s="242">
        <v>70.599999999999994</v>
      </c>
      <c r="E524" s="242">
        <v>70.599999999999994</v>
      </c>
      <c r="F524" s="242">
        <v>70.599999999999994</v>
      </c>
      <c r="G524" s="242">
        <v>70.599999999999994</v>
      </c>
      <c r="H524" s="242">
        <v>70.599999999999994</v>
      </c>
      <c r="I524" s="242">
        <v>70.599999999999994</v>
      </c>
      <c r="J524" s="242">
        <v>70.599999999999994</v>
      </c>
      <c r="K524" s="242">
        <v>70.599999999999994</v>
      </c>
      <c r="L524" s="242">
        <v>70.599999999999994</v>
      </c>
      <c r="M524" s="242">
        <v>70.599999999999994</v>
      </c>
      <c r="N524" s="242">
        <v>70.599999999999994</v>
      </c>
      <c r="O524" s="242">
        <v>70.599999999999994</v>
      </c>
      <c r="P524" s="241" t="s">
        <v>3345</v>
      </c>
      <c r="Q524" s="241" t="s">
        <v>3347</v>
      </c>
      <c r="R524" s="243" t="s">
        <v>4561</v>
      </c>
      <c r="S524" s="270">
        <f t="shared" si="19"/>
        <v>9133</v>
      </c>
      <c r="T524" s="270"/>
      <c r="U524" s="270">
        <f>IFERROR(VLOOKUP($A524,GeneratingCapabilityList!$E$7:$O$1673,11,FALSE),"ID Not Found")</f>
        <v>9133</v>
      </c>
      <c r="V524" s="271" t="str">
        <f>IFERROR(VLOOKUP($A524,GeneratingCapabilityList!$E$7:$O$1673,6,FALSE),"UNKNOWN")</f>
        <v>HYDRO</v>
      </c>
      <c r="W524" s="271">
        <f>IFERROR(VLOOKUP($A524,GeneratingCapabilityList!$E$7:$O$1673,3,FALSE),"ID Not Found")</f>
        <v>70.599999999999994</v>
      </c>
      <c r="Y524" s="270"/>
    </row>
    <row r="525" spans="1:25">
      <c r="A525" s="241" t="s">
        <v>373</v>
      </c>
      <c r="B525" s="241" t="s">
        <v>3361</v>
      </c>
      <c r="C525" s="241" t="s">
        <v>3677</v>
      </c>
      <c r="D525" s="242">
        <v>95</v>
      </c>
      <c r="E525" s="242">
        <v>95</v>
      </c>
      <c r="F525" s="242">
        <v>95</v>
      </c>
      <c r="G525" s="242">
        <v>95</v>
      </c>
      <c r="H525" s="242">
        <v>95</v>
      </c>
      <c r="I525" s="242">
        <v>95</v>
      </c>
      <c r="J525" s="242">
        <v>95</v>
      </c>
      <c r="K525" s="242">
        <v>95</v>
      </c>
      <c r="L525" s="242">
        <v>95</v>
      </c>
      <c r="M525" s="242">
        <v>95</v>
      </c>
      <c r="N525" s="242">
        <v>95</v>
      </c>
      <c r="O525" s="242">
        <v>95</v>
      </c>
      <c r="P525" s="241" t="s">
        <v>3345</v>
      </c>
      <c r="Q525" s="241" t="s">
        <v>3347</v>
      </c>
      <c r="R525" s="243" t="s">
        <v>4561</v>
      </c>
      <c r="S525" s="270">
        <f t="shared" si="19"/>
        <v>20090</v>
      </c>
      <c r="T525" s="270"/>
      <c r="U525" s="270">
        <f>IFERROR(VLOOKUP($A525,GeneratingCapabilityList!$E$7:$O$1673,11,FALSE),"ID Not Found")</f>
        <v>20090</v>
      </c>
      <c r="V525" s="271" t="str">
        <f>IFERROR(VLOOKUP($A525,GeneratingCapabilityList!$E$7:$O$1673,6,FALSE),"UNKNOWN")</f>
        <v>HYDRO</v>
      </c>
      <c r="W525" s="271">
        <f>IFERROR(VLOOKUP($A525,GeneratingCapabilityList!$E$7:$O$1673,3,FALSE),"ID Not Found")</f>
        <v>95</v>
      </c>
      <c r="Y525" s="270"/>
    </row>
    <row r="526" spans="1:25">
      <c r="A526" s="241" t="s">
        <v>318</v>
      </c>
      <c r="B526" s="241" t="s">
        <v>3361</v>
      </c>
      <c r="C526" s="241" t="s">
        <v>3678</v>
      </c>
      <c r="D526" s="242">
        <v>80</v>
      </c>
      <c r="E526" s="242">
        <v>80</v>
      </c>
      <c r="F526" s="242">
        <v>80</v>
      </c>
      <c r="G526" s="242">
        <v>80</v>
      </c>
      <c r="H526" s="242">
        <v>80</v>
      </c>
      <c r="I526" s="242">
        <v>80</v>
      </c>
      <c r="J526" s="242">
        <v>80</v>
      </c>
      <c r="K526" s="242">
        <v>80</v>
      </c>
      <c r="L526" s="242">
        <v>80</v>
      </c>
      <c r="M526" s="242">
        <v>80</v>
      </c>
      <c r="N526" s="242">
        <v>80</v>
      </c>
      <c r="O526" s="242">
        <v>80</v>
      </c>
      <c r="P526" s="241" t="s">
        <v>3345</v>
      </c>
      <c r="Q526" s="241" t="s">
        <v>3347</v>
      </c>
      <c r="R526" s="243" t="s">
        <v>4561</v>
      </c>
      <c r="S526" s="270">
        <f t="shared" si="19"/>
        <v>16072</v>
      </c>
      <c r="T526" s="270"/>
      <c r="U526" s="270">
        <f>IFERROR(VLOOKUP($A526,GeneratingCapabilityList!$E$7:$O$1673,11,FALSE),"ID Not Found")</f>
        <v>16072</v>
      </c>
      <c r="V526" s="271" t="str">
        <f>IFERROR(VLOOKUP($A526,GeneratingCapabilityList!$E$7:$O$1673,6,FALSE),"UNKNOWN")</f>
        <v>HYDRO</v>
      </c>
      <c r="W526" s="271">
        <f>IFERROR(VLOOKUP($A526,GeneratingCapabilityList!$E$7:$O$1673,3,FALSE),"ID Not Found")</f>
        <v>82</v>
      </c>
      <c r="Y526" s="270"/>
    </row>
    <row r="527" spans="1:25">
      <c r="A527" s="241" t="s">
        <v>324</v>
      </c>
      <c r="B527" s="241" t="s">
        <v>3361</v>
      </c>
      <c r="C527" s="241" t="s">
        <v>3679</v>
      </c>
      <c r="D527" s="242">
        <v>80</v>
      </c>
      <c r="E527" s="242">
        <v>80</v>
      </c>
      <c r="F527" s="242">
        <v>80</v>
      </c>
      <c r="G527" s="242">
        <v>80</v>
      </c>
      <c r="H527" s="242">
        <v>80</v>
      </c>
      <c r="I527" s="242">
        <v>80</v>
      </c>
      <c r="J527" s="242">
        <v>80</v>
      </c>
      <c r="K527" s="242">
        <v>80</v>
      </c>
      <c r="L527" s="242">
        <v>80</v>
      </c>
      <c r="M527" s="242">
        <v>80</v>
      </c>
      <c r="N527" s="242">
        <v>80</v>
      </c>
      <c r="O527" s="242">
        <v>80</v>
      </c>
      <c r="P527" s="241" t="s">
        <v>3345</v>
      </c>
      <c r="Q527" s="241" t="s">
        <v>3347</v>
      </c>
      <c r="R527" s="243" t="s">
        <v>4561</v>
      </c>
      <c r="S527" s="270">
        <f t="shared" si="19"/>
        <v>16072</v>
      </c>
      <c r="T527" s="270"/>
      <c r="U527" s="270">
        <f>IFERROR(VLOOKUP($A527,GeneratingCapabilityList!$E$7:$O$1673,11,FALSE),"ID Not Found")</f>
        <v>16072</v>
      </c>
      <c r="V527" s="271" t="str">
        <f>IFERROR(VLOOKUP($A527,GeneratingCapabilityList!$E$7:$O$1673,6,FALSE),"UNKNOWN")</f>
        <v>HYDRO</v>
      </c>
      <c r="W527" s="271">
        <f>IFERROR(VLOOKUP($A527,GeneratingCapabilityList!$E$7:$O$1673,3,FALSE),"ID Not Found")</f>
        <v>82</v>
      </c>
      <c r="Y527" s="270"/>
    </row>
    <row r="528" spans="1:25">
      <c r="A528" s="241" t="s">
        <v>1582</v>
      </c>
      <c r="B528" s="241" t="s">
        <v>3361</v>
      </c>
      <c r="C528" s="241" t="s">
        <v>3680</v>
      </c>
      <c r="D528" s="242">
        <v>0.66</v>
      </c>
      <c r="E528" s="242">
        <v>0.78</v>
      </c>
      <c r="F528" s="242">
        <v>1.1100000000000001</v>
      </c>
      <c r="G528" s="242">
        <v>1.33</v>
      </c>
      <c r="H528" s="242">
        <v>1.08</v>
      </c>
      <c r="I528" s="242">
        <v>0.86</v>
      </c>
      <c r="J528" s="242">
        <v>0.36</v>
      </c>
      <c r="K528" s="242">
        <v>0.2</v>
      </c>
      <c r="L528" s="242">
        <v>0.2</v>
      </c>
      <c r="M528" s="242">
        <v>0.19</v>
      </c>
      <c r="N528" s="242">
        <v>0.2</v>
      </c>
      <c r="O528" s="242">
        <v>0.56999999999999995</v>
      </c>
      <c r="P528" s="241" t="s">
        <v>3345</v>
      </c>
      <c r="Q528" s="241" t="s">
        <v>3347</v>
      </c>
      <c r="R528" s="243" t="s">
        <v>4562</v>
      </c>
      <c r="S528" s="270">
        <f t="shared" si="19"/>
        <v>32004</v>
      </c>
      <c r="T528" s="270"/>
      <c r="U528" s="270">
        <f>IFERROR(VLOOKUP($A528,GeneratingCapabilityList!$E$7:$O$1673,11,FALSE),"ID Not Found")</f>
        <v>32004</v>
      </c>
      <c r="V528" s="271" t="str">
        <f>IFERROR(VLOOKUP($A528,GeneratingCapabilityList!$E$7:$O$1673,6,FALSE),"UNKNOWN")</f>
        <v>HYDRO</v>
      </c>
      <c r="W528" s="271">
        <f>IFERROR(VLOOKUP($A528,GeneratingCapabilityList!$E$7:$O$1673,3,FALSE),"ID Not Found")</f>
        <v>3.75</v>
      </c>
      <c r="Y528" s="270"/>
    </row>
    <row r="529" spans="1:25">
      <c r="A529" s="241" t="s">
        <v>500</v>
      </c>
      <c r="B529" s="241" t="s">
        <v>3361</v>
      </c>
      <c r="C529" s="241" t="s">
        <v>3681</v>
      </c>
      <c r="D529" s="242">
        <v>39</v>
      </c>
      <c r="E529" s="242">
        <v>39</v>
      </c>
      <c r="F529" s="242">
        <v>39</v>
      </c>
      <c r="G529" s="242">
        <v>39</v>
      </c>
      <c r="H529" s="242">
        <v>39</v>
      </c>
      <c r="I529" s="242">
        <v>39</v>
      </c>
      <c r="J529" s="242">
        <v>39</v>
      </c>
      <c r="K529" s="242">
        <v>39</v>
      </c>
      <c r="L529" s="242">
        <v>39</v>
      </c>
      <c r="M529" s="242">
        <v>39</v>
      </c>
      <c r="N529" s="242">
        <v>39</v>
      </c>
      <c r="O529" s="242">
        <v>39</v>
      </c>
      <c r="P529" s="241" t="s">
        <v>3345</v>
      </c>
      <c r="Q529" s="241" t="s">
        <v>3347</v>
      </c>
      <c r="R529" s="243" t="s">
        <v>4561</v>
      </c>
      <c r="S529" s="270">
        <f t="shared" si="19"/>
        <v>23743</v>
      </c>
      <c r="T529" s="270"/>
      <c r="U529" s="270">
        <f>IFERROR(VLOOKUP($A529,GeneratingCapabilityList!$E$7:$O$1673,11,FALSE),"ID Not Found")</f>
        <v>23743</v>
      </c>
      <c r="V529" s="271" t="str">
        <f>IFERROR(VLOOKUP($A529,GeneratingCapabilityList!$E$7:$O$1673,6,FALSE),"UNKNOWN")</f>
        <v>HYDRO</v>
      </c>
      <c r="W529" s="271">
        <f>IFERROR(VLOOKUP($A529,GeneratingCapabilityList!$E$7:$O$1673,3,FALSE),"ID Not Found")</f>
        <v>39</v>
      </c>
      <c r="Y529" s="270"/>
    </row>
    <row r="530" spans="1:25">
      <c r="A530" s="241" t="s">
        <v>502</v>
      </c>
      <c r="B530" s="241" t="s">
        <v>3361</v>
      </c>
      <c r="C530" s="241" t="s">
        <v>3682</v>
      </c>
      <c r="D530" s="242">
        <v>40</v>
      </c>
      <c r="E530" s="242">
        <v>40</v>
      </c>
      <c r="F530" s="242">
        <v>40</v>
      </c>
      <c r="G530" s="242">
        <v>40</v>
      </c>
      <c r="H530" s="242">
        <v>40</v>
      </c>
      <c r="I530" s="242">
        <v>40</v>
      </c>
      <c r="J530" s="242">
        <v>40</v>
      </c>
      <c r="K530" s="242">
        <v>40</v>
      </c>
      <c r="L530" s="242">
        <v>40</v>
      </c>
      <c r="M530" s="242">
        <v>40</v>
      </c>
      <c r="N530" s="242">
        <v>40</v>
      </c>
      <c r="O530" s="242">
        <v>40</v>
      </c>
      <c r="P530" s="241" t="s">
        <v>3345</v>
      </c>
      <c r="Q530" s="241" t="s">
        <v>3347</v>
      </c>
      <c r="R530" s="243" t="s">
        <v>4561</v>
      </c>
      <c r="S530" s="270">
        <f t="shared" si="19"/>
        <v>23743</v>
      </c>
      <c r="T530" s="270"/>
      <c r="U530" s="270">
        <f>IFERROR(VLOOKUP($A530,GeneratingCapabilityList!$E$7:$O$1673,11,FALSE),"ID Not Found")</f>
        <v>23743</v>
      </c>
      <c r="V530" s="271" t="str">
        <f>IFERROR(VLOOKUP($A530,GeneratingCapabilityList!$E$7:$O$1673,6,FALSE),"UNKNOWN")</f>
        <v>HYDRO</v>
      </c>
      <c r="W530" s="271">
        <f>IFERROR(VLOOKUP($A530,GeneratingCapabilityList!$E$7:$O$1673,3,FALSE),"ID Not Found")</f>
        <v>40</v>
      </c>
      <c r="Y530" s="270"/>
    </row>
    <row r="531" spans="1:25">
      <c r="A531" s="241" t="s">
        <v>504</v>
      </c>
      <c r="B531" s="241" t="s">
        <v>3361</v>
      </c>
      <c r="C531" s="241" t="s">
        <v>3683</v>
      </c>
      <c r="D531" s="242">
        <v>55.7</v>
      </c>
      <c r="E531" s="242">
        <v>55.7</v>
      </c>
      <c r="F531" s="242">
        <v>55.7</v>
      </c>
      <c r="G531" s="242">
        <v>55.7</v>
      </c>
      <c r="H531" s="242">
        <v>55.7</v>
      </c>
      <c r="I531" s="242">
        <v>55.7</v>
      </c>
      <c r="J531" s="242">
        <v>55.7</v>
      </c>
      <c r="K531" s="242">
        <v>55.7</v>
      </c>
      <c r="L531" s="242">
        <v>55.7</v>
      </c>
      <c r="M531" s="242">
        <v>55.7</v>
      </c>
      <c r="N531" s="242">
        <v>55.7</v>
      </c>
      <c r="O531" s="242">
        <v>55.7</v>
      </c>
      <c r="P531" s="241" t="s">
        <v>3345</v>
      </c>
      <c r="Q531" s="241" t="s">
        <v>3347</v>
      </c>
      <c r="R531" s="243" t="s">
        <v>4561</v>
      </c>
      <c r="S531" s="270">
        <f t="shared" si="19"/>
        <v>23743</v>
      </c>
      <c r="T531" s="270"/>
      <c r="U531" s="270">
        <f>IFERROR(VLOOKUP($A531,GeneratingCapabilityList!$E$7:$O$1673,11,FALSE),"ID Not Found")</f>
        <v>23743</v>
      </c>
      <c r="V531" s="271" t="str">
        <f>IFERROR(VLOOKUP($A531,GeneratingCapabilityList!$E$7:$O$1673,6,FALSE),"UNKNOWN")</f>
        <v>HYDRO</v>
      </c>
      <c r="W531" s="271">
        <f>IFERROR(VLOOKUP($A531,GeneratingCapabilityList!$E$7:$O$1673,3,FALSE),"ID Not Found")</f>
        <v>55.7</v>
      </c>
      <c r="Y531" s="270"/>
    </row>
    <row r="532" spans="1:25">
      <c r="A532" s="241" t="s">
        <v>506</v>
      </c>
      <c r="B532" s="241" t="s">
        <v>3361</v>
      </c>
      <c r="C532" s="241" t="s">
        <v>3684</v>
      </c>
      <c r="D532" s="242">
        <v>54.6</v>
      </c>
      <c r="E532" s="242">
        <v>54.6</v>
      </c>
      <c r="F532" s="242">
        <v>54.6</v>
      </c>
      <c r="G532" s="242">
        <v>54.6</v>
      </c>
      <c r="H532" s="242">
        <v>54.6</v>
      </c>
      <c r="I532" s="242">
        <v>54.6</v>
      </c>
      <c r="J532" s="242">
        <v>54.6</v>
      </c>
      <c r="K532" s="242">
        <v>54.6</v>
      </c>
      <c r="L532" s="242">
        <v>54.6</v>
      </c>
      <c r="M532" s="242">
        <v>54.6</v>
      </c>
      <c r="N532" s="242">
        <v>54.6</v>
      </c>
      <c r="O532" s="242">
        <v>54.6</v>
      </c>
      <c r="P532" s="241" t="s">
        <v>3345</v>
      </c>
      <c r="Q532" s="241" t="s">
        <v>3347</v>
      </c>
      <c r="R532" s="243" t="s">
        <v>4561</v>
      </c>
      <c r="S532" s="270">
        <f t="shared" si="19"/>
        <v>23743</v>
      </c>
      <c r="T532" s="270"/>
      <c r="U532" s="270">
        <f>IFERROR(VLOOKUP($A532,GeneratingCapabilityList!$E$7:$O$1673,11,FALSE),"ID Not Found")</f>
        <v>23743</v>
      </c>
      <c r="V532" s="271" t="str">
        <f>IFERROR(VLOOKUP($A532,GeneratingCapabilityList!$E$7:$O$1673,6,FALSE),"UNKNOWN")</f>
        <v>HYDRO</v>
      </c>
      <c r="W532" s="271">
        <f>IFERROR(VLOOKUP($A532,GeneratingCapabilityList!$E$7:$O$1673,3,FALSE),"ID Not Found")</f>
        <v>54.6</v>
      </c>
      <c r="Y532" s="270"/>
    </row>
    <row r="533" spans="1:25">
      <c r="A533" s="241" t="s">
        <v>433</v>
      </c>
      <c r="B533" s="241" t="s">
        <v>3324</v>
      </c>
      <c r="C533" s="241" t="s">
        <v>3685</v>
      </c>
      <c r="D533" s="242">
        <v>312</v>
      </c>
      <c r="E533" s="242">
        <v>312</v>
      </c>
      <c r="F533" s="242">
        <v>312</v>
      </c>
      <c r="G533" s="242">
        <v>312</v>
      </c>
      <c r="H533" s="242">
        <v>312</v>
      </c>
      <c r="I533" s="242">
        <v>312</v>
      </c>
      <c r="J533" s="242">
        <v>312</v>
      </c>
      <c r="K533" s="242">
        <v>312</v>
      </c>
      <c r="L533" s="242">
        <v>312</v>
      </c>
      <c r="M533" s="242">
        <v>312</v>
      </c>
      <c r="N533" s="242">
        <v>312</v>
      </c>
      <c r="O533" s="242">
        <v>312</v>
      </c>
      <c r="P533" s="241" t="s">
        <v>3345</v>
      </c>
      <c r="Q533" s="241" t="s">
        <v>3347</v>
      </c>
      <c r="R533" s="243" t="s">
        <v>4561</v>
      </c>
      <c r="S533" s="270">
        <f t="shared" si="19"/>
        <v>21916</v>
      </c>
      <c r="T533" s="270"/>
      <c r="U533" s="270">
        <f>IFERROR(VLOOKUP($A533,GeneratingCapabilityList!$E$7:$O$1673,11,FALSE),"ID Not Found")</f>
        <v>21916</v>
      </c>
      <c r="V533" s="271" t="str">
        <f>IFERROR(VLOOKUP($A533,GeneratingCapabilityList!$E$7:$O$1673,6,FALSE),"UNKNOWN")</f>
        <v>THERMAL</v>
      </c>
      <c r="W533" s="271">
        <f>IFERROR(VLOOKUP($A533,GeneratingCapabilityList!$E$7:$O$1673,3,FALSE),"ID Not Found")</f>
        <v>312</v>
      </c>
      <c r="X533" s="271" t="s">
        <v>12</v>
      </c>
      <c r="Y533" s="270">
        <v>43100</v>
      </c>
    </row>
    <row r="534" spans="1:25">
      <c r="A534" s="241" t="s">
        <v>446</v>
      </c>
      <c r="B534" s="241" t="s">
        <v>3324</v>
      </c>
      <c r="C534" s="241" t="s">
        <v>3686</v>
      </c>
      <c r="D534" s="242">
        <v>317</v>
      </c>
      <c r="E534" s="242">
        <v>317</v>
      </c>
      <c r="F534" s="242">
        <v>317</v>
      </c>
      <c r="G534" s="242">
        <v>317</v>
      </c>
      <c r="H534" s="242">
        <v>317</v>
      </c>
      <c r="I534" s="242">
        <v>317</v>
      </c>
      <c r="J534" s="242">
        <v>317</v>
      </c>
      <c r="K534" s="242">
        <v>317</v>
      </c>
      <c r="L534" s="242">
        <v>317</v>
      </c>
      <c r="M534" s="242">
        <v>317</v>
      </c>
      <c r="N534" s="242">
        <v>317</v>
      </c>
      <c r="O534" s="242">
        <v>317</v>
      </c>
      <c r="P534" s="241" t="s">
        <v>3345</v>
      </c>
      <c r="Q534" s="241" t="s">
        <v>3347</v>
      </c>
      <c r="R534" s="243" t="s">
        <v>4561</v>
      </c>
      <c r="S534" s="270">
        <f t="shared" si="19"/>
        <v>22282</v>
      </c>
      <c r="T534" s="270"/>
      <c r="U534" s="270">
        <f>IFERROR(VLOOKUP($A534,GeneratingCapabilityList!$E$7:$O$1673,11,FALSE),"ID Not Found")</f>
        <v>22282</v>
      </c>
      <c r="V534" s="271" t="str">
        <f>IFERROR(VLOOKUP($A534,GeneratingCapabilityList!$E$7:$O$1673,6,FALSE),"UNKNOWN")</f>
        <v>THERMAL</v>
      </c>
      <c r="W534" s="271">
        <f>IFERROR(VLOOKUP($A534,GeneratingCapabilityList!$E$7:$O$1673,3,FALSE),"ID Not Found")</f>
        <v>317</v>
      </c>
      <c r="X534" s="271" t="s">
        <v>12</v>
      </c>
      <c r="Y534" s="270">
        <v>43100</v>
      </c>
    </row>
    <row r="535" spans="1:25">
      <c r="A535" s="241" t="s">
        <v>672</v>
      </c>
      <c r="B535" s="241" t="s">
        <v>3324</v>
      </c>
      <c r="C535" s="241" t="s">
        <v>3687</v>
      </c>
      <c r="D535" s="242">
        <v>682</v>
      </c>
      <c r="E535" s="242">
        <v>682</v>
      </c>
      <c r="F535" s="242">
        <v>682</v>
      </c>
      <c r="G535" s="242">
        <v>682</v>
      </c>
      <c r="H535" s="242">
        <v>682</v>
      </c>
      <c r="I535" s="242">
        <v>682</v>
      </c>
      <c r="J535" s="242">
        <v>682</v>
      </c>
      <c r="K535" s="242">
        <v>682</v>
      </c>
      <c r="L535" s="242">
        <v>682</v>
      </c>
      <c r="M535" s="242">
        <v>682</v>
      </c>
      <c r="N535" s="242">
        <v>682</v>
      </c>
      <c r="O535" s="242">
        <v>682</v>
      </c>
      <c r="P535" s="241" t="s">
        <v>3345</v>
      </c>
      <c r="Q535" s="241" t="s">
        <v>3347</v>
      </c>
      <c r="R535" s="243" t="s">
        <v>4561</v>
      </c>
      <c r="S535" s="270">
        <f t="shared" si="19"/>
        <v>26299</v>
      </c>
      <c r="T535" s="270"/>
      <c r="U535" s="270">
        <f>IFERROR(VLOOKUP($A535,GeneratingCapabilityList!$E$7:$O$1673,11,FALSE),"ID Not Found")</f>
        <v>26299</v>
      </c>
      <c r="V535" s="271" t="str">
        <f>IFERROR(VLOOKUP($A535,GeneratingCapabilityList!$E$7:$O$1673,6,FALSE),"UNKNOWN")</f>
        <v>THERMAL</v>
      </c>
      <c r="W535" s="271">
        <f>IFERROR(VLOOKUP($A535,GeneratingCapabilityList!$E$7:$O$1673,3,FALSE),"ID Not Found")</f>
        <v>682</v>
      </c>
      <c r="X535" s="271" t="s">
        <v>12</v>
      </c>
      <c r="Y535" s="270">
        <v>43100</v>
      </c>
    </row>
    <row r="536" spans="1:25">
      <c r="A536" s="241" t="s">
        <v>487</v>
      </c>
      <c r="B536" s="241" t="s">
        <v>3375</v>
      </c>
      <c r="C536" s="241" t="s">
        <v>3688</v>
      </c>
      <c r="D536" s="242">
        <v>3.46</v>
      </c>
      <c r="E536" s="242">
        <v>3.14</v>
      </c>
      <c r="F536" s="242">
        <v>4.09</v>
      </c>
      <c r="G536" s="242">
        <v>6.64</v>
      </c>
      <c r="H536" s="242">
        <v>7.06</v>
      </c>
      <c r="I536" s="242">
        <v>5.26</v>
      </c>
      <c r="J536" s="242">
        <v>4.05</v>
      </c>
      <c r="K536" s="242">
        <v>3.46</v>
      </c>
      <c r="L536" s="242">
        <v>3.07</v>
      </c>
      <c r="M536" s="242">
        <v>2.48</v>
      </c>
      <c r="N536" s="242">
        <v>1.47</v>
      </c>
      <c r="O536" s="242">
        <v>2.96</v>
      </c>
      <c r="P536" s="241" t="s">
        <v>3345</v>
      </c>
      <c r="Q536" s="241" t="s">
        <v>3347</v>
      </c>
      <c r="R536" s="243" t="s">
        <v>4561</v>
      </c>
      <c r="S536" s="270">
        <f t="shared" si="19"/>
        <v>23743</v>
      </c>
      <c r="T536" s="270"/>
      <c r="U536" s="270">
        <f>IFERROR(VLOOKUP($A536,GeneratingCapabilityList!$E$7:$O$1673,11,FALSE),"ID Not Found")</f>
        <v>23743</v>
      </c>
      <c r="V536" s="271" t="str">
        <f>IFERROR(VLOOKUP($A536,GeneratingCapabilityList!$E$7:$O$1673,6,FALSE),"UNKNOWN")</f>
        <v>HYDRO</v>
      </c>
      <c r="W536" s="271">
        <f>IFERROR(VLOOKUP($A536,GeneratingCapabilityList!$E$7:$O$1673,3,FALSE),"ID Not Found")</f>
        <v>8.4</v>
      </c>
      <c r="Y536" s="270"/>
    </row>
    <row r="537" spans="1:25">
      <c r="A537" s="241" t="s">
        <v>1388</v>
      </c>
      <c r="B537" s="241" t="s">
        <v>3375</v>
      </c>
      <c r="C537" s="241" t="s">
        <v>3689</v>
      </c>
      <c r="D537" s="242">
        <v>0.54</v>
      </c>
      <c r="E537" s="242">
        <v>0.46</v>
      </c>
      <c r="F537" s="242">
        <v>1.29</v>
      </c>
      <c r="G537" s="242">
        <v>1.59</v>
      </c>
      <c r="H537" s="242">
        <v>0.69</v>
      </c>
      <c r="I537" s="242">
        <v>0.32</v>
      </c>
      <c r="J537" s="242">
        <v>0.06</v>
      </c>
      <c r="K537" s="242">
        <v>0</v>
      </c>
      <c r="L537" s="242">
        <v>0</v>
      </c>
      <c r="M537" s="242">
        <v>0</v>
      </c>
      <c r="N537" s="242">
        <v>0.11</v>
      </c>
      <c r="O537" s="242">
        <v>0.74</v>
      </c>
      <c r="P537" s="241" t="s">
        <v>3345</v>
      </c>
      <c r="Q537" s="241" t="s">
        <v>3347</v>
      </c>
      <c r="R537" s="243" t="s">
        <v>4562</v>
      </c>
      <c r="S537" s="270">
        <f t="shared" si="19"/>
        <v>31526</v>
      </c>
      <c r="T537" s="270"/>
      <c r="U537" s="270">
        <f>IFERROR(VLOOKUP($A537,GeneratingCapabilityList!$E$7:$O$1673,11,FALSE),"ID Not Found")</f>
        <v>31526</v>
      </c>
      <c r="V537" s="271" t="str">
        <f>IFERROR(VLOOKUP($A537,GeneratingCapabilityList!$E$7:$O$1673,6,FALSE),"UNKNOWN")</f>
        <v>HYDRO</v>
      </c>
      <c r="W537" s="271">
        <f>IFERROR(VLOOKUP($A537,GeneratingCapabilityList!$E$7:$O$1673,3,FALSE),"ID Not Found")</f>
        <v>5</v>
      </c>
      <c r="Y537" s="270"/>
    </row>
    <row r="538" spans="1:25">
      <c r="A538" s="241" t="s">
        <v>1134</v>
      </c>
      <c r="B538" s="241" t="s">
        <v>3375</v>
      </c>
      <c r="C538" s="241" t="s">
        <v>3690</v>
      </c>
      <c r="D538" s="242">
        <v>2.2000000000000002</v>
      </c>
      <c r="E538" s="242">
        <v>2.2000000000000002</v>
      </c>
      <c r="F538" s="242">
        <v>1.75</v>
      </c>
      <c r="G538" s="242">
        <v>2.0299999999999998</v>
      </c>
      <c r="H538" s="242">
        <v>1.98</v>
      </c>
      <c r="I538" s="242">
        <v>1.91</v>
      </c>
      <c r="J538" s="242">
        <v>1.85</v>
      </c>
      <c r="K538" s="242">
        <v>1.86</v>
      </c>
      <c r="L538" s="242">
        <v>2.12</v>
      </c>
      <c r="M538" s="242">
        <v>2.2000000000000002</v>
      </c>
      <c r="N538" s="242">
        <v>2.2799999999999998</v>
      </c>
      <c r="O538" s="242">
        <v>2.57</v>
      </c>
      <c r="P538" s="241" t="s">
        <v>3345</v>
      </c>
      <c r="Q538" s="241" t="s">
        <v>3347</v>
      </c>
      <c r="R538" s="243" t="s">
        <v>4562</v>
      </c>
      <c r="S538" s="270">
        <f t="shared" si="19"/>
        <v>31048</v>
      </c>
      <c r="T538" s="270"/>
      <c r="U538" s="270">
        <f>IFERROR(VLOOKUP($A538,GeneratingCapabilityList!$E$7:$O$1673,11,FALSE),"ID Not Found")</f>
        <v>31048</v>
      </c>
      <c r="V538" s="271" t="str">
        <f>IFERROR(VLOOKUP($A538,GeneratingCapabilityList!$E$7:$O$1673,6,FALSE),"UNKNOWN")</f>
        <v>BIOMASS</v>
      </c>
      <c r="W538" s="271">
        <f>IFERROR(VLOOKUP($A538,GeneratingCapabilityList!$E$7:$O$1673,3,FALSE),"ID Not Found")</f>
        <v>2.1</v>
      </c>
      <c r="Y538" s="270"/>
    </row>
    <row r="539" spans="1:25">
      <c r="A539" s="241" t="s">
        <v>2893</v>
      </c>
      <c r="B539" s="241" t="s">
        <v>3361</v>
      </c>
      <c r="C539" s="241" t="s">
        <v>3691</v>
      </c>
      <c r="D539" s="242">
        <v>380.96</v>
      </c>
      <c r="E539" s="242">
        <v>380.96</v>
      </c>
      <c r="F539" s="242">
        <v>380.96</v>
      </c>
      <c r="G539" s="242">
        <v>380.96</v>
      </c>
      <c r="H539" s="242">
        <v>380.96</v>
      </c>
      <c r="I539" s="242">
        <v>380.96</v>
      </c>
      <c r="J539" s="242">
        <v>380.96</v>
      </c>
      <c r="K539" s="242">
        <v>380.96</v>
      </c>
      <c r="L539" s="242">
        <v>380.96</v>
      </c>
      <c r="M539" s="242">
        <v>380.96</v>
      </c>
      <c r="N539" s="242">
        <v>380.96</v>
      </c>
      <c r="O539" s="242">
        <v>380.96</v>
      </c>
      <c r="P539" s="241" t="s">
        <v>3345</v>
      </c>
      <c r="Q539" s="241" t="s">
        <v>3347</v>
      </c>
      <c r="R539" s="243" t="s">
        <v>4561</v>
      </c>
      <c r="S539" s="270">
        <f t="shared" si="19"/>
        <v>39961</v>
      </c>
      <c r="T539" s="270"/>
      <c r="U539" s="270">
        <f>IFERROR(VLOOKUP($A539,GeneratingCapabilityList!$E$7:$O$1673,11,FALSE),"ID Not Found")</f>
        <v>39961</v>
      </c>
      <c r="V539" s="271" t="str">
        <f>IFERROR(VLOOKUP($A539,GeneratingCapabilityList!$E$7:$O$1673,6,FALSE),"UNKNOWN")</f>
        <v>PEAKER</v>
      </c>
      <c r="W539" s="271">
        <f>IFERROR(VLOOKUP($A539,GeneratingCapabilityList!$E$7:$O$1673,3,FALSE),"ID Not Found")</f>
        <v>400</v>
      </c>
      <c r="Y539" s="270"/>
    </row>
    <row r="540" spans="1:25">
      <c r="A540" s="241" t="s">
        <v>2889</v>
      </c>
      <c r="B540" s="241" t="s">
        <v>3349</v>
      </c>
      <c r="C540" s="241" t="s">
        <v>3692</v>
      </c>
      <c r="D540" s="242">
        <v>111.16</v>
      </c>
      <c r="E540" s="242">
        <v>111.16</v>
      </c>
      <c r="F540" s="242">
        <v>111.16</v>
      </c>
      <c r="G540" s="242">
        <v>111.16</v>
      </c>
      <c r="H540" s="242">
        <v>111.16</v>
      </c>
      <c r="I540" s="242">
        <v>111.16</v>
      </c>
      <c r="J540" s="242">
        <v>111.16</v>
      </c>
      <c r="K540" s="242">
        <v>111.16</v>
      </c>
      <c r="L540" s="242">
        <v>111.16</v>
      </c>
      <c r="M540" s="242">
        <v>111.16</v>
      </c>
      <c r="N540" s="242">
        <v>111.16</v>
      </c>
      <c r="O540" s="242">
        <v>111.16</v>
      </c>
      <c r="P540" s="241" t="s">
        <v>3345</v>
      </c>
      <c r="Q540" s="241" t="s">
        <v>3347</v>
      </c>
      <c r="R540" s="243" t="s">
        <v>4561</v>
      </c>
      <c r="S540" s="270">
        <f t="shared" si="19"/>
        <v>39937</v>
      </c>
      <c r="T540" s="270"/>
      <c r="U540" s="270">
        <f>IFERROR(VLOOKUP($A540,GeneratingCapabilityList!$E$7:$O$1673,11,FALSE),"ID Not Found")</f>
        <v>39937</v>
      </c>
      <c r="V540" s="271" t="str">
        <f>IFERROR(VLOOKUP($A540,GeneratingCapabilityList!$E$7:$O$1673,6,FALSE),"UNKNOWN")</f>
        <v>PEAKER</v>
      </c>
      <c r="W540" s="271">
        <f>IFERROR(VLOOKUP($A540,GeneratingCapabilityList!$E$7:$O$1673,3,FALSE),"ID Not Found")</f>
        <v>119.91</v>
      </c>
      <c r="Y540" s="270"/>
    </row>
    <row r="541" spans="1:25">
      <c r="A541" s="241" t="s">
        <v>2735</v>
      </c>
      <c r="B541" s="241" t="s">
        <v>3349</v>
      </c>
      <c r="C541" s="241" t="s">
        <v>3693</v>
      </c>
      <c r="D541" s="242">
        <v>49.97</v>
      </c>
      <c r="E541" s="242">
        <v>49.97</v>
      </c>
      <c r="F541" s="242">
        <v>49.97</v>
      </c>
      <c r="G541" s="242">
        <v>49.97</v>
      </c>
      <c r="H541" s="242">
        <v>49.97</v>
      </c>
      <c r="I541" s="242">
        <v>49.97</v>
      </c>
      <c r="J541" s="242">
        <v>49.97</v>
      </c>
      <c r="K541" s="242">
        <v>49.97</v>
      </c>
      <c r="L541" s="242">
        <v>49.97</v>
      </c>
      <c r="M541" s="242">
        <v>49.97</v>
      </c>
      <c r="N541" s="242">
        <v>49.97</v>
      </c>
      <c r="O541" s="242">
        <v>49.97</v>
      </c>
      <c r="P541" s="241" t="s">
        <v>3345</v>
      </c>
      <c r="Q541" s="241" t="s">
        <v>3347</v>
      </c>
      <c r="R541" s="243" t="s">
        <v>4561</v>
      </c>
      <c r="S541" s="270">
        <f t="shared" si="19"/>
        <v>38517</v>
      </c>
      <c r="T541" s="270"/>
      <c r="U541" s="270">
        <f>IFERROR(VLOOKUP($A541,GeneratingCapabilityList!$E$7:$O$1673,11,FALSE),"ID Not Found")</f>
        <v>38517</v>
      </c>
      <c r="V541" s="271" t="str">
        <f>IFERROR(VLOOKUP($A541,GeneratingCapabilityList!$E$7:$O$1673,6,FALSE),"UNKNOWN")</f>
        <v>PEAKER</v>
      </c>
      <c r="W541" s="271">
        <f>IFERROR(VLOOKUP($A541,GeneratingCapabilityList!$E$7:$O$1673,3,FALSE),"ID Not Found")</f>
        <v>49.97</v>
      </c>
      <c r="Y541" s="270"/>
    </row>
    <row r="542" spans="1:25">
      <c r="A542" s="241" t="s">
        <v>2479</v>
      </c>
      <c r="B542" s="241" t="s">
        <v>3349</v>
      </c>
      <c r="C542" s="241" t="s">
        <v>4647</v>
      </c>
      <c r="D542" s="242">
        <v>48</v>
      </c>
      <c r="E542" s="242">
        <v>48</v>
      </c>
      <c r="F542" s="242">
        <v>48</v>
      </c>
      <c r="G542" s="242">
        <v>48</v>
      </c>
      <c r="H542" s="242">
        <v>48</v>
      </c>
      <c r="I542" s="242">
        <v>48</v>
      </c>
      <c r="J542" s="242">
        <v>48</v>
      </c>
      <c r="K542" s="242">
        <v>48</v>
      </c>
      <c r="L542" s="242">
        <v>48</v>
      </c>
      <c r="M542" s="242">
        <v>48</v>
      </c>
      <c r="N542" s="242">
        <v>48</v>
      </c>
      <c r="O542" s="242">
        <v>48</v>
      </c>
      <c r="P542" s="241" t="s">
        <v>3345</v>
      </c>
      <c r="Q542" s="241" t="s">
        <v>3347</v>
      </c>
      <c r="R542" s="243" t="s">
        <v>4561</v>
      </c>
      <c r="S542" s="270">
        <f t="shared" si="19"/>
        <v>37252</v>
      </c>
      <c r="T542" s="270"/>
      <c r="U542" s="270">
        <f>IFERROR(VLOOKUP($A542,GeneratingCapabilityList!$E$7:$O$1673,11,FALSE),"ID Not Found")</f>
        <v>37252</v>
      </c>
      <c r="V542" s="271" t="str">
        <f>IFERROR(VLOOKUP($A542,GeneratingCapabilityList!$E$7:$O$1673,6,FALSE),"UNKNOWN")</f>
        <v>PEAKER</v>
      </c>
      <c r="W542" s="271">
        <f>IFERROR(VLOOKUP($A542,GeneratingCapabilityList!$E$7:$O$1673,3,FALSE),"ID Not Found")</f>
        <v>52.01</v>
      </c>
      <c r="Y542" s="270"/>
    </row>
    <row r="543" spans="1:25">
      <c r="A543" s="241" t="s">
        <v>414</v>
      </c>
      <c r="B543" s="241" t="s">
        <v>3375</v>
      </c>
      <c r="C543" s="241" t="s">
        <v>3694</v>
      </c>
      <c r="D543" s="242">
        <v>60</v>
      </c>
      <c r="E543" s="242">
        <v>60</v>
      </c>
      <c r="F543" s="242">
        <v>60</v>
      </c>
      <c r="G543" s="242">
        <v>60</v>
      </c>
      <c r="H543" s="242">
        <v>60</v>
      </c>
      <c r="I543" s="242">
        <v>60</v>
      </c>
      <c r="J543" s="242">
        <v>60</v>
      </c>
      <c r="K543" s="242">
        <v>60</v>
      </c>
      <c r="L543" s="242">
        <v>60</v>
      </c>
      <c r="M543" s="242">
        <v>60</v>
      </c>
      <c r="N543" s="242">
        <v>60</v>
      </c>
      <c r="O543" s="242">
        <v>60</v>
      </c>
      <c r="P543" s="241" t="s">
        <v>3345</v>
      </c>
      <c r="Q543" s="241" t="s">
        <v>3347</v>
      </c>
      <c r="R543" s="243" t="s">
        <v>4561</v>
      </c>
      <c r="S543" s="270">
        <f t="shared" si="19"/>
        <v>21186</v>
      </c>
      <c r="T543" s="270"/>
      <c r="U543" s="270">
        <f>IFERROR(VLOOKUP($A543,GeneratingCapabilityList!$E$7:$O$1673,11,FALSE),"ID Not Found")</f>
        <v>21186</v>
      </c>
      <c r="V543" s="271" t="str">
        <f>IFERROR(VLOOKUP($A543,GeneratingCapabilityList!$E$7:$O$1673,6,FALSE),"UNKNOWN")</f>
        <v>HYDRO</v>
      </c>
      <c r="W543" s="271">
        <f>IFERROR(VLOOKUP($A543,GeneratingCapabilityList!$E$7:$O$1673,3,FALSE),"ID Not Found")</f>
        <v>69</v>
      </c>
      <c r="Y543" s="270"/>
    </row>
    <row r="544" spans="1:25">
      <c r="A544" s="241" t="s">
        <v>416</v>
      </c>
      <c r="B544" s="241" t="s">
        <v>3375</v>
      </c>
      <c r="C544" s="241" t="s">
        <v>3695</v>
      </c>
      <c r="D544" s="242">
        <v>60</v>
      </c>
      <c r="E544" s="242">
        <v>60</v>
      </c>
      <c r="F544" s="242">
        <v>60</v>
      </c>
      <c r="G544" s="242">
        <v>60</v>
      </c>
      <c r="H544" s="242">
        <v>60</v>
      </c>
      <c r="I544" s="242">
        <v>60</v>
      </c>
      <c r="J544" s="242">
        <v>60</v>
      </c>
      <c r="K544" s="242">
        <v>60</v>
      </c>
      <c r="L544" s="242">
        <v>60</v>
      </c>
      <c r="M544" s="242">
        <v>60</v>
      </c>
      <c r="N544" s="242">
        <v>60</v>
      </c>
      <c r="O544" s="242">
        <v>60</v>
      </c>
      <c r="P544" s="241" t="s">
        <v>3345</v>
      </c>
      <c r="Q544" s="241" t="s">
        <v>3347</v>
      </c>
      <c r="R544" s="243" t="s">
        <v>4561</v>
      </c>
      <c r="S544" s="270">
        <f t="shared" si="19"/>
        <v>21186</v>
      </c>
      <c r="T544" s="270"/>
      <c r="U544" s="270">
        <f>IFERROR(VLOOKUP($A544,GeneratingCapabilityList!$E$7:$O$1673,11,FALSE),"ID Not Found")</f>
        <v>21186</v>
      </c>
      <c r="V544" s="271" t="str">
        <f>IFERROR(VLOOKUP($A544,GeneratingCapabilityList!$E$7:$O$1673,6,FALSE),"UNKNOWN")</f>
        <v>HYDRO</v>
      </c>
      <c r="W544" s="271">
        <f>IFERROR(VLOOKUP($A544,GeneratingCapabilityList!$E$7:$O$1673,3,FALSE),"ID Not Found")</f>
        <v>68.5</v>
      </c>
      <c r="Y544" s="270"/>
    </row>
    <row r="545" spans="1:25">
      <c r="A545" s="241" t="s">
        <v>91</v>
      </c>
      <c r="B545" s="241" t="s">
        <v>3346</v>
      </c>
      <c r="C545" s="241" t="s">
        <v>3696</v>
      </c>
      <c r="D545" s="242">
        <v>9.1999999999999993</v>
      </c>
      <c r="E545" s="242">
        <v>9.1999999999999993</v>
      </c>
      <c r="F545" s="242">
        <v>9.1999999999999993</v>
      </c>
      <c r="G545" s="242">
        <v>9.1999999999999993</v>
      </c>
      <c r="H545" s="242">
        <v>9.1999999999999993</v>
      </c>
      <c r="I545" s="242">
        <v>9.1999999999999993</v>
      </c>
      <c r="J545" s="242">
        <v>9.1999999999999993</v>
      </c>
      <c r="K545" s="242">
        <v>9.1999999999999993</v>
      </c>
      <c r="L545" s="242">
        <v>9.1999999999999993</v>
      </c>
      <c r="M545" s="242">
        <v>9.1999999999999993</v>
      </c>
      <c r="N545" s="242">
        <v>9.1999999999999993</v>
      </c>
      <c r="O545" s="242">
        <v>9.1999999999999993</v>
      </c>
      <c r="P545" s="241" t="s">
        <v>3345</v>
      </c>
      <c r="Q545" s="241" t="s">
        <v>3347</v>
      </c>
      <c r="R545" s="243" t="s">
        <v>4561</v>
      </c>
      <c r="S545" s="270">
        <f t="shared" si="19"/>
        <v>3654</v>
      </c>
      <c r="T545" s="270"/>
      <c r="U545" s="270">
        <f>IFERROR(VLOOKUP($A545,GeneratingCapabilityList!$E$7:$O$1673,11,FALSE),"ID Not Found")</f>
        <v>3654</v>
      </c>
      <c r="V545" s="271" t="str">
        <f>IFERROR(VLOOKUP($A545,GeneratingCapabilityList!$E$7:$O$1673,6,FALSE),"UNKNOWN")</f>
        <v>HYDRO</v>
      </c>
      <c r="W545" s="271">
        <f>IFERROR(VLOOKUP($A545,GeneratingCapabilityList!$E$7:$O$1673,3,FALSE),"ID Not Found")</f>
        <v>10.1</v>
      </c>
      <c r="Y545" s="270"/>
    </row>
    <row r="546" spans="1:25">
      <c r="A546" s="241" t="s">
        <v>1993</v>
      </c>
      <c r="B546" s="241" t="s">
        <v>3346</v>
      </c>
      <c r="C546" s="241" t="s">
        <v>3697</v>
      </c>
      <c r="D546" s="242">
        <v>0.03</v>
      </c>
      <c r="E546" s="242">
        <v>0.02</v>
      </c>
      <c r="F546" s="242">
        <v>0</v>
      </c>
      <c r="G546" s="242">
        <v>0.01</v>
      </c>
      <c r="H546" s="242">
        <v>0.03</v>
      </c>
      <c r="I546" s="242">
        <v>0.03</v>
      </c>
      <c r="J546" s="242">
        <v>0.03</v>
      </c>
      <c r="K546" s="242">
        <v>0.03</v>
      </c>
      <c r="L546" s="242">
        <v>0.02</v>
      </c>
      <c r="M546" s="242">
        <v>0.01</v>
      </c>
      <c r="N546" s="242">
        <v>0.02</v>
      </c>
      <c r="O546" s="242">
        <v>0.03</v>
      </c>
      <c r="P546" s="241" t="s">
        <v>3345</v>
      </c>
      <c r="Q546" s="241" t="s">
        <v>3347</v>
      </c>
      <c r="R546" s="243" t="s">
        <v>4562</v>
      </c>
      <c r="S546" s="270">
        <f t="shared" si="19"/>
        <v>32959</v>
      </c>
      <c r="T546" s="270"/>
      <c r="U546" s="270">
        <f>IFERROR(VLOOKUP($A546,GeneratingCapabilityList!$E$7:$O$1673,11,FALSE),"ID Not Found")</f>
        <v>32959</v>
      </c>
      <c r="V546" s="271" t="str">
        <f>IFERROR(VLOOKUP($A546,GeneratingCapabilityList!$E$7:$O$1673,6,FALSE),"UNKNOWN")</f>
        <v>HYDRO</v>
      </c>
      <c r="W546" s="271">
        <f>IFERROR(VLOOKUP($A546,GeneratingCapabilityList!$E$7:$O$1673,3,FALSE),"ID Not Found")</f>
        <v>1.25</v>
      </c>
      <c r="Y546" s="270"/>
    </row>
    <row r="547" spans="1:25">
      <c r="A547" s="241" t="s">
        <v>3291</v>
      </c>
      <c r="B547" s="241" t="s">
        <v>3361</v>
      </c>
      <c r="C547" s="241" t="s">
        <v>3291</v>
      </c>
      <c r="D547" s="242">
        <v>0</v>
      </c>
      <c r="E547" s="242">
        <v>0</v>
      </c>
      <c r="F547" s="242">
        <v>0</v>
      </c>
      <c r="G547" s="242">
        <v>0</v>
      </c>
      <c r="H547" s="242">
        <v>0</v>
      </c>
      <c r="I547" s="242">
        <v>0</v>
      </c>
      <c r="J547" s="242">
        <v>0</v>
      </c>
      <c r="K547" s="242">
        <v>0</v>
      </c>
      <c r="L547" s="242">
        <v>0</v>
      </c>
      <c r="M547" s="242">
        <v>0</v>
      </c>
      <c r="N547" s="242">
        <v>0</v>
      </c>
      <c r="O547" s="242">
        <v>0</v>
      </c>
      <c r="P547" s="241" t="s">
        <v>3345</v>
      </c>
      <c r="Q547" s="241" t="s">
        <v>3347</v>
      </c>
      <c r="R547" s="243" t="s">
        <v>4562</v>
      </c>
      <c r="S547" s="270">
        <f t="shared" si="19"/>
        <v>32021</v>
      </c>
      <c r="T547" s="270"/>
      <c r="U547" s="270">
        <f>IFERROR(VLOOKUP($A547,GeneratingCapabilityList!$E$7:$O$1673,11,FALSE),"ID Not Found")</f>
        <v>32021</v>
      </c>
      <c r="V547" s="271" t="str">
        <f>IFERROR(VLOOKUP($A547,GeneratingCapabilityList!$E$7:$O$1673,6,FALSE),"UNKNOWN")</f>
        <v>VARIOUS</v>
      </c>
      <c r="W547" s="271">
        <f>IFERROR(VLOOKUP($A547,GeneratingCapabilityList!$E$7:$O$1673,3,FALSE),"ID Not Found")</f>
        <v>1</v>
      </c>
      <c r="Y547" s="270"/>
    </row>
    <row r="548" spans="1:25">
      <c r="A548" s="241" t="s">
        <v>1767</v>
      </c>
      <c r="B548" s="241" t="s">
        <v>4579</v>
      </c>
      <c r="C548" s="241" t="s">
        <v>1768</v>
      </c>
      <c r="D548" s="242">
        <v>1.5</v>
      </c>
      <c r="E548" s="242">
        <v>1.54</v>
      </c>
      <c r="F548" s="242">
        <v>1.99</v>
      </c>
      <c r="G548" s="242">
        <v>2.02</v>
      </c>
      <c r="H548" s="242">
        <v>1.74</v>
      </c>
      <c r="I548" s="242">
        <v>1.83</v>
      </c>
      <c r="J548" s="242">
        <v>1.72</v>
      </c>
      <c r="K548" s="242">
        <v>1.98</v>
      </c>
      <c r="L548" s="242">
        <v>1.84</v>
      </c>
      <c r="M548" s="242">
        <v>1.93</v>
      </c>
      <c r="N548" s="242">
        <v>1.46</v>
      </c>
      <c r="O548" s="242">
        <v>1.28</v>
      </c>
      <c r="P548" s="241" t="s">
        <v>3352</v>
      </c>
      <c r="Q548" s="241" t="s">
        <v>3347</v>
      </c>
      <c r="R548" s="243" t="s">
        <v>4562</v>
      </c>
      <c r="S548" s="270">
        <v>29190</v>
      </c>
      <c r="T548" s="270" t="s">
        <v>5357</v>
      </c>
      <c r="U548" s="270">
        <f>IFERROR(VLOOKUP($A548,GeneratingCapabilityList!$E$7:$O$1673,11,FALSE),"ID Not Found")</f>
        <v>32509</v>
      </c>
      <c r="V548" s="271" t="str">
        <f>IFERROR(VLOOKUP($A548,GeneratingCapabilityList!$E$7:$O$1673,6,FALSE),"UNKNOWN")</f>
        <v>COGENERATION</v>
      </c>
      <c r="W548" s="271">
        <f>IFERROR(VLOOKUP($A548,GeneratingCapabilityList!$E$7:$O$1673,3,FALSE),"ID Not Found")</f>
        <v>2.58</v>
      </c>
      <c r="Y548" s="270"/>
    </row>
    <row r="549" spans="1:25">
      <c r="A549" s="241" t="s">
        <v>1775</v>
      </c>
      <c r="B549" s="241" t="s">
        <v>4579</v>
      </c>
      <c r="C549" s="241" t="s">
        <v>1776</v>
      </c>
      <c r="D549" s="242">
        <v>21.95</v>
      </c>
      <c r="E549" s="242">
        <v>21.16</v>
      </c>
      <c r="F549" s="242">
        <v>20.87</v>
      </c>
      <c r="G549" s="242">
        <v>19.59</v>
      </c>
      <c r="H549" s="242">
        <v>16.97</v>
      </c>
      <c r="I549" s="242">
        <v>16.920000000000002</v>
      </c>
      <c r="J549" s="242">
        <v>16.920000000000002</v>
      </c>
      <c r="K549" s="242">
        <v>19.440000000000001</v>
      </c>
      <c r="L549" s="242">
        <v>17</v>
      </c>
      <c r="M549" s="242">
        <v>17.89</v>
      </c>
      <c r="N549" s="242">
        <v>19.059999999999999</v>
      </c>
      <c r="O549" s="242">
        <v>18.440000000000001</v>
      </c>
      <c r="P549" s="241" t="s">
        <v>3352</v>
      </c>
      <c r="Q549" s="241" t="s">
        <v>3347</v>
      </c>
      <c r="R549" s="243" t="s">
        <v>4562</v>
      </c>
      <c r="S549" s="270">
        <v>29190</v>
      </c>
      <c r="T549" s="270" t="s">
        <v>5357</v>
      </c>
      <c r="U549" s="270">
        <f>IFERROR(VLOOKUP($A549,GeneratingCapabilityList!$E$7:$O$1673,11,FALSE),"ID Not Found")</f>
        <v>32509</v>
      </c>
      <c r="V549" s="271" t="str">
        <f>IFERROR(VLOOKUP($A549,GeneratingCapabilityList!$E$7:$O$1673,6,FALSE),"UNKNOWN")</f>
        <v>COGENERATION</v>
      </c>
      <c r="W549" s="271">
        <f>IFERROR(VLOOKUP($A549,GeneratingCapabilityList!$E$7:$O$1673,3,FALSE),"ID Not Found")</f>
        <v>22.3</v>
      </c>
      <c r="Y549" s="270"/>
    </row>
    <row r="550" spans="1:25">
      <c r="A550" s="241" t="s">
        <v>3188</v>
      </c>
      <c r="B550" s="241" t="s">
        <v>3327</v>
      </c>
      <c r="C550" s="241" t="s">
        <v>3698</v>
      </c>
      <c r="D550" s="242">
        <v>0.05</v>
      </c>
      <c r="E550" s="242">
        <v>0.12</v>
      </c>
      <c r="F550" s="242">
        <v>0.55000000000000004</v>
      </c>
      <c r="G550" s="242">
        <v>0.15</v>
      </c>
      <c r="H550" s="242">
        <v>0.51</v>
      </c>
      <c r="I550" s="242">
        <v>0.46</v>
      </c>
      <c r="J550" s="242">
        <v>0.14000000000000001</v>
      </c>
      <c r="K550" s="242">
        <v>0.06</v>
      </c>
      <c r="L550" s="242">
        <v>0.09</v>
      </c>
      <c r="M550" s="242">
        <v>0.09</v>
      </c>
      <c r="N550" s="242">
        <v>0.06</v>
      </c>
      <c r="O550" s="242">
        <v>0.08</v>
      </c>
      <c r="P550" s="241" t="s">
        <v>3352</v>
      </c>
      <c r="Q550" s="241" t="s">
        <v>3347</v>
      </c>
      <c r="R550" s="243" t="s">
        <v>4562</v>
      </c>
      <c r="S550" s="270">
        <v>36161</v>
      </c>
      <c r="T550" s="270" t="s">
        <v>4253</v>
      </c>
      <c r="U550" s="270" t="str">
        <f>IFERROR(VLOOKUP($A550,GeneratingCapabilityList!$E$7:$O$1673,11,FALSE),"ID Not Found")</f>
        <v>UNK</v>
      </c>
      <c r="V550" s="271" t="str">
        <f>IFERROR(VLOOKUP($A550,GeneratingCapabilityList!$E$7:$O$1673,6,FALSE),"UNKNOWN")</f>
        <v>WIND</v>
      </c>
      <c r="W550" s="271">
        <f>IFERROR(VLOOKUP($A550,GeneratingCapabilityList!$E$7:$O$1673,3,FALSE),"ID Not Found")</f>
        <v>2.1</v>
      </c>
      <c r="Y550" s="270"/>
    </row>
    <row r="551" spans="1:25">
      <c r="A551" s="241" t="s">
        <v>352</v>
      </c>
      <c r="B551" s="241" t="s">
        <v>3375</v>
      </c>
      <c r="C551" s="241" t="s">
        <v>3699</v>
      </c>
      <c r="D551" s="242">
        <v>56</v>
      </c>
      <c r="E551" s="242">
        <v>56</v>
      </c>
      <c r="F551" s="242">
        <v>56</v>
      </c>
      <c r="G551" s="242">
        <v>56</v>
      </c>
      <c r="H551" s="242">
        <v>56</v>
      </c>
      <c r="I551" s="242">
        <v>56</v>
      </c>
      <c r="J551" s="242">
        <v>56</v>
      </c>
      <c r="K551" s="242">
        <v>56</v>
      </c>
      <c r="L551" s="242">
        <v>56</v>
      </c>
      <c r="M551" s="242">
        <v>56</v>
      </c>
      <c r="N551" s="242">
        <v>56</v>
      </c>
      <c r="O551" s="242">
        <v>56</v>
      </c>
      <c r="P551" s="241" t="s">
        <v>3345</v>
      </c>
      <c r="Q551" s="241" t="s">
        <v>3347</v>
      </c>
      <c r="R551" s="243" t="s">
        <v>4561</v>
      </c>
      <c r="S551" s="270">
        <f t="shared" ref="S551:S582" si="20">U551</f>
        <v>18264</v>
      </c>
      <c r="T551" s="270"/>
      <c r="U551" s="270">
        <f>IFERROR(VLOOKUP($A551,GeneratingCapabilityList!$E$7:$O$1673,11,FALSE),"ID Not Found")</f>
        <v>18264</v>
      </c>
      <c r="V551" s="271" t="str">
        <f>IFERROR(VLOOKUP($A551,GeneratingCapabilityList!$E$7:$O$1673,6,FALSE),"UNKNOWN")</f>
        <v>HYDRO</v>
      </c>
      <c r="W551" s="271">
        <f>IFERROR(VLOOKUP($A551,GeneratingCapabilityList!$E$7:$O$1673,3,FALSE),"ID Not Found")</f>
        <v>57</v>
      </c>
      <c r="Y551" s="270"/>
    </row>
    <row r="552" spans="1:25">
      <c r="A552" s="241" t="s">
        <v>354</v>
      </c>
      <c r="B552" s="241" t="s">
        <v>3375</v>
      </c>
      <c r="C552" s="241" t="s">
        <v>3700</v>
      </c>
      <c r="D552" s="242">
        <v>56</v>
      </c>
      <c r="E552" s="242">
        <v>56</v>
      </c>
      <c r="F552" s="242">
        <v>56</v>
      </c>
      <c r="G552" s="242">
        <v>56</v>
      </c>
      <c r="H552" s="242">
        <v>56</v>
      </c>
      <c r="I552" s="242">
        <v>56</v>
      </c>
      <c r="J552" s="242">
        <v>56</v>
      </c>
      <c r="K552" s="242">
        <v>56</v>
      </c>
      <c r="L552" s="242">
        <v>56</v>
      </c>
      <c r="M552" s="242">
        <v>56</v>
      </c>
      <c r="N552" s="242">
        <v>56</v>
      </c>
      <c r="O552" s="242">
        <v>56</v>
      </c>
      <c r="P552" s="241" t="s">
        <v>3345</v>
      </c>
      <c r="Q552" s="241" t="s">
        <v>3347</v>
      </c>
      <c r="R552" s="243" t="s">
        <v>4561</v>
      </c>
      <c r="S552" s="270">
        <f t="shared" si="20"/>
        <v>18264</v>
      </c>
      <c r="T552" s="270"/>
      <c r="U552" s="270">
        <f>IFERROR(VLOOKUP($A552,GeneratingCapabilityList!$E$7:$O$1673,11,FALSE),"ID Not Found")</f>
        <v>18264</v>
      </c>
      <c r="V552" s="271" t="str">
        <f>IFERROR(VLOOKUP($A552,GeneratingCapabilityList!$E$7:$O$1673,6,FALSE),"UNKNOWN")</f>
        <v>HYDRO</v>
      </c>
      <c r="W552" s="271">
        <f>IFERROR(VLOOKUP($A552,GeneratingCapabilityList!$E$7:$O$1673,3,FALSE),"ID Not Found")</f>
        <v>56.9</v>
      </c>
      <c r="Y552" s="270"/>
    </row>
    <row r="553" spans="1:25">
      <c r="A553" s="241" t="s">
        <v>134</v>
      </c>
      <c r="B553" s="241" t="s">
        <v>3328</v>
      </c>
      <c r="C553" s="241" t="s">
        <v>3701</v>
      </c>
      <c r="D553" s="242">
        <v>4.5199999999999996</v>
      </c>
      <c r="E553" s="242">
        <v>5.93</v>
      </c>
      <c r="F553" s="242">
        <v>6.26</v>
      </c>
      <c r="G553" s="242">
        <v>6.34</v>
      </c>
      <c r="H553" s="242">
        <v>6.26</v>
      </c>
      <c r="I553" s="242">
        <v>5.34</v>
      </c>
      <c r="J553" s="242">
        <v>5.4</v>
      </c>
      <c r="K553" s="242">
        <v>2.76</v>
      </c>
      <c r="L553" s="242">
        <v>0</v>
      </c>
      <c r="M553" s="242">
        <v>3.01</v>
      </c>
      <c r="N553" s="242">
        <v>4.54</v>
      </c>
      <c r="O553" s="242">
        <v>4.3099999999999996</v>
      </c>
      <c r="P553" s="241" t="s">
        <v>3352</v>
      </c>
      <c r="Q553" s="241" t="s">
        <v>3347</v>
      </c>
      <c r="R553" s="243" t="s">
        <v>4562</v>
      </c>
      <c r="S553" s="270">
        <f t="shared" si="20"/>
        <v>4750</v>
      </c>
      <c r="T553" s="270"/>
      <c r="U553" s="270">
        <f>IFERROR(VLOOKUP($A553,GeneratingCapabilityList!$E$7:$O$1673,11,FALSE),"ID Not Found")</f>
        <v>4750</v>
      </c>
      <c r="V553" s="271" t="str">
        <f>IFERROR(VLOOKUP($A553,GeneratingCapabilityList!$E$7:$O$1673,6,FALSE),"UNKNOWN")</f>
        <v>HYDRO</v>
      </c>
      <c r="W553" s="271">
        <f>IFERROR(VLOOKUP($A553,GeneratingCapabilityList!$E$7:$O$1673,3,FALSE),"ID Not Found")</f>
        <v>6.55</v>
      </c>
      <c r="Y553" s="270"/>
    </row>
    <row r="554" spans="1:25">
      <c r="A554" s="241" t="s">
        <v>261</v>
      </c>
      <c r="B554" s="241" t="s">
        <v>3328</v>
      </c>
      <c r="C554" s="241" t="s">
        <v>3702</v>
      </c>
      <c r="D554" s="242">
        <v>1.19</v>
      </c>
      <c r="E554" s="242">
        <v>1.03</v>
      </c>
      <c r="F554" s="242">
        <v>0.38</v>
      </c>
      <c r="G554" s="242">
        <v>1.03</v>
      </c>
      <c r="H554" s="242">
        <v>1.58</v>
      </c>
      <c r="I554" s="242">
        <v>1.49</v>
      </c>
      <c r="J554" s="242">
        <v>1.42</v>
      </c>
      <c r="K554" s="242">
        <v>1.29</v>
      </c>
      <c r="L554" s="242">
        <v>1.18</v>
      </c>
      <c r="M554" s="242">
        <v>0.47</v>
      </c>
      <c r="N554" s="242">
        <v>1.1599999999999999</v>
      </c>
      <c r="O554" s="242">
        <v>0.76</v>
      </c>
      <c r="P554" s="241" t="s">
        <v>3352</v>
      </c>
      <c r="Q554" s="241" t="s">
        <v>3347</v>
      </c>
      <c r="R554" s="243" t="s">
        <v>4562</v>
      </c>
      <c r="S554" s="270">
        <f t="shared" si="20"/>
        <v>10594</v>
      </c>
      <c r="T554" s="270"/>
      <c r="U554" s="270">
        <f>IFERROR(VLOOKUP($A554,GeneratingCapabilityList!$E$7:$O$1673,11,FALSE),"ID Not Found")</f>
        <v>10594</v>
      </c>
      <c r="V554" s="271" t="str">
        <f>IFERROR(VLOOKUP($A554,GeneratingCapabilityList!$E$7:$O$1673,6,FALSE),"UNKNOWN")</f>
        <v>HYDRO</v>
      </c>
      <c r="W554" s="271">
        <f>IFERROR(VLOOKUP($A554,GeneratingCapabilityList!$E$7:$O$1673,3,FALSE),"ID Not Found")</f>
        <v>2.25</v>
      </c>
      <c r="Y554" s="270"/>
    </row>
    <row r="555" spans="1:25">
      <c r="A555" s="241" t="s">
        <v>1017</v>
      </c>
      <c r="B555" s="241" t="s">
        <v>3328</v>
      </c>
      <c r="C555" s="241" t="s">
        <v>3703</v>
      </c>
      <c r="D555" s="242">
        <v>2.4700000000000002</v>
      </c>
      <c r="E555" s="242">
        <v>2.59</v>
      </c>
      <c r="F555" s="242">
        <v>1.59</v>
      </c>
      <c r="G555" s="242">
        <v>5.41</v>
      </c>
      <c r="H555" s="242">
        <v>11.51</v>
      </c>
      <c r="I555" s="242">
        <v>18.690000000000001</v>
      </c>
      <c r="J555" s="242">
        <v>17.73</v>
      </c>
      <c r="K555" s="242">
        <v>9.48</v>
      </c>
      <c r="L555" s="242">
        <v>2.98</v>
      </c>
      <c r="M555" s="242">
        <v>0</v>
      </c>
      <c r="N555" s="242">
        <v>0</v>
      </c>
      <c r="O555" s="242">
        <v>0.22</v>
      </c>
      <c r="P555" s="241" t="s">
        <v>3352</v>
      </c>
      <c r="Q555" s="241" t="s">
        <v>3347</v>
      </c>
      <c r="R555" s="243" t="s">
        <v>4562</v>
      </c>
      <c r="S555" s="270">
        <f t="shared" si="20"/>
        <v>30682</v>
      </c>
      <c r="T555" s="270"/>
      <c r="U555" s="270">
        <f>IFERROR(VLOOKUP($A555,GeneratingCapabilityList!$E$7:$O$1673,11,FALSE),"ID Not Found")</f>
        <v>30682</v>
      </c>
      <c r="V555" s="271" t="str">
        <f>IFERROR(VLOOKUP($A555,GeneratingCapabilityList!$E$7:$O$1673,6,FALSE),"UNKNOWN")</f>
        <v>HYDRO</v>
      </c>
      <c r="W555" s="271">
        <f>IFERROR(VLOOKUP($A555,GeneratingCapabilityList!$E$7:$O$1673,3,FALSE),"ID Not Found")</f>
        <v>19.5</v>
      </c>
      <c r="Y555" s="270"/>
    </row>
    <row r="556" spans="1:25">
      <c r="A556" s="241" t="s">
        <v>2232</v>
      </c>
      <c r="B556" s="241" t="s">
        <v>3328</v>
      </c>
      <c r="C556" s="241" t="s">
        <v>2232</v>
      </c>
      <c r="D556" s="242">
        <v>0.65</v>
      </c>
      <c r="E556" s="242">
        <v>0.73</v>
      </c>
      <c r="F556" s="242">
        <v>0.6</v>
      </c>
      <c r="G556" s="242">
        <v>0.53</v>
      </c>
      <c r="H556" s="242">
        <v>0.41</v>
      </c>
      <c r="I556" s="242">
        <v>0.4</v>
      </c>
      <c r="J556" s="242">
        <v>0.21</v>
      </c>
      <c r="K556" s="242">
        <v>0.17</v>
      </c>
      <c r="L556" s="242">
        <v>0.17</v>
      </c>
      <c r="M556" s="242">
        <v>0.18</v>
      </c>
      <c r="N556" s="242">
        <v>0.17</v>
      </c>
      <c r="O556" s="242">
        <v>0.19</v>
      </c>
      <c r="P556" s="241" t="s">
        <v>3352</v>
      </c>
      <c r="Q556" s="241" t="s">
        <v>3347</v>
      </c>
      <c r="R556" s="243" t="s">
        <v>4562</v>
      </c>
      <c r="S556" s="270">
        <f t="shared" si="20"/>
        <v>35923</v>
      </c>
      <c r="T556" s="270"/>
      <c r="U556" s="270">
        <f>IFERROR(VLOOKUP($A556,GeneratingCapabilityList!$E$7:$O$1673,11,FALSE),"ID Not Found")</f>
        <v>35923</v>
      </c>
      <c r="V556" s="271" t="str">
        <f>IFERROR(VLOOKUP($A556,GeneratingCapabilityList!$E$7:$O$1673,6,FALSE),"UNKNOWN")</f>
        <v>BIOMASS</v>
      </c>
      <c r="W556" s="271">
        <f>IFERROR(VLOOKUP($A556,GeneratingCapabilityList!$E$7:$O$1673,3,FALSE),"ID Not Found")</f>
        <v>1.6</v>
      </c>
      <c r="Y556" s="270"/>
    </row>
    <row r="557" spans="1:25">
      <c r="A557" s="241" t="s">
        <v>2395</v>
      </c>
      <c r="B557" s="241" t="s">
        <v>3361</v>
      </c>
      <c r="C557" s="241" t="s">
        <v>3704</v>
      </c>
      <c r="D557" s="242">
        <v>44</v>
      </c>
      <c r="E557" s="242">
        <v>44</v>
      </c>
      <c r="F557" s="242">
        <v>44</v>
      </c>
      <c r="G557" s="242">
        <v>44</v>
      </c>
      <c r="H557" s="242">
        <v>44</v>
      </c>
      <c r="I557" s="242">
        <v>44</v>
      </c>
      <c r="J557" s="242">
        <v>44</v>
      </c>
      <c r="K557" s="242">
        <v>44</v>
      </c>
      <c r="L557" s="242">
        <v>44</v>
      </c>
      <c r="M557" s="242">
        <v>44</v>
      </c>
      <c r="N557" s="242">
        <v>44</v>
      </c>
      <c r="O557" s="242">
        <v>44</v>
      </c>
      <c r="P557" s="241" t="s">
        <v>3345</v>
      </c>
      <c r="Q557" s="241" t="s">
        <v>3347</v>
      </c>
      <c r="R557" s="243" t="s">
        <v>4561</v>
      </c>
      <c r="S557" s="270">
        <f t="shared" si="20"/>
        <v>37114</v>
      </c>
      <c r="T557" s="270"/>
      <c r="U557" s="270">
        <f>IFERROR(VLOOKUP($A557,GeneratingCapabilityList!$E$7:$O$1673,11,FALSE),"ID Not Found")</f>
        <v>37114</v>
      </c>
      <c r="V557" s="271" t="str">
        <f>IFERROR(VLOOKUP($A557,GeneratingCapabilityList!$E$7:$O$1673,6,FALSE),"UNKNOWN")</f>
        <v>PEAKER</v>
      </c>
      <c r="W557" s="271">
        <f>IFERROR(VLOOKUP($A557,GeneratingCapabilityList!$E$7:$O$1673,3,FALSE),"ID Not Found")</f>
        <v>44</v>
      </c>
      <c r="Y557" s="270"/>
    </row>
    <row r="558" spans="1:25">
      <c r="A558" s="241" t="s">
        <v>367</v>
      </c>
      <c r="B558" s="241" t="s">
        <v>3327</v>
      </c>
      <c r="C558" s="241" t="s">
        <v>3705</v>
      </c>
      <c r="D558" s="242">
        <v>178.87</v>
      </c>
      <c r="E558" s="242">
        <v>178.87</v>
      </c>
      <c r="F558" s="242">
        <v>178.87</v>
      </c>
      <c r="G558" s="242">
        <v>178.87</v>
      </c>
      <c r="H558" s="242">
        <v>178.87</v>
      </c>
      <c r="I558" s="242">
        <v>178.87</v>
      </c>
      <c r="J558" s="242">
        <v>178.87</v>
      </c>
      <c r="K558" s="242">
        <v>178.87</v>
      </c>
      <c r="L558" s="242">
        <v>178.87</v>
      </c>
      <c r="M558" s="242">
        <v>178.87</v>
      </c>
      <c r="N558" s="242">
        <v>178.87</v>
      </c>
      <c r="O558" s="242">
        <v>178.87</v>
      </c>
      <c r="P558" s="241" t="s">
        <v>3352</v>
      </c>
      <c r="Q558" s="241" t="s">
        <v>3347</v>
      </c>
      <c r="R558" s="243" t="s">
        <v>4561</v>
      </c>
      <c r="S558" s="270">
        <f t="shared" si="20"/>
        <v>19725</v>
      </c>
      <c r="T558" s="270"/>
      <c r="U558" s="270">
        <f>IFERROR(VLOOKUP($A558,GeneratingCapabilityList!$E$7:$O$1673,11,FALSE),"ID Not Found")</f>
        <v>19725</v>
      </c>
      <c r="V558" s="271" t="str">
        <f>IFERROR(VLOOKUP($A558,GeneratingCapabilityList!$E$7:$O$1673,6,FALSE),"UNKNOWN")</f>
        <v>THERMAL</v>
      </c>
      <c r="W558" s="271">
        <f>IFERROR(VLOOKUP($A558,GeneratingCapabilityList!$E$7:$O$1673,3,FALSE),"ID Not Found")</f>
        <v>178.87</v>
      </c>
      <c r="X558" s="271" t="s">
        <v>12</v>
      </c>
      <c r="Y558" s="270">
        <v>44196</v>
      </c>
    </row>
    <row r="559" spans="1:25">
      <c r="A559" s="241" t="s">
        <v>392</v>
      </c>
      <c r="B559" s="241" t="s">
        <v>3327</v>
      </c>
      <c r="C559" s="241" t="s">
        <v>3706</v>
      </c>
      <c r="D559" s="242">
        <v>175</v>
      </c>
      <c r="E559" s="242">
        <v>175</v>
      </c>
      <c r="F559" s="242">
        <v>175</v>
      </c>
      <c r="G559" s="242">
        <v>175</v>
      </c>
      <c r="H559" s="242">
        <v>175</v>
      </c>
      <c r="I559" s="242">
        <v>175</v>
      </c>
      <c r="J559" s="242">
        <v>175</v>
      </c>
      <c r="K559" s="242">
        <v>175</v>
      </c>
      <c r="L559" s="242">
        <v>175</v>
      </c>
      <c r="M559" s="242">
        <v>175</v>
      </c>
      <c r="N559" s="242">
        <v>175</v>
      </c>
      <c r="O559" s="242">
        <v>175</v>
      </c>
      <c r="P559" s="241" t="s">
        <v>3352</v>
      </c>
      <c r="Q559" s="241" t="s">
        <v>3347</v>
      </c>
      <c r="R559" s="243" t="s">
        <v>4561</v>
      </c>
      <c r="S559" s="270">
        <f t="shared" si="20"/>
        <v>20821</v>
      </c>
      <c r="T559" s="270"/>
      <c r="U559" s="270">
        <f>IFERROR(VLOOKUP($A559,GeneratingCapabilityList!$E$7:$O$1673,11,FALSE),"ID Not Found")</f>
        <v>20821</v>
      </c>
      <c r="V559" s="271" t="str">
        <f>IFERROR(VLOOKUP($A559,GeneratingCapabilityList!$E$7:$O$1673,6,FALSE),"UNKNOWN")</f>
        <v>THERMAL</v>
      </c>
      <c r="W559" s="271">
        <f>IFERROR(VLOOKUP($A559,GeneratingCapabilityList!$E$7:$O$1673,3,FALSE),"ID Not Found")</f>
        <v>175</v>
      </c>
      <c r="X559" s="271" t="s">
        <v>12</v>
      </c>
      <c r="Y559" s="270">
        <v>44196</v>
      </c>
    </row>
    <row r="560" spans="1:25">
      <c r="A560" s="241" t="s">
        <v>535</v>
      </c>
      <c r="B560" s="241" t="s">
        <v>3327</v>
      </c>
      <c r="C560" s="241" t="s">
        <v>3707</v>
      </c>
      <c r="D560" s="242">
        <v>505.96</v>
      </c>
      <c r="E560" s="242">
        <v>505.96</v>
      </c>
      <c r="F560" s="242">
        <v>505.96</v>
      </c>
      <c r="G560" s="242">
        <v>505.96</v>
      </c>
      <c r="H560" s="242">
        <v>505.96</v>
      </c>
      <c r="I560" s="242">
        <v>505.96</v>
      </c>
      <c r="J560" s="242">
        <v>505.96</v>
      </c>
      <c r="K560" s="242">
        <v>505.96</v>
      </c>
      <c r="L560" s="242">
        <v>505.96</v>
      </c>
      <c r="M560" s="242">
        <v>505.96</v>
      </c>
      <c r="N560" s="242">
        <v>505.96</v>
      </c>
      <c r="O560" s="242">
        <v>505.96</v>
      </c>
      <c r="P560" s="241" t="s">
        <v>3352</v>
      </c>
      <c r="Q560" s="241" t="s">
        <v>3347</v>
      </c>
      <c r="R560" s="243" t="s">
        <v>4561</v>
      </c>
      <c r="S560" s="270">
        <f t="shared" si="20"/>
        <v>24473</v>
      </c>
      <c r="T560" s="270"/>
      <c r="U560" s="270">
        <f>IFERROR(VLOOKUP($A560,GeneratingCapabilityList!$E$7:$O$1673,11,FALSE),"ID Not Found")</f>
        <v>24473</v>
      </c>
      <c r="V560" s="271" t="str">
        <f>IFERROR(VLOOKUP($A560,GeneratingCapabilityList!$E$7:$O$1673,6,FALSE),"UNKNOWN")</f>
        <v>THERMAL</v>
      </c>
      <c r="W560" s="271">
        <f>IFERROR(VLOOKUP($A560,GeneratingCapabilityList!$E$7:$O$1673,3,FALSE),"ID Not Found")</f>
        <v>505.96</v>
      </c>
      <c r="X560" s="271" t="s">
        <v>12</v>
      </c>
      <c r="Y560" s="270">
        <v>44196</v>
      </c>
    </row>
    <row r="561" spans="1:25">
      <c r="A561" s="244" t="s">
        <v>537</v>
      </c>
      <c r="B561" s="241" t="s">
        <v>3327</v>
      </c>
      <c r="C561" s="241" t="s">
        <v>3708</v>
      </c>
      <c r="D561" s="242">
        <v>495.9</v>
      </c>
      <c r="E561" s="242">
        <v>495.9</v>
      </c>
      <c r="F561" s="242">
        <v>495.9</v>
      </c>
      <c r="G561" s="242">
        <v>495.9</v>
      </c>
      <c r="H561" s="242">
        <v>495.9</v>
      </c>
      <c r="I561" s="242">
        <v>495.9</v>
      </c>
      <c r="J561" s="242">
        <v>495.9</v>
      </c>
      <c r="K561" s="242">
        <v>495.9</v>
      </c>
      <c r="L561" s="242">
        <v>495.9</v>
      </c>
      <c r="M561" s="242">
        <v>495.9</v>
      </c>
      <c r="N561" s="242">
        <v>495.9</v>
      </c>
      <c r="O561" s="242">
        <v>495.9</v>
      </c>
      <c r="P561" s="241" t="s">
        <v>3352</v>
      </c>
      <c r="Q561" s="241" t="s">
        <v>3347</v>
      </c>
      <c r="R561" s="243" t="s">
        <v>4561</v>
      </c>
      <c r="S561" s="270">
        <f t="shared" si="20"/>
        <v>24473</v>
      </c>
      <c r="T561" s="270"/>
      <c r="U561" s="270">
        <f>IFERROR(VLOOKUP($A561,GeneratingCapabilityList!$E$7:$O$1673,11,FALSE),"ID Not Found")</f>
        <v>24473</v>
      </c>
      <c r="V561" s="271" t="str">
        <f>IFERROR(VLOOKUP($A561,GeneratingCapabilityList!$E$7:$O$1673,6,FALSE),"UNKNOWN")</f>
        <v>THERMAL</v>
      </c>
      <c r="W561" s="271">
        <f>IFERROR(VLOOKUP($A561,GeneratingCapabilityList!$E$7:$O$1673,3,FALSE),"ID Not Found")</f>
        <v>495.9</v>
      </c>
      <c r="X561" s="271" t="s">
        <v>12</v>
      </c>
      <c r="Y561" s="270">
        <v>44196</v>
      </c>
    </row>
    <row r="562" spans="1:25">
      <c r="A562" s="241" t="s">
        <v>4648</v>
      </c>
      <c r="B562" s="241" t="s">
        <v>3327</v>
      </c>
      <c r="C562" s="241" t="s">
        <v>4649</v>
      </c>
      <c r="D562" s="242">
        <v>0.39</v>
      </c>
      <c r="E562" s="242">
        <v>0.9</v>
      </c>
      <c r="F562" s="242">
        <v>1.92</v>
      </c>
      <c r="G562" s="242">
        <v>2.16</v>
      </c>
      <c r="H562" s="242">
        <v>3.09</v>
      </c>
      <c r="I562" s="242">
        <v>3.23</v>
      </c>
      <c r="J562" s="242">
        <v>2.08</v>
      </c>
      <c r="K562" s="242">
        <v>1.74</v>
      </c>
      <c r="L562" s="242">
        <v>0.63</v>
      </c>
      <c r="M562" s="242">
        <v>0.77</v>
      </c>
      <c r="N562" s="242">
        <v>0.71</v>
      </c>
      <c r="O562" s="242">
        <v>0.56000000000000005</v>
      </c>
      <c r="P562" s="241" t="s">
        <v>3352</v>
      </c>
      <c r="Q562" s="241" t="s">
        <v>3347</v>
      </c>
      <c r="R562" s="243" t="s">
        <v>4562</v>
      </c>
      <c r="S562" s="270">
        <f>Scenarios!$B$55</f>
        <v>36526</v>
      </c>
      <c r="T562" s="270" t="s">
        <v>4798</v>
      </c>
      <c r="U562" s="270" t="str">
        <f>IFERROR(VLOOKUP($A562,GeneratingCapabilityList!$E$7:$O$1673,11,FALSE),"ID Not Found")</f>
        <v>ID Not Found</v>
      </c>
      <c r="V562" s="271" t="str">
        <f>IFERROR(VLOOKUP($A562,GeneratingCapabilityList!$E$7:$O$1673,6,FALSE),"UNKNOWN")</f>
        <v>UNKNOWN</v>
      </c>
      <c r="W562" s="271" t="str">
        <f>IFERROR(VLOOKUP($A562,GeneratingCapabilityList!$E$7:$O$1673,3,FALSE),"ID Not Found")</f>
        <v>ID Not Found</v>
      </c>
      <c r="Y562" s="270"/>
    </row>
    <row r="563" spans="1:25">
      <c r="A563" s="241" t="s">
        <v>1500</v>
      </c>
      <c r="B563" s="241" t="s">
        <v>3327</v>
      </c>
      <c r="C563" s="241" t="s">
        <v>3709</v>
      </c>
      <c r="D563" s="242">
        <v>0.14000000000000001</v>
      </c>
      <c r="E563" s="242">
        <v>1.65</v>
      </c>
      <c r="F563" s="242">
        <v>2.42</v>
      </c>
      <c r="G563" s="242">
        <v>3.25</v>
      </c>
      <c r="H563" s="242">
        <v>3.16</v>
      </c>
      <c r="I563" s="242">
        <v>2.97</v>
      </c>
      <c r="J563" s="242">
        <v>1.71</v>
      </c>
      <c r="K563" s="242">
        <v>2.5099999999999998</v>
      </c>
      <c r="L563" s="242">
        <v>2.31</v>
      </c>
      <c r="M563" s="242">
        <v>1.63</v>
      </c>
      <c r="N563" s="242">
        <v>0.9</v>
      </c>
      <c r="O563" s="242">
        <v>0.42</v>
      </c>
      <c r="P563" s="241" t="s">
        <v>3352</v>
      </c>
      <c r="Q563" s="241" t="s">
        <v>3347</v>
      </c>
      <c r="R563" s="243" t="s">
        <v>4562</v>
      </c>
      <c r="S563" s="270">
        <f t="shared" si="20"/>
        <v>31778</v>
      </c>
      <c r="T563" s="270"/>
      <c r="U563" s="270">
        <f>IFERROR(VLOOKUP($A563,GeneratingCapabilityList!$E$7:$O$1673,11,FALSE),"ID Not Found")</f>
        <v>31778</v>
      </c>
      <c r="V563" s="271" t="str">
        <f>IFERROR(VLOOKUP($A563,GeneratingCapabilityList!$E$7:$O$1673,6,FALSE),"UNKNOWN")</f>
        <v>VARIOUS</v>
      </c>
      <c r="W563" s="271">
        <f>IFERROR(VLOOKUP($A563,GeneratingCapabilityList!$E$7:$O$1673,3,FALSE),"ID Not Found")</f>
        <v>5.0999999999999996</v>
      </c>
      <c r="Y563" s="270"/>
    </row>
    <row r="564" spans="1:25">
      <c r="A564" s="241" t="s">
        <v>2866</v>
      </c>
      <c r="B564" s="241" t="s">
        <v>3327</v>
      </c>
      <c r="C564" s="241" t="s">
        <v>3710</v>
      </c>
      <c r="D564" s="242">
        <v>0.05</v>
      </c>
      <c r="E564" s="242">
        <v>0</v>
      </c>
      <c r="F564" s="242">
        <v>0</v>
      </c>
      <c r="G564" s="242">
        <v>0</v>
      </c>
      <c r="H564" s="242">
        <v>0</v>
      </c>
      <c r="I564" s="242">
        <v>0</v>
      </c>
      <c r="J564" s="242">
        <v>0</v>
      </c>
      <c r="K564" s="242">
        <v>0</v>
      </c>
      <c r="L564" s="242">
        <v>0</v>
      </c>
      <c r="M564" s="242">
        <v>0.22</v>
      </c>
      <c r="N564" s="242">
        <v>0.14000000000000001</v>
      </c>
      <c r="O564" s="242">
        <v>0.18</v>
      </c>
      <c r="P564" s="241" t="s">
        <v>3352</v>
      </c>
      <c r="Q564" s="241" t="s">
        <v>3347</v>
      </c>
      <c r="R564" s="243" t="s">
        <v>4562</v>
      </c>
      <c r="S564" s="270">
        <f t="shared" si="20"/>
        <v>39423</v>
      </c>
      <c r="T564" s="270"/>
      <c r="U564" s="270">
        <f>IFERROR(VLOOKUP($A564,GeneratingCapabilityList!$E$7:$O$1673,11,FALSE),"ID Not Found")</f>
        <v>39423</v>
      </c>
      <c r="V564" s="271" t="str">
        <f>IFERROR(VLOOKUP($A564,GeneratingCapabilityList!$E$7:$O$1673,6,FALSE),"UNKNOWN")</f>
        <v>BIOMASS</v>
      </c>
      <c r="W564" s="271">
        <f>IFERROR(VLOOKUP($A564,GeneratingCapabilityList!$E$7:$O$1673,3,FALSE),"ID Not Found")</f>
        <v>4</v>
      </c>
      <c r="Y564" s="270"/>
    </row>
    <row r="565" spans="1:25">
      <c r="A565" s="259" t="s">
        <v>1120</v>
      </c>
      <c r="B565" s="250" t="s">
        <v>3324</v>
      </c>
      <c r="C565" s="250" t="s">
        <v>3711</v>
      </c>
      <c r="D565" s="281">
        <v>1.9569787301978154</v>
      </c>
      <c r="E565" s="281">
        <v>2.0799314726631399</v>
      </c>
      <c r="F565" s="281">
        <v>2.0741494623655909</v>
      </c>
      <c r="G565" s="281">
        <v>2.095139222222222</v>
      </c>
      <c r="H565" s="281">
        <v>2.0328431182795708</v>
      </c>
      <c r="I565" s="281">
        <v>1.8369283333333335</v>
      </c>
      <c r="J565" s="281">
        <v>1.92927</v>
      </c>
      <c r="K565" s="281">
        <v>1.7942840860215059</v>
      </c>
      <c r="L565" s="281">
        <v>1.8677811111111116</v>
      </c>
      <c r="M565" s="281">
        <v>1.8966235483870975</v>
      </c>
      <c r="N565" s="281">
        <v>1.6881532222222233</v>
      </c>
      <c r="O565" s="281">
        <v>1.9636028822790115</v>
      </c>
      <c r="P565" s="252" t="s">
        <v>3345</v>
      </c>
      <c r="Q565" s="252" t="s">
        <v>3347</v>
      </c>
      <c r="R565" s="253" t="s">
        <v>4562</v>
      </c>
      <c r="S565" s="270">
        <f t="shared" si="20"/>
        <v>31048</v>
      </c>
      <c r="T565" s="270"/>
      <c r="U565" s="270">
        <f>IFERROR(VLOOKUP($A565,GeneratingCapabilityList!$E$7:$O$1673,11,FALSE),"ID Not Found")</f>
        <v>31048</v>
      </c>
      <c r="V565" s="271" t="str">
        <f>IFERROR(VLOOKUP($A565,GeneratingCapabilityList!$E$7:$O$1673,6,FALSE),"UNKNOWN")</f>
        <v>BIOMASS</v>
      </c>
      <c r="W565" s="271">
        <f>IFERROR(VLOOKUP($A565,GeneratingCapabilityList!$E$7:$O$1673,3,FALSE),"ID Not Found")</f>
        <v>2.5</v>
      </c>
      <c r="Y565" s="270"/>
    </row>
    <row r="566" spans="1:25">
      <c r="A566" s="241" t="s">
        <v>1836</v>
      </c>
      <c r="B566" s="241" t="s">
        <v>3361</v>
      </c>
      <c r="C566" s="241" t="s">
        <v>3712</v>
      </c>
      <c r="D566" s="242">
        <v>2.96</v>
      </c>
      <c r="E566" s="242">
        <v>2.65</v>
      </c>
      <c r="F566" s="242">
        <v>3.6</v>
      </c>
      <c r="G566" s="242">
        <v>5.13</v>
      </c>
      <c r="H566" s="242">
        <v>5.75</v>
      </c>
      <c r="I566" s="242">
        <v>7.41</v>
      </c>
      <c r="J566" s="242">
        <v>6.27</v>
      </c>
      <c r="K566" s="242">
        <v>6.91</v>
      </c>
      <c r="L566" s="242">
        <v>4.5</v>
      </c>
      <c r="M566" s="242">
        <v>3.4</v>
      </c>
      <c r="N566" s="242">
        <v>1.02</v>
      </c>
      <c r="O566" s="242">
        <v>0.77</v>
      </c>
      <c r="P566" s="241" t="s">
        <v>3345</v>
      </c>
      <c r="Q566" s="241" t="s">
        <v>3347</v>
      </c>
      <c r="R566" s="243" t="s">
        <v>4562</v>
      </c>
      <c r="S566" s="270">
        <f t="shared" si="20"/>
        <v>32646</v>
      </c>
      <c r="T566" s="270"/>
      <c r="U566" s="270">
        <f>IFERROR(VLOOKUP($A566,GeneratingCapabilityList!$E$7:$O$1673,11,FALSE),"ID Not Found")</f>
        <v>32646</v>
      </c>
      <c r="V566" s="271" t="str">
        <f>IFERROR(VLOOKUP($A566,GeneratingCapabilityList!$E$7:$O$1673,6,FALSE),"UNKNOWN")</f>
        <v>HYDRO</v>
      </c>
      <c r="W566" s="271">
        <f>IFERROR(VLOOKUP($A566,GeneratingCapabilityList!$E$7:$O$1673,3,FALSE),"ID Not Found")</f>
        <v>18.399999999999999</v>
      </c>
      <c r="Y566" s="270"/>
    </row>
    <row r="567" spans="1:25">
      <c r="A567" s="241" t="s">
        <v>1020</v>
      </c>
      <c r="B567" s="241" t="s">
        <v>3375</v>
      </c>
      <c r="C567" s="241" t="s">
        <v>3713</v>
      </c>
      <c r="D567" s="242">
        <v>1</v>
      </c>
      <c r="E567" s="242">
        <v>0.76</v>
      </c>
      <c r="F567" s="242">
        <v>1.36</v>
      </c>
      <c r="G567" s="242">
        <v>2.04</v>
      </c>
      <c r="H567" s="242">
        <v>2.02</v>
      </c>
      <c r="I567" s="242">
        <v>1.69</v>
      </c>
      <c r="J567" s="242">
        <v>1.61</v>
      </c>
      <c r="K567" s="242">
        <v>1.37</v>
      </c>
      <c r="L567" s="242">
        <v>1.19</v>
      </c>
      <c r="M567" s="242">
        <v>0.64</v>
      </c>
      <c r="N567" s="242">
        <v>0.45</v>
      </c>
      <c r="O567" s="242">
        <v>0.89</v>
      </c>
      <c r="P567" s="241" t="s">
        <v>3345</v>
      </c>
      <c r="Q567" s="241" t="s">
        <v>3347</v>
      </c>
      <c r="R567" s="243" t="s">
        <v>4562</v>
      </c>
      <c r="S567" s="270">
        <f t="shared" si="20"/>
        <v>30682</v>
      </c>
      <c r="T567" s="270"/>
      <c r="U567" s="270">
        <f>IFERROR(VLOOKUP($A567,GeneratingCapabilityList!$E$7:$O$1673,11,FALSE),"ID Not Found")</f>
        <v>30682</v>
      </c>
      <c r="V567" s="271" t="str">
        <f>IFERROR(VLOOKUP($A567,GeneratingCapabilityList!$E$7:$O$1673,6,FALSE),"UNKNOWN")</f>
        <v>HYDRO</v>
      </c>
      <c r="W567" s="271">
        <f>IFERROR(VLOOKUP($A567,GeneratingCapabilityList!$E$7:$O$1673,3,FALSE),"ID Not Found")</f>
        <v>7.5</v>
      </c>
      <c r="Y567" s="270"/>
    </row>
    <row r="568" spans="1:25">
      <c r="A568" s="241" t="s">
        <v>759</v>
      </c>
      <c r="B568" s="241" t="s">
        <v>3375</v>
      </c>
      <c r="C568" s="241" t="s">
        <v>3714</v>
      </c>
      <c r="D568" s="242">
        <v>7.45</v>
      </c>
      <c r="E568" s="242">
        <v>6.97</v>
      </c>
      <c r="F568" s="242">
        <v>9.3699999999999992</v>
      </c>
      <c r="G568" s="242">
        <v>11.16</v>
      </c>
      <c r="H568" s="242">
        <v>11.55</v>
      </c>
      <c r="I568" s="242">
        <v>11.65</v>
      </c>
      <c r="J568" s="242">
        <v>11.43</v>
      </c>
      <c r="K568" s="242">
        <v>11.09</v>
      </c>
      <c r="L568" s="242">
        <v>10.94</v>
      </c>
      <c r="M568" s="242">
        <v>8.2899999999999991</v>
      </c>
      <c r="N568" s="242">
        <v>7.94</v>
      </c>
      <c r="O568" s="242">
        <v>8.1199999999999992</v>
      </c>
      <c r="P568" s="241" t="s">
        <v>3345</v>
      </c>
      <c r="Q568" s="241" t="s">
        <v>3347</v>
      </c>
      <c r="R568" s="243" t="s">
        <v>4561</v>
      </c>
      <c r="S568" s="270">
        <f t="shared" si="20"/>
        <v>29221</v>
      </c>
      <c r="T568" s="270"/>
      <c r="U568" s="270">
        <f>IFERROR(VLOOKUP($A568,GeneratingCapabilityList!$E$7:$O$1673,11,FALSE),"ID Not Found")</f>
        <v>29221</v>
      </c>
      <c r="V568" s="271" t="str">
        <f>IFERROR(VLOOKUP($A568,GeneratingCapabilityList!$E$7:$O$1673,6,FALSE),"UNKNOWN")</f>
        <v>HYDRO</v>
      </c>
      <c r="W568" s="271">
        <f>IFERROR(VLOOKUP($A568,GeneratingCapabilityList!$E$7:$O$1673,3,FALSE),"ID Not Found")</f>
        <v>13.5</v>
      </c>
      <c r="Y568" s="270"/>
    </row>
    <row r="569" spans="1:25">
      <c r="A569" s="241" t="s">
        <v>4501</v>
      </c>
      <c r="B569" s="241" t="s">
        <v>3361</v>
      </c>
      <c r="C569" s="241" t="s">
        <v>4650</v>
      </c>
      <c r="D569" s="242">
        <v>5.49</v>
      </c>
      <c r="E569" s="242">
        <v>12.68</v>
      </c>
      <c r="F569" s="242">
        <v>26.97</v>
      </c>
      <c r="G569" s="242">
        <v>30.33</v>
      </c>
      <c r="H569" s="242">
        <v>43.34</v>
      </c>
      <c r="I569" s="242">
        <v>45.27</v>
      </c>
      <c r="J569" s="242">
        <v>29.2</v>
      </c>
      <c r="K569" s="242">
        <v>24.44</v>
      </c>
      <c r="L569" s="242">
        <v>8.89</v>
      </c>
      <c r="M569" s="242">
        <v>10.84</v>
      </c>
      <c r="N569" s="242">
        <v>10</v>
      </c>
      <c r="O569" s="242">
        <v>7.89</v>
      </c>
      <c r="P569" s="241" t="s">
        <v>3352</v>
      </c>
      <c r="Q569" s="245" t="s">
        <v>3347</v>
      </c>
      <c r="R569" s="243" t="s">
        <v>4562</v>
      </c>
      <c r="S569" s="270">
        <f t="shared" si="20"/>
        <v>41109</v>
      </c>
      <c r="T569" s="270"/>
      <c r="U569" s="270">
        <f>IFERROR(VLOOKUP($A569,GeneratingCapabilityList!$E$7:$O$1673,11,FALSE),"ID Not Found")</f>
        <v>41109</v>
      </c>
      <c r="V569" s="271" t="str">
        <f>IFERROR(VLOOKUP($A569,GeneratingCapabilityList!$E$7:$O$1673,6,FALSE),"UNKNOWN")</f>
        <v>WIND</v>
      </c>
      <c r="W569" s="271">
        <f>IFERROR(VLOOKUP($A569,GeneratingCapabilityList!$E$7:$O$1673,3,FALSE),"ID Not Found")</f>
        <v>140</v>
      </c>
      <c r="Y569" s="270"/>
    </row>
    <row r="570" spans="1:25">
      <c r="A570" s="245" t="s">
        <v>4651</v>
      </c>
      <c r="B570" s="245" t="s">
        <v>3324</v>
      </c>
      <c r="C570" s="245" t="s">
        <v>4652</v>
      </c>
      <c r="D570" s="249">
        <v>612</v>
      </c>
      <c r="E570" s="249">
        <v>607.9</v>
      </c>
      <c r="F570" s="249">
        <v>607.9</v>
      </c>
      <c r="G570" s="249">
        <v>600.70000000000005</v>
      </c>
      <c r="H570" s="249">
        <v>595.79999999999995</v>
      </c>
      <c r="I570" s="249">
        <v>589.20000000000005</v>
      </c>
      <c r="J570" s="249">
        <v>585.70000000000005</v>
      </c>
      <c r="K570" s="249">
        <v>585.70000000000005</v>
      </c>
      <c r="L570" s="249">
        <v>589.1</v>
      </c>
      <c r="M570" s="249">
        <v>594.20000000000005</v>
      </c>
      <c r="N570" s="249">
        <v>605.1</v>
      </c>
      <c r="O570" s="249">
        <v>612.79999999999995</v>
      </c>
      <c r="P570" s="245" t="s">
        <v>3345</v>
      </c>
      <c r="Q570" s="245" t="s">
        <v>3347</v>
      </c>
      <c r="R570" s="246" t="s">
        <v>4561</v>
      </c>
      <c r="S570" s="270">
        <f t="shared" si="20"/>
        <v>41494</v>
      </c>
      <c r="T570" s="270"/>
      <c r="U570" s="270">
        <f>IFERROR(VLOOKUP($A570,GeneratingCapabilityList!$E$7:$O$1673,11,FALSE),"ID Not Found")</f>
        <v>41494</v>
      </c>
      <c r="V570" s="271" t="str">
        <f>IFERROR(VLOOKUP($A570,GeneratingCapabilityList!$E$7:$O$1673,6,FALSE),"UNKNOWN")</f>
        <v>THERMAL</v>
      </c>
      <c r="W570" s="271">
        <f>IFERROR(VLOOKUP($A570,GeneratingCapabilityList!$E$7:$O$1673,3,FALSE),"ID Not Found")</f>
        <v>625</v>
      </c>
      <c r="Y570" s="270"/>
    </row>
    <row r="571" spans="1:25">
      <c r="A571" s="241" t="s">
        <v>2611</v>
      </c>
      <c r="B571" s="241" t="s">
        <v>3324</v>
      </c>
      <c r="C571" s="241" t="s">
        <v>3715</v>
      </c>
      <c r="D571" s="242">
        <v>48.7</v>
      </c>
      <c r="E571" s="242">
        <v>48.7</v>
      </c>
      <c r="F571" s="242">
        <v>48.7</v>
      </c>
      <c r="G571" s="242">
        <v>48.7</v>
      </c>
      <c r="H571" s="242">
        <v>47.7</v>
      </c>
      <c r="I571" s="242">
        <v>46</v>
      </c>
      <c r="J571" s="242">
        <v>46</v>
      </c>
      <c r="K571" s="242">
        <v>46</v>
      </c>
      <c r="L571" s="242">
        <v>47</v>
      </c>
      <c r="M571" s="242">
        <v>48.7</v>
      </c>
      <c r="N571" s="242">
        <v>48.7</v>
      </c>
      <c r="O571" s="242">
        <v>48.7</v>
      </c>
      <c r="P571" s="241" t="s">
        <v>3345</v>
      </c>
      <c r="Q571" s="241" t="s">
        <v>3347</v>
      </c>
      <c r="R571" s="243" t="s">
        <v>4561</v>
      </c>
      <c r="S571" s="270">
        <f t="shared" si="20"/>
        <v>37743</v>
      </c>
      <c r="T571" s="270"/>
      <c r="U571" s="270">
        <f>IFERROR(VLOOKUP($A571,GeneratingCapabilityList!$E$7:$O$1673,11,FALSE),"ID Not Found")</f>
        <v>37743</v>
      </c>
      <c r="V571" s="271" t="str">
        <f>IFERROR(VLOOKUP($A571,GeneratingCapabilityList!$E$7:$O$1673,6,FALSE),"UNKNOWN")</f>
        <v>PEAKER</v>
      </c>
      <c r="W571" s="271">
        <f>IFERROR(VLOOKUP($A571,GeneratingCapabilityList!$E$7:$O$1673,3,FALSE),"ID Not Found")</f>
        <v>48.7</v>
      </c>
      <c r="Y571" s="270"/>
    </row>
    <row r="572" spans="1:25">
      <c r="A572" s="241" t="s">
        <v>2992</v>
      </c>
      <c r="B572" s="241" t="s">
        <v>3327</v>
      </c>
      <c r="C572" s="241" t="s">
        <v>3716</v>
      </c>
      <c r="D572" s="242">
        <v>48.5</v>
      </c>
      <c r="E572" s="242">
        <v>48.5</v>
      </c>
      <c r="F572" s="242">
        <v>48.5</v>
      </c>
      <c r="G572" s="242">
        <v>48.5</v>
      </c>
      <c r="H572" s="242">
        <v>48.5</v>
      </c>
      <c r="I572" s="242">
        <v>48.5</v>
      </c>
      <c r="J572" s="242">
        <v>48.5</v>
      </c>
      <c r="K572" s="242">
        <v>48.5</v>
      </c>
      <c r="L572" s="242">
        <v>48.5</v>
      </c>
      <c r="M572" s="242">
        <v>48.5</v>
      </c>
      <c r="N572" s="242">
        <v>48.5</v>
      </c>
      <c r="O572" s="242">
        <v>48.5</v>
      </c>
      <c r="P572" s="241" t="s">
        <v>3352</v>
      </c>
      <c r="Q572" s="241" t="s">
        <v>3347</v>
      </c>
      <c r="R572" s="243" t="s">
        <v>4561</v>
      </c>
      <c r="S572" s="270">
        <f t="shared" si="20"/>
        <v>40634</v>
      </c>
      <c r="T572" s="270"/>
      <c r="U572" s="270">
        <f>IFERROR(VLOOKUP($A572,GeneratingCapabilityList!$E$7:$O$1673,11,FALSE),"ID Not Found")</f>
        <v>40634</v>
      </c>
      <c r="V572" s="271" t="str">
        <f>IFERROR(VLOOKUP($A572,GeneratingCapabilityList!$E$7:$O$1673,6,FALSE),"UNKNOWN")</f>
        <v>PEAKER</v>
      </c>
      <c r="W572" s="271">
        <f>IFERROR(VLOOKUP($A572,GeneratingCapabilityList!$E$7:$O$1673,3,FALSE),"ID Not Found")</f>
        <v>49</v>
      </c>
      <c r="Y572" s="270"/>
    </row>
    <row r="573" spans="1:25">
      <c r="A573" s="241" t="s">
        <v>2995</v>
      </c>
      <c r="B573" s="241" t="s">
        <v>3327</v>
      </c>
      <c r="C573" s="241" t="s">
        <v>3717</v>
      </c>
      <c r="D573" s="242">
        <v>48.5</v>
      </c>
      <c r="E573" s="242">
        <v>48.5</v>
      </c>
      <c r="F573" s="242">
        <v>48.5</v>
      </c>
      <c r="G573" s="242">
        <v>48.5</v>
      </c>
      <c r="H573" s="242">
        <v>48.5</v>
      </c>
      <c r="I573" s="242">
        <v>48.5</v>
      </c>
      <c r="J573" s="242">
        <v>48.5</v>
      </c>
      <c r="K573" s="242">
        <v>48.5</v>
      </c>
      <c r="L573" s="242">
        <v>48.5</v>
      </c>
      <c r="M573" s="242">
        <v>48.5</v>
      </c>
      <c r="N573" s="242">
        <v>48.5</v>
      </c>
      <c r="O573" s="242">
        <v>48.5</v>
      </c>
      <c r="P573" s="241" t="s">
        <v>3352</v>
      </c>
      <c r="Q573" s="241" t="s">
        <v>3347</v>
      </c>
      <c r="R573" s="243" t="s">
        <v>4561</v>
      </c>
      <c r="S573" s="270">
        <f t="shared" si="20"/>
        <v>40634</v>
      </c>
      <c r="T573" s="270"/>
      <c r="U573" s="270">
        <f>IFERROR(VLOOKUP($A573,GeneratingCapabilityList!$E$7:$O$1673,11,FALSE),"ID Not Found")</f>
        <v>40634</v>
      </c>
      <c r="V573" s="271" t="str">
        <f>IFERROR(VLOOKUP($A573,GeneratingCapabilityList!$E$7:$O$1673,6,FALSE),"UNKNOWN")</f>
        <v>PEAKER</v>
      </c>
      <c r="W573" s="271">
        <f>IFERROR(VLOOKUP($A573,GeneratingCapabilityList!$E$7:$O$1673,3,FALSE),"ID Not Found")</f>
        <v>49</v>
      </c>
      <c r="Y573" s="270"/>
    </row>
    <row r="574" spans="1:25">
      <c r="A574" s="241" t="s">
        <v>2814</v>
      </c>
      <c r="B574" s="241" t="s">
        <v>3327</v>
      </c>
      <c r="C574" s="241" t="s">
        <v>2815</v>
      </c>
      <c r="D574" s="242">
        <v>48.35</v>
      </c>
      <c r="E574" s="242">
        <v>48.35</v>
      </c>
      <c r="F574" s="242">
        <v>48.35</v>
      </c>
      <c r="G574" s="242">
        <v>48.35</v>
      </c>
      <c r="H574" s="242">
        <v>48.35</v>
      </c>
      <c r="I574" s="242">
        <v>48.35</v>
      </c>
      <c r="J574" s="242">
        <v>48.35</v>
      </c>
      <c r="K574" s="242">
        <v>48.35</v>
      </c>
      <c r="L574" s="242">
        <v>48.35</v>
      </c>
      <c r="M574" s="242">
        <v>48.35</v>
      </c>
      <c r="N574" s="242">
        <v>48.35</v>
      </c>
      <c r="O574" s="242">
        <v>48.35</v>
      </c>
      <c r="P574" s="241" t="s">
        <v>3352</v>
      </c>
      <c r="Q574" s="241" t="s">
        <v>3347</v>
      </c>
      <c r="R574" s="243" t="s">
        <v>4561</v>
      </c>
      <c r="S574" s="270">
        <f t="shared" si="20"/>
        <v>38869</v>
      </c>
      <c r="T574" s="270"/>
      <c r="U574" s="270">
        <f>IFERROR(VLOOKUP($A574,GeneratingCapabilityList!$E$7:$O$1673,11,FALSE),"ID Not Found")</f>
        <v>38869</v>
      </c>
      <c r="V574" s="271" t="str">
        <f>IFERROR(VLOOKUP($A574,GeneratingCapabilityList!$E$7:$O$1673,6,FALSE),"UNKNOWN")</f>
        <v>COGENERATION</v>
      </c>
      <c r="W574" s="271">
        <f>IFERROR(VLOOKUP($A574,GeneratingCapabilityList!$E$7:$O$1673,3,FALSE),"ID Not Found")</f>
        <v>48.35</v>
      </c>
      <c r="Y574" s="270"/>
    </row>
    <row r="575" spans="1:25">
      <c r="A575" s="241" t="s">
        <v>2817</v>
      </c>
      <c r="B575" s="241" t="s">
        <v>3327</v>
      </c>
      <c r="C575" s="241" t="s">
        <v>2818</v>
      </c>
      <c r="D575" s="242">
        <v>48.5</v>
      </c>
      <c r="E575" s="242">
        <v>48.5</v>
      </c>
      <c r="F575" s="242">
        <v>48.5</v>
      </c>
      <c r="G575" s="242">
        <v>48.5</v>
      </c>
      <c r="H575" s="242">
        <v>48.5</v>
      </c>
      <c r="I575" s="242">
        <v>48.5</v>
      </c>
      <c r="J575" s="242">
        <v>48.5</v>
      </c>
      <c r="K575" s="242">
        <v>48.5</v>
      </c>
      <c r="L575" s="242">
        <v>48.5</v>
      </c>
      <c r="M575" s="242">
        <v>48.5</v>
      </c>
      <c r="N575" s="242">
        <v>48.5</v>
      </c>
      <c r="O575" s="242">
        <v>48.5</v>
      </c>
      <c r="P575" s="241" t="s">
        <v>3352</v>
      </c>
      <c r="Q575" s="241" t="s">
        <v>3347</v>
      </c>
      <c r="R575" s="243" t="s">
        <v>4561</v>
      </c>
      <c r="S575" s="270">
        <f t="shared" si="20"/>
        <v>38869</v>
      </c>
      <c r="T575" s="270"/>
      <c r="U575" s="270">
        <f>IFERROR(VLOOKUP($A575,GeneratingCapabilityList!$E$7:$O$1673,11,FALSE),"ID Not Found")</f>
        <v>38869</v>
      </c>
      <c r="V575" s="271" t="str">
        <f>IFERROR(VLOOKUP($A575,GeneratingCapabilityList!$E$7:$O$1673,6,FALSE),"UNKNOWN")</f>
        <v>COGENERATION</v>
      </c>
      <c r="W575" s="271">
        <f>IFERROR(VLOOKUP($A575,GeneratingCapabilityList!$E$7:$O$1673,3,FALSE),"ID Not Found")</f>
        <v>48.5</v>
      </c>
      <c r="Y575" s="270"/>
    </row>
    <row r="576" spans="1:25">
      <c r="A576" s="241" t="s">
        <v>2506</v>
      </c>
      <c r="B576" s="241" t="s">
        <v>3327</v>
      </c>
      <c r="C576" s="241" t="s">
        <v>3718</v>
      </c>
      <c r="D576" s="242">
        <v>36</v>
      </c>
      <c r="E576" s="242">
        <v>36</v>
      </c>
      <c r="F576" s="242">
        <v>36</v>
      </c>
      <c r="G576" s="242">
        <v>36</v>
      </c>
      <c r="H576" s="242">
        <v>36</v>
      </c>
      <c r="I576" s="242">
        <v>36</v>
      </c>
      <c r="J576" s="242">
        <v>36</v>
      </c>
      <c r="K576" s="242">
        <v>36</v>
      </c>
      <c r="L576" s="242">
        <v>36</v>
      </c>
      <c r="M576" s="242">
        <v>36</v>
      </c>
      <c r="N576" s="242">
        <v>36</v>
      </c>
      <c r="O576" s="242">
        <v>36</v>
      </c>
      <c r="P576" s="241" t="s">
        <v>3352</v>
      </c>
      <c r="Q576" s="241" t="s">
        <v>3347</v>
      </c>
      <c r="R576" s="243" t="s">
        <v>4561</v>
      </c>
      <c r="S576" s="270">
        <f t="shared" si="20"/>
        <v>37420</v>
      </c>
      <c r="T576" s="270"/>
      <c r="U576" s="270">
        <f>IFERROR(VLOOKUP($A576,GeneratingCapabilityList!$E$7:$O$1673,11,FALSE),"ID Not Found")</f>
        <v>37420</v>
      </c>
      <c r="V576" s="271" t="str">
        <f>IFERROR(VLOOKUP($A576,GeneratingCapabilityList!$E$7:$O$1673,6,FALSE),"UNKNOWN")</f>
        <v>PEAKER</v>
      </c>
      <c r="W576" s="271">
        <f>IFERROR(VLOOKUP($A576,GeneratingCapabilityList!$E$7:$O$1673,3,FALSE),"ID Not Found")</f>
        <v>36</v>
      </c>
      <c r="Y576" s="270"/>
    </row>
    <row r="577" spans="1:25">
      <c r="A577" s="241" t="s">
        <v>2089</v>
      </c>
      <c r="B577" s="241" t="s">
        <v>3361</v>
      </c>
      <c r="C577" s="241" t="s">
        <v>2090</v>
      </c>
      <c r="D577" s="242">
        <v>33.74</v>
      </c>
      <c r="E577" s="242">
        <v>34.68</v>
      </c>
      <c r="F577" s="242">
        <v>33.659999999999997</v>
      </c>
      <c r="G577" s="242">
        <v>33.229999999999997</v>
      </c>
      <c r="H577" s="242">
        <v>29.81</v>
      </c>
      <c r="I577" s="242">
        <v>32.81</v>
      </c>
      <c r="J577" s="242">
        <v>32</v>
      </c>
      <c r="K577" s="242">
        <v>30.53</v>
      </c>
      <c r="L577" s="242">
        <v>31.52</v>
      </c>
      <c r="M577" s="242">
        <v>31.97</v>
      </c>
      <c r="N577" s="242">
        <v>33.31</v>
      </c>
      <c r="O577" s="242">
        <v>33.68</v>
      </c>
      <c r="P577" s="241" t="s">
        <v>3345</v>
      </c>
      <c r="Q577" s="241" t="s">
        <v>3347</v>
      </c>
      <c r="R577" s="243" t="s">
        <v>4562</v>
      </c>
      <c r="S577" s="270">
        <f t="shared" si="20"/>
        <v>33522</v>
      </c>
      <c r="T577" s="270"/>
      <c r="U577" s="270">
        <f>IFERROR(VLOOKUP($A577,GeneratingCapabilityList!$E$7:$O$1673,11,FALSE),"ID Not Found")</f>
        <v>33522</v>
      </c>
      <c r="V577" s="271" t="str">
        <f>IFERROR(VLOOKUP($A577,GeneratingCapabilityList!$E$7:$O$1673,6,FALSE),"UNKNOWN")</f>
        <v>COGENERATION</v>
      </c>
      <c r="W577" s="271">
        <f>IFERROR(VLOOKUP($A577,GeneratingCapabilityList!$E$7:$O$1673,3,FALSE),"ID Not Found")</f>
        <v>57</v>
      </c>
      <c r="Y577" s="270"/>
    </row>
    <row r="578" spans="1:25">
      <c r="A578" s="241" t="s">
        <v>281</v>
      </c>
      <c r="B578" s="241" t="s">
        <v>3361</v>
      </c>
      <c r="C578" s="241" t="s">
        <v>3719</v>
      </c>
      <c r="D578" s="242">
        <v>33.82</v>
      </c>
      <c r="E578" s="242">
        <v>33.72</v>
      </c>
      <c r="F578" s="242">
        <v>34.18</v>
      </c>
      <c r="G578" s="242">
        <v>34.94</v>
      </c>
      <c r="H578" s="242">
        <v>36.51</v>
      </c>
      <c r="I578" s="242">
        <v>37.92</v>
      </c>
      <c r="J578" s="242">
        <v>37.97</v>
      </c>
      <c r="K578" s="242">
        <v>37.57</v>
      </c>
      <c r="L578" s="242">
        <v>37.26</v>
      </c>
      <c r="M578" s="242">
        <v>36.85</v>
      </c>
      <c r="N578" s="242">
        <v>36.270000000000003</v>
      </c>
      <c r="O578" s="242">
        <v>35.26</v>
      </c>
      <c r="P578" s="241" t="s">
        <v>3345</v>
      </c>
      <c r="Q578" s="241" t="s">
        <v>3347</v>
      </c>
      <c r="R578" s="243" t="s">
        <v>4561</v>
      </c>
      <c r="S578" s="270">
        <f t="shared" si="20"/>
        <v>11324</v>
      </c>
      <c r="T578" s="270"/>
      <c r="U578" s="270">
        <f>IFERROR(VLOOKUP($A578,GeneratingCapabilityList!$E$7:$O$1673,11,FALSE),"ID Not Found")</f>
        <v>11324</v>
      </c>
      <c r="V578" s="271" t="str">
        <f>IFERROR(VLOOKUP($A578,GeneratingCapabilityList!$E$7:$O$1673,6,FALSE),"UNKNOWN")</f>
        <v>HYDRO</v>
      </c>
      <c r="W578" s="271">
        <f>IFERROR(VLOOKUP($A578,GeneratingCapabilityList!$E$7:$O$1673,3,FALSE),"ID Not Found")</f>
        <v>46</v>
      </c>
      <c r="Y578" s="270"/>
    </row>
    <row r="579" spans="1:25">
      <c r="A579" s="241" t="s">
        <v>877</v>
      </c>
      <c r="B579" s="241" t="s">
        <v>4579</v>
      </c>
      <c r="C579" s="241" t="s">
        <v>3720</v>
      </c>
      <c r="D579" s="242">
        <v>2.12</v>
      </c>
      <c r="E579" s="242">
        <v>1.1100000000000001</v>
      </c>
      <c r="F579" s="242">
        <v>2.19</v>
      </c>
      <c r="G579" s="242">
        <v>2.79</v>
      </c>
      <c r="H579" s="242">
        <v>0.86</v>
      </c>
      <c r="I579" s="242">
        <v>0.92</v>
      </c>
      <c r="J579" s="242">
        <v>0.56999999999999995</v>
      </c>
      <c r="K579" s="242">
        <v>1</v>
      </c>
      <c r="L579" s="242">
        <v>0.52</v>
      </c>
      <c r="M579" s="242">
        <v>1.34</v>
      </c>
      <c r="N579" s="242">
        <v>0.9</v>
      </c>
      <c r="O579" s="242">
        <v>2.0099999999999998</v>
      </c>
      <c r="P579" s="241" t="s">
        <v>3352</v>
      </c>
      <c r="Q579" s="241" t="s">
        <v>3347</v>
      </c>
      <c r="R579" s="243" t="s">
        <v>4562</v>
      </c>
      <c r="S579" s="270">
        <f t="shared" si="20"/>
        <v>30317</v>
      </c>
      <c r="T579" s="270"/>
      <c r="U579" s="270">
        <f>IFERROR(VLOOKUP($A579,GeneratingCapabilityList!$E$7:$O$1673,11,FALSE),"ID Not Found")</f>
        <v>30317</v>
      </c>
      <c r="V579" s="271" t="str">
        <f>IFERROR(VLOOKUP($A579,GeneratingCapabilityList!$E$7:$O$1673,6,FALSE),"UNKNOWN")</f>
        <v>COGENERATION</v>
      </c>
      <c r="W579" s="271">
        <f>IFERROR(VLOOKUP($A579,GeneratingCapabilityList!$E$7:$O$1673,3,FALSE),"ID Not Found")</f>
        <v>25</v>
      </c>
      <c r="Y579" s="270"/>
    </row>
    <row r="580" spans="1:25">
      <c r="A580" s="241" t="s">
        <v>1937</v>
      </c>
      <c r="B580" s="241" t="s">
        <v>3361</v>
      </c>
      <c r="C580" s="241" t="s">
        <v>3721</v>
      </c>
      <c r="D580" s="242">
        <v>48</v>
      </c>
      <c r="E580" s="242">
        <v>48</v>
      </c>
      <c r="F580" s="242">
        <v>48</v>
      </c>
      <c r="G580" s="242">
        <v>48</v>
      </c>
      <c r="H580" s="242">
        <v>48</v>
      </c>
      <c r="I580" s="242">
        <v>48</v>
      </c>
      <c r="J580" s="242">
        <v>48</v>
      </c>
      <c r="K580" s="242">
        <v>48</v>
      </c>
      <c r="L580" s="242">
        <v>48</v>
      </c>
      <c r="M580" s="242">
        <v>48</v>
      </c>
      <c r="N580" s="242">
        <v>48</v>
      </c>
      <c r="O580" s="242">
        <v>48</v>
      </c>
      <c r="P580" s="241" t="s">
        <v>3345</v>
      </c>
      <c r="Q580" s="241" t="s">
        <v>3347</v>
      </c>
      <c r="R580" s="243" t="s">
        <v>4561</v>
      </c>
      <c r="S580" s="270">
        <f t="shared" si="20"/>
        <v>32874</v>
      </c>
      <c r="T580" s="270"/>
      <c r="U580" s="270">
        <f>IFERROR(VLOOKUP($A580,GeneratingCapabilityList!$E$7:$O$1673,11,FALSE),"ID Not Found")</f>
        <v>32874</v>
      </c>
      <c r="V580" s="271" t="str">
        <f>IFERROR(VLOOKUP($A580,GeneratingCapabilityList!$E$7:$O$1673,6,FALSE),"UNKNOWN")</f>
        <v>COGENERATION</v>
      </c>
      <c r="W580" s="271">
        <f>IFERROR(VLOOKUP($A580,GeneratingCapabilityList!$E$7:$O$1673,3,FALSE),"ID Not Found")</f>
        <v>48</v>
      </c>
      <c r="Y580" s="270"/>
    </row>
    <row r="581" spans="1:25">
      <c r="A581" s="241" t="s">
        <v>1039</v>
      </c>
      <c r="B581" s="241" t="s">
        <v>3346</v>
      </c>
      <c r="C581" s="241" t="s">
        <v>3722</v>
      </c>
      <c r="D581" s="242">
        <v>60</v>
      </c>
      <c r="E581" s="242">
        <v>60</v>
      </c>
      <c r="F581" s="242">
        <v>60</v>
      </c>
      <c r="G581" s="242">
        <v>60</v>
      </c>
      <c r="H581" s="242">
        <v>60</v>
      </c>
      <c r="I581" s="242">
        <v>60</v>
      </c>
      <c r="J581" s="242">
        <v>60</v>
      </c>
      <c r="K581" s="242">
        <v>60</v>
      </c>
      <c r="L581" s="242">
        <v>60</v>
      </c>
      <c r="M581" s="242">
        <v>60</v>
      </c>
      <c r="N581" s="242">
        <v>60</v>
      </c>
      <c r="O581" s="242">
        <v>60</v>
      </c>
      <c r="P581" s="241" t="s">
        <v>3345</v>
      </c>
      <c r="Q581" s="241" t="s">
        <v>3347</v>
      </c>
      <c r="R581" s="243" t="s">
        <v>4561</v>
      </c>
      <c r="S581" s="270">
        <f t="shared" si="20"/>
        <v>30755</v>
      </c>
      <c r="T581" s="270"/>
      <c r="U581" s="270">
        <f>IFERROR(VLOOKUP($A581,GeneratingCapabilityList!$E$7:$O$1673,11,FALSE),"ID Not Found")</f>
        <v>30755</v>
      </c>
      <c r="V581" s="271" t="str">
        <f>IFERROR(VLOOKUP($A581,GeneratingCapabilityList!$E$7:$O$1673,6,FALSE),"UNKNOWN")</f>
        <v>GEOTHERMAL</v>
      </c>
      <c r="W581" s="271">
        <f>IFERROR(VLOOKUP($A581,GeneratingCapabilityList!$E$7:$O$1673,3,FALSE),"ID Not Found")</f>
        <v>92.1</v>
      </c>
      <c r="Y581" s="270"/>
    </row>
    <row r="582" spans="1:25">
      <c r="A582" s="241" t="s">
        <v>1762</v>
      </c>
      <c r="B582" s="241" t="s">
        <v>3327</v>
      </c>
      <c r="C582" s="241" t="s">
        <v>3723</v>
      </c>
      <c r="D582" s="242">
        <v>6.24</v>
      </c>
      <c r="E582" s="242">
        <v>6.21</v>
      </c>
      <c r="F582" s="242">
        <v>5.92</v>
      </c>
      <c r="G582" s="242">
        <v>6.35</v>
      </c>
      <c r="H582" s="242">
        <v>6.37</v>
      </c>
      <c r="I582" s="242">
        <v>6.31</v>
      </c>
      <c r="J582" s="242">
        <v>6.05</v>
      </c>
      <c r="K582" s="242">
        <v>6.26</v>
      </c>
      <c r="L582" s="242">
        <v>6.85</v>
      </c>
      <c r="M582" s="242">
        <v>6.25</v>
      </c>
      <c r="N582" s="242">
        <v>6.27</v>
      </c>
      <c r="O582" s="242">
        <v>5.96</v>
      </c>
      <c r="P582" s="241" t="s">
        <v>3352</v>
      </c>
      <c r="Q582" s="241" t="s">
        <v>3347</v>
      </c>
      <c r="R582" s="243" t="s">
        <v>4562</v>
      </c>
      <c r="S582" s="270">
        <f t="shared" si="20"/>
        <v>32509</v>
      </c>
      <c r="T582" s="270"/>
      <c r="U582" s="270">
        <f>IFERROR(VLOOKUP($A582,GeneratingCapabilityList!$E$7:$O$1673,11,FALSE),"ID Not Found")</f>
        <v>32509</v>
      </c>
      <c r="V582" s="271" t="str">
        <f>IFERROR(VLOOKUP($A582,GeneratingCapabilityList!$E$7:$O$1673,6,FALSE),"UNKNOWN")</f>
        <v>BIOMASS</v>
      </c>
      <c r="W582" s="271">
        <f>IFERROR(VLOOKUP($A582,GeneratingCapabilityList!$E$7:$O$1673,3,FALSE),"ID Not Found")</f>
        <v>9.99</v>
      </c>
      <c r="Y582" s="270"/>
    </row>
    <row r="583" spans="1:25">
      <c r="A583" s="241" t="s">
        <v>4653</v>
      </c>
      <c r="B583" s="245" t="s">
        <v>3327</v>
      </c>
      <c r="C583" s="241" t="s">
        <v>4654</v>
      </c>
      <c r="D583" s="242">
        <v>0.51</v>
      </c>
      <c r="E583" s="242">
        <v>1.72</v>
      </c>
      <c r="F583" s="242">
        <v>4.0999999999999996</v>
      </c>
      <c r="G583" s="242">
        <v>5.92</v>
      </c>
      <c r="H583" s="242">
        <v>9.66</v>
      </c>
      <c r="I583" s="242">
        <v>11.12</v>
      </c>
      <c r="J583" s="242">
        <v>5.74</v>
      </c>
      <c r="K583" s="242">
        <v>4.4800000000000004</v>
      </c>
      <c r="L583" s="242">
        <v>1.73</v>
      </c>
      <c r="M583" s="242">
        <v>2.1</v>
      </c>
      <c r="N583" s="242">
        <v>2.12</v>
      </c>
      <c r="O583" s="242">
        <v>1.7</v>
      </c>
      <c r="P583" s="245" t="s">
        <v>3352</v>
      </c>
      <c r="Q583" s="245" t="s">
        <v>3347</v>
      </c>
      <c r="R583" s="243" t="s">
        <v>4562</v>
      </c>
      <c r="S583" s="270">
        <f t="shared" ref="S583:S614" si="21">U583</f>
        <v>40995</v>
      </c>
      <c r="T583" s="270"/>
      <c r="U583" s="270">
        <f>IFERROR(VLOOKUP($A583,GeneratingCapabilityList!$E$7:$O$1673,11,FALSE),"ID Not Found")</f>
        <v>40995</v>
      </c>
      <c r="V583" s="271" t="str">
        <f>IFERROR(VLOOKUP($A583,GeneratingCapabilityList!$E$7:$O$1673,6,FALSE),"UNKNOWN")</f>
        <v>WIND</v>
      </c>
      <c r="W583" s="271">
        <f>IFERROR(VLOOKUP($A583,GeneratingCapabilityList!$E$7:$O$1673,3,FALSE),"ID Not Found")</f>
        <v>31</v>
      </c>
      <c r="Y583" s="270"/>
    </row>
    <row r="584" spans="1:25">
      <c r="A584" s="241" t="s">
        <v>2086</v>
      </c>
      <c r="B584" s="241" t="s">
        <v>3361</v>
      </c>
      <c r="C584" s="241" t="s">
        <v>2087</v>
      </c>
      <c r="D584" s="242">
        <v>33.94</v>
      </c>
      <c r="E584" s="242">
        <v>33.4</v>
      </c>
      <c r="F584" s="242">
        <v>33.26</v>
      </c>
      <c r="G584" s="242">
        <v>32.94</v>
      </c>
      <c r="H584" s="242">
        <v>32.380000000000003</v>
      </c>
      <c r="I584" s="242">
        <v>32.270000000000003</v>
      </c>
      <c r="J584" s="242">
        <v>31.55</v>
      </c>
      <c r="K584" s="242">
        <v>32.1</v>
      </c>
      <c r="L584" s="242">
        <v>31.73</v>
      </c>
      <c r="M584" s="242">
        <v>32.49</v>
      </c>
      <c r="N584" s="242">
        <v>31.02</v>
      </c>
      <c r="O584" s="242">
        <v>30.17</v>
      </c>
      <c r="P584" s="241" t="s">
        <v>3345</v>
      </c>
      <c r="Q584" s="241" t="s">
        <v>3347</v>
      </c>
      <c r="R584" s="243" t="s">
        <v>4562</v>
      </c>
      <c r="S584" s="270">
        <f t="shared" si="21"/>
        <v>33518</v>
      </c>
      <c r="T584" s="270"/>
      <c r="U584" s="270">
        <f>IFERROR(VLOOKUP($A584,GeneratingCapabilityList!$E$7:$O$1673,11,FALSE),"ID Not Found")</f>
        <v>33518</v>
      </c>
      <c r="V584" s="271" t="str">
        <f>IFERROR(VLOOKUP($A584,GeneratingCapabilityList!$E$7:$O$1673,6,FALSE),"UNKNOWN")</f>
        <v>COGENERATION</v>
      </c>
      <c r="W584" s="271">
        <f>IFERROR(VLOOKUP($A584,GeneratingCapabilityList!$E$7:$O$1673,3,FALSE),"ID Not Found")</f>
        <v>57.1</v>
      </c>
      <c r="Y584" s="270"/>
    </row>
    <row r="585" spans="1:25">
      <c r="A585" s="241" t="s">
        <v>2911</v>
      </c>
      <c r="B585" s="241" t="s">
        <v>3328</v>
      </c>
      <c r="C585" s="241" t="s">
        <v>2912</v>
      </c>
      <c r="D585" s="249" t="s">
        <v>4573</v>
      </c>
      <c r="E585" s="249" t="s">
        <v>4573</v>
      </c>
      <c r="F585" s="249" t="s">
        <v>4573</v>
      </c>
      <c r="G585" s="249" t="s">
        <v>4573</v>
      </c>
      <c r="H585" s="249" t="s">
        <v>4573</v>
      </c>
      <c r="I585" s="249" t="s">
        <v>4573</v>
      </c>
      <c r="J585" s="249" t="s">
        <v>4573</v>
      </c>
      <c r="K585" s="249" t="s">
        <v>4573</v>
      </c>
      <c r="L585" s="249" t="s">
        <v>4573</v>
      </c>
      <c r="M585" s="249" t="s">
        <v>4573</v>
      </c>
      <c r="N585" s="249" t="s">
        <v>4573</v>
      </c>
      <c r="O585" s="249" t="s">
        <v>4573</v>
      </c>
      <c r="P585" s="241" t="s">
        <v>3352</v>
      </c>
      <c r="Q585" s="241" t="s">
        <v>3385</v>
      </c>
      <c r="R585" s="246" t="s">
        <v>4562</v>
      </c>
      <c r="S585" s="270">
        <f t="shared" si="21"/>
        <v>40050</v>
      </c>
      <c r="T585" s="270"/>
      <c r="U585" s="270">
        <f>IFERROR(VLOOKUP($A585,GeneratingCapabilityList!$E$7:$O$1673,11,FALSE),"ID Not Found")</f>
        <v>40050</v>
      </c>
      <c r="V585" s="271" t="str">
        <f>IFERROR(VLOOKUP($A585,GeneratingCapabilityList!$E$7:$O$1673,6,FALSE),"UNKNOWN")</f>
        <v>BIOMASS</v>
      </c>
      <c r="W585" s="271">
        <f>IFERROR(VLOOKUP($A585,GeneratingCapabilityList!$E$7:$O$1673,3,FALSE),"ID Not Found")</f>
        <v>1.57</v>
      </c>
      <c r="Y585" s="270"/>
    </row>
    <row r="586" spans="1:25">
      <c r="A586" s="244" t="s">
        <v>766</v>
      </c>
      <c r="B586" s="245" t="s">
        <v>3328</v>
      </c>
      <c r="C586" s="245" t="s">
        <v>3724</v>
      </c>
      <c r="D586" s="281">
        <v>6.192850537634409</v>
      </c>
      <c r="E586" s="281">
        <v>3.3577528571428576</v>
      </c>
      <c r="F586" s="281">
        <v>5.1393664516129016</v>
      </c>
      <c r="G586" s="281">
        <v>4.8282944444444418</v>
      </c>
      <c r="H586" s="281">
        <v>6.0876333333333337</v>
      </c>
      <c r="I586" s="281">
        <v>7.215570666666669</v>
      </c>
      <c r="J586" s="281">
        <v>7.1869292473118271</v>
      </c>
      <c r="K586" s="281">
        <v>6.9074933333333339</v>
      </c>
      <c r="L586" s="281">
        <v>6.9147617777777768</v>
      </c>
      <c r="M586" s="281">
        <v>5.7037905376344087</v>
      </c>
      <c r="N586" s="281">
        <v>5.9216781444444457</v>
      </c>
      <c r="O586" s="281">
        <v>4.4619649462365576</v>
      </c>
      <c r="P586" s="245" t="s">
        <v>3352</v>
      </c>
      <c r="Q586" s="245" t="s">
        <v>3347</v>
      </c>
      <c r="R586" s="246" t="s">
        <v>4561</v>
      </c>
      <c r="S586" s="270">
        <f t="shared" si="21"/>
        <v>29587</v>
      </c>
      <c r="T586" s="270"/>
      <c r="U586" s="270">
        <f>IFERROR(VLOOKUP($A586,GeneratingCapabilityList!$E$7:$O$1673,11,FALSE),"ID Not Found")</f>
        <v>29587</v>
      </c>
      <c r="V586" s="271" t="str">
        <f>IFERROR(VLOOKUP($A586,GeneratingCapabilityList!$E$7:$O$1673,6,FALSE),"UNKNOWN")</f>
        <v>HYDRO</v>
      </c>
      <c r="W586" s="271">
        <f>IFERROR(VLOOKUP($A586,GeneratingCapabilityList!$E$7:$O$1673,3,FALSE),"ID Not Found")</f>
        <v>9.1</v>
      </c>
      <c r="Y586" s="270"/>
    </row>
    <row r="587" spans="1:25">
      <c r="A587" s="241" t="s">
        <v>1708</v>
      </c>
      <c r="B587" s="241" t="s">
        <v>3328</v>
      </c>
      <c r="C587" s="241" t="s">
        <v>3725</v>
      </c>
      <c r="D587" s="242">
        <v>20.83</v>
      </c>
      <c r="E587" s="242">
        <v>21.28</v>
      </c>
      <c r="F587" s="242">
        <v>20.65</v>
      </c>
      <c r="G587" s="242">
        <v>13.7</v>
      </c>
      <c r="H587" s="242">
        <v>19.86</v>
      </c>
      <c r="I587" s="242">
        <v>20.82</v>
      </c>
      <c r="J587" s="242">
        <v>19.59</v>
      </c>
      <c r="K587" s="242">
        <v>18.95</v>
      </c>
      <c r="L587" s="242">
        <v>19.649999999999999</v>
      </c>
      <c r="M587" s="242">
        <v>18.14</v>
      </c>
      <c r="N587" s="242">
        <v>20.3</v>
      </c>
      <c r="O587" s="242">
        <v>21.21</v>
      </c>
      <c r="P587" s="241" t="s">
        <v>3352</v>
      </c>
      <c r="Q587" s="241" t="s">
        <v>3347</v>
      </c>
      <c r="R587" s="243" t="s">
        <v>4562</v>
      </c>
      <c r="S587" s="270">
        <f t="shared" si="21"/>
        <v>32338</v>
      </c>
      <c r="T587" s="270"/>
      <c r="U587" s="270">
        <f>IFERROR(VLOOKUP($A587,GeneratingCapabilityList!$E$7:$O$1673,11,FALSE),"ID Not Found")</f>
        <v>32338</v>
      </c>
      <c r="V587" s="271" t="str">
        <f>IFERROR(VLOOKUP($A587,GeneratingCapabilityList!$E$7:$O$1673,6,FALSE),"UNKNOWN")</f>
        <v>COGENERATION</v>
      </c>
      <c r="W587" s="271">
        <f>IFERROR(VLOOKUP($A587,GeneratingCapabilityList!$E$7:$O$1673,3,FALSE),"ID Not Found")</f>
        <v>29.8</v>
      </c>
      <c r="Y587" s="270"/>
    </row>
    <row r="588" spans="1:25">
      <c r="A588" s="241" t="s">
        <v>1504</v>
      </c>
      <c r="B588" s="241" t="s">
        <v>3328</v>
      </c>
      <c r="C588" s="241" t="s">
        <v>3726</v>
      </c>
      <c r="D588" s="242">
        <v>0.53</v>
      </c>
      <c r="E588" s="242">
        <v>0.08</v>
      </c>
      <c r="F588" s="242">
        <v>0.38</v>
      </c>
      <c r="G588" s="242">
        <v>0.56999999999999995</v>
      </c>
      <c r="H588" s="242">
        <v>0.72</v>
      </c>
      <c r="I588" s="242">
        <v>0.95</v>
      </c>
      <c r="J588" s="242">
        <v>0.94</v>
      </c>
      <c r="K588" s="242">
        <v>0.92</v>
      </c>
      <c r="L588" s="242">
        <v>0.9</v>
      </c>
      <c r="M588" s="242">
        <v>0.78</v>
      </c>
      <c r="N588" s="242">
        <v>0.61</v>
      </c>
      <c r="O588" s="242">
        <v>0.32</v>
      </c>
      <c r="P588" s="241" t="s">
        <v>3352</v>
      </c>
      <c r="Q588" s="241" t="s">
        <v>3347</v>
      </c>
      <c r="R588" s="243" t="s">
        <v>4562</v>
      </c>
      <c r="S588" s="270">
        <f t="shared" si="21"/>
        <v>31778</v>
      </c>
      <c r="T588" s="270"/>
      <c r="U588" s="270">
        <f>IFERROR(VLOOKUP($A588,GeneratingCapabilityList!$E$7:$O$1673,11,FALSE),"ID Not Found")</f>
        <v>31778</v>
      </c>
      <c r="V588" s="271" t="str">
        <f>IFERROR(VLOOKUP($A588,GeneratingCapabilityList!$E$7:$O$1673,6,FALSE),"UNKNOWN")</f>
        <v>HYDRO</v>
      </c>
      <c r="W588" s="271">
        <f>IFERROR(VLOOKUP($A588,GeneratingCapabilityList!$E$7:$O$1673,3,FALSE),"ID Not Found")</f>
        <v>8.9</v>
      </c>
      <c r="Y588" s="270"/>
    </row>
    <row r="589" spans="1:25">
      <c r="A589" s="241" t="s">
        <v>2967</v>
      </c>
      <c r="B589" s="241" t="s">
        <v>3328</v>
      </c>
      <c r="C589" s="241" t="s">
        <v>3727</v>
      </c>
      <c r="D589" s="242">
        <v>3.79</v>
      </c>
      <c r="E589" s="242">
        <v>4.46</v>
      </c>
      <c r="F589" s="242">
        <v>3.87</v>
      </c>
      <c r="G589" s="242">
        <v>3.43</v>
      </c>
      <c r="H589" s="242">
        <v>3.25</v>
      </c>
      <c r="I589" s="242">
        <v>3.38</v>
      </c>
      <c r="J589" s="242">
        <v>2.7</v>
      </c>
      <c r="K589" s="242">
        <v>2.02</v>
      </c>
      <c r="L589" s="242">
        <v>3.21</v>
      </c>
      <c r="M589" s="242">
        <v>5.17</v>
      </c>
      <c r="N589" s="242">
        <v>3.12</v>
      </c>
      <c r="O589" s="242">
        <v>5.39</v>
      </c>
      <c r="P589" s="241" t="s">
        <v>3352</v>
      </c>
      <c r="Q589" s="241" t="s">
        <v>3347</v>
      </c>
      <c r="R589" s="243" t="s">
        <v>4562</v>
      </c>
      <c r="S589" s="270">
        <f t="shared" si="21"/>
        <v>40505</v>
      </c>
      <c r="T589" s="270"/>
      <c r="U589" s="270">
        <f>IFERROR(VLOOKUP($A589,GeneratingCapabilityList!$E$7:$O$1673,11,FALSE),"ID Not Found")</f>
        <v>40505</v>
      </c>
      <c r="V589" s="271" t="str">
        <f>IFERROR(VLOOKUP($A589,GeneratingCapabilityList!$E$7:$O$1673,6,FALSE),"UNKNOWN")</f>
        <v>BIOMASS</v>
      </c>
      <c r="W589" s="271">
        <f>IFERROR(VLOOKUP($A589,GeneratingCapabilityList!$E$7:$O$1673,3,FALSE),"ID Not Found")</f>
        <v>8</v>
      </c>
      <c r="Y589" s="270"/>
    </row>
    <row r="590" spans="1:25">
      <c r="A590" s="241" t="s">
        <v>2255</v>
      </c>
      <c r="B590" s="241" t="s">
        <v>3328</v>
      </c>
      <c r="C590" s="241" t="s">
        <v>3728</v>
      </c>
      <c r="D590" s="242">
        <v>4.74</v>
      </c>
      <c r="E590" s="242">
        <v>4.34</v>
      </c>
      <c r="F590" s="242">
        <v>5.46</v>
      </c>
      <c r="G590" s="242">
        <v>5.71</v>
      </c>
      <c r="H590" s="242">
        <v>5.44</v>
      </c>
      <c r="I590" s="242">
        <v>4.78</v>
      </c>
      <c r="J590" s="242">
        <v>5.26</v>
      </c>
      <c r="K590" s="242">
        <v>5.42</v>
      </c>
      <c r="L590" s="242">
        <v>5.64</v>
      </c>
      <c r="M590" s="242">
        <v>5.55</v>
      </c>
      <c r="N590" s="242">
        <v>5.51</v>
      </c>
      <c r="O590" s="242">
        <v>4.75</v>
      </c>
      <c r="P590" s="241" t="s">
        <v>3352</v>
      </c>
      <c r="Q590" s="241" t="s">
        <v>3347</v>
      </c>
      <c r="R590" s="243" t="s">
        <v>4561</v>
      </c>
      <c r="S590" s="270">
        <f t="shared" si="21"/>
        <v>36165</v>
      </c>
      <c r="T590" s="270"/>
      <c r="U590" s="270">
        <f>IFERROR(VLOOKUP($A590,GeneratingCapabilityList!$E$7:$O$1673,11,FALSE),"ID Not Found")</f>
        <v>36165</v>
      </c>
      <c r="V590" s="271" t="str">
        <f>IFERROR(VLOOKUP($A590,GeneratingCapabilityList!$E$7:$O$1673,6,FALSE),"UNKNOWN")</f>
        <v>BIOMASS</v>
      </c>
      <c r="W590" s="271">
        <f>IFERROR(VLOOKUP($A590,GeneratingCapabilityList!$E$7:$O$1673,3,FALSE),"ID Not Found")</f>
        <v>6.1</v>
      </c>
      <c r="Y590" s="270"/>
    </row>
    <row r="591" spans="1:25">
      <c r="A591" s="241" t="s">
        <v>2772</v>
      </c>
      <c r="B591" s="241" t="s">
        <v>3327</v>
      </c>
      <c r="C591" s="241" t="s">
        <v>3729</v>
      </c>
      <c r="D591" s="242">
        <v>484.5</v>
      </c>
      <c r="E591" s="242">
        <v>484.5</v>
      </c>
      <c r="F591" s="242">
        <v>484.5</v>
      </c>
      <c r="G591" s="242">
        <v>484.5</v>
      </c>
      <c r="H591" s="242">
        <v>484.5</v>
      </c>
      <c r="I591" s="242">
        <v>484.5</v>
      </c>
      <c r="J591" s="242">
        <v>484.5</v>
      </c>
      <c r="K591" s="242">
        <v>484.5</v>
      </c>
      <c r="L591" s="242">
        <v>484.5</v>
      </c>
      <c r="M591" s="242">
        <v>484.5</v>
      </c>
      <c r="N591" s="242">
        <v>484.5</v>
      </c>
      <c r="O591" s="242">
        <v>484.5</v>
      </c>
      <c r="P591" s="241" t="s">
        <v>3352</v>
      </c>
      <c r="Q591" s="241" t="s">
        <v>3347</v>
      </c>
      <c r="R591" s="243" t="s">
        <v>4561</v>
      </c>
      <c r="S591" s="270">
        <f t="shared" si="21"/>
        <v>38696</v>
      </c>
      <c r="T591" s="270"/>
      <c r="U591" s="270">
        <f>IFERROR(VLOOKUP($A591,GeneratingCapabilityList!$E$7:$O$1673,11,FALSE),"ID Not Found")</f>
        <v>38696</v>
      </c>
      <c r="V591" s="271" t="str">
        <f>IFERROR(VLOOKUP($A591,GeneratingCapabilityList!$E$7:$O$1673,6,FALSE),"UNKNOWN")</f>
        <v>THERMAL</v>
      </c>
      <c r="W591" s="271">
        <f>IFERROR(VLOOKUP($A591,GeneratingCapabilityList!$E$7:$O$1673,3,FALSE),"ID Not Found")</f>
        <v>525</v>
      </c>
      <c r="Y591" s="270"/>
    </row>
    <row r="592" spans="1:25">
      <c r="A592" s="241" t="s">
        <v>2785</v>
      </c>
      <c r="B592" s="241" t="s">
        <v>3327</v>
      </c>
      <c r="C592" s="241" t="s">
        <v>3730</v>
      </c>
      <c r="D592" s="242">
        <v>484.5</v>
      </c>
      <c r="E592" s="242">
        <v>484.5</v>
      </c>
      <c r="F592" s="242">
        <v>484.5</v>
      </c>
      <c r="G592" s="242">
        <v>484.5</v>
      </c>
      <c r="H592" s="242">
        <v>484.5</v>
      </c>
      <c r="I592" s="242">
        <v>484.5</v>
      </c>
      <c r="J592" s="242">
        <v>484.5</v>
      </c>
      <c r="K592" s="242">
        <v>484.5</v>
      </c>
      <c r="L592" s="242">
        <v>484.5</v>
      </c>
      <c r="M592" s="242">
        <v>484.5</v>
      </c>
      <c r="N592" s="242">
        <v>484.5</v>
      </c>
      <c r="O592" s="242">
        <v>484.5</v>
      </c>
      <c r="P592" s="241" t="s">
        <v>3352</v>
      </c>
      <c r="Q592" s="241" t="s">
        <v>3347</v>
      </c>
      <c r="R592" s="243" t="s">
        <v>4561</v>
      </c>
      <c r="S592" s="270">
        <f t="shared" si="21"/>
        <v>38736</v>
      </c>
      <c r="T592" s="270"/>
      <c r="U592" s="270">
        <f>IFERROR(VLOOKUP($A592,GeneratingCapabilityList!$E$7:$O$1673,11,FALSE),"ID Not Found")</f>
        <v>38736</v>
      </c>
      <c r="V592" s="271" t="str">
        <f>IFERROR(VLOOKUP($A592,GeneratingCapabilityList!$E$7:$O$1673,6,FALSE),"UNKNOWN")</f>
        <v>THERMAL</v>
      </c>
      <c r="W592" s="271">
        <f>IFERROR(VLOOKUP($A592,GeneratingCapabilityList!$E$7:$O$1673,3,FALSE),"ID Not Found")</f>
        <v>525</v>
      </c>
      <c r="Y592" s="270"/>
    </row>
    <row r="593" spans="1:25">
      <c r="A593" s="241" t="s">
        <v>1777</v>
      </c>
      <c r="B593" s="241" t="s">
        <v>3327</v>
      </c>
      <c r="C593" s="241" t="s">
        <v>3731</v>
      </c>
      <c r="D593" s="242">
        <v>0.03</v>
      </c>
      <c r="E593" s="242">
        <v>7.0000000000000007E-2</v>
      </c>
      <c r="F593" s="242">
        <v>0.08</v>
      </c>
      <c r="G593" s="242">
        <v>0.08</v>
      </c>
      <c r="H593" s="242">
        <v>0.06</v>
      </c>
      <c r="I593" s="242">
        <v>0.21</v>
      </c>
      <c r="J593" s="242">
        <v>0.11</v>
      </c>
      <c r="K593" s="242">
        <v>0.09</v>
      </c>
      <c r="L593" s="242">
        <v>0.17</v>
      </c>
      <c r="M593" s="242">
        <v>0.06</v>
      </c>
      <c r="N593" s="242">
        <v>0.31</v>
      </c>
      <c r="O593" s="242">
        <v>0.3</v>
      </c>
      <c r="P593" s="241" t="s">
        <v>3352</v>
      </c>
      <c r="Q593" s="241" t="s">
        <v>3347</v>
      </c>
      <c r="R593" s="243" t="s">
        <v>4562</v>
      </c>
      <c r="S593" s="270">
        <f t="shared" si="21"/>
        <v>32509</v>
      </c>
      <c r="T593" s="270"/>
      <c r="U593" s="270">
        <f>IFERROR(VLOOKUP($A593,GeneratingCapabilityList!$E$7:$O$1673,11,FALSE),"ID Not Found")</f>
        <v>32509</v>
      </c>
      <c r="V593" s="271" t="str">
        <f>IFERROR(VLOOKUP($A593,GeneratingCapabilityList!$E$7:$O$1673,6,FALSE),"UNKNOWN")</f>
        <v>COGENERATION</v>
      </c>
      <c r="W593" s="271">
        <f>IFERROR(VLOOKUP($A593,GeneratingCapabilityList!$E$7:$O$1673,3,FALSE),"ID Not Found")</f>
        <v>10.6</v>
      </c>
      <c r="Y593" s="270"/>
    </row>
    <row r="594" spans="1:25">
      <c r="A594" s="241" t="s">
        <v>2989</v>
      </c>
      <c r="B594" s="241" t="s">
        <v>3327</v>
      </c>
      <c r="C594" s="241" t="s">
        <v>4655</v>
      </c>
      <c r="D594" s="249" t="s">
        <v>4573</v>
      </c>
      <c r="E594" s="249" t="s">
        <v>4573</v>
      </c>
      <c r="F594" s="249" t="s">
        <v>4573</v>
      </c>
      <c r="G594" s="249" t="s">
        <v>4573</v>
      </c>
      <c r="H594" s="249" t="s">
        <v>4573</v>
      </c>
      <c r="I594" s="249" t="s">
        <v>4573</v>
      </c>
      <c r="J594" s="249" t="s">
        <v>4573</v>
      </c>
      <c r="K594" s="249" t="s">
        <v>4573</v>
      </c>
      <c r="L594" s="249" t="s">
        <v>4573</v>
      </c>
      <c r="M594" s="249" t="s">
        <v>4573</v>
      </c>
      <c r="N594" s="249" t="s">
        <v>4573</v>
      </c>
      <c r="O594" s="249" t="s">
        <v>4573</v>
      </c>
      <c r="P594" s="241" t="s">
        <v>3352</v>
      </c>
      <c r="Q594" s="241" t="s">
        <v>3385</v>
      </c>
      <c r="R594" s="246" t="s">
        <v>4562</v>
      </c>
      <c r="S594" s="270">
        <f t="shared" si="21"/>
        <v>40625</v>
      </c>
      <c r="T594" s="270"/>
      <c r="U594" s="270">
        <f>IFERROR(VLOOKUP($A594,GeneratingCapabilityList!$E$7:$O$1673,11,FALSE),"ID Not Found")</f>
        <v>40625</v>
      </c>
      <c r="V594" s="271" t="str">
        <f>IFERROR(VLOOKUP($A594,GeneratingCapabilityList!$E$7:$O$1673,6,FALSE),"UNKNOWN")</f>
        <v>SOLAR</v>
      </c>
      <c r="W594" s="271">
        <f>IFERROR(VLOOKUP($A594,GeneratingCapabilityList!$E$7:$O$1673,3,FALSE),"ID Not Found")</f>
        <v>2</v>
      </c>
      <c r="Y594" s="270"/>
    </row>
    <row r="595" spans="1:25">
      <c r="A595" s="241" t="s">
        <v>3191</v>
      </c>
      <c r="B595" s="241" t="s">
        <v>3327</v>
      </c>
      <c r="C595" s="241" t="s">
        <v>3732</v>
      </c>
      <c r="D595" s="242">
        <v>0.24</v>
      </c>
      <c r="E595" s="242">
        <v>0.22</v>
      </c>
      <c r="F595" s="242">
        <v>0.6</v>
      </c>
      <c r="G595" s="242">
        <v>1.05</v>
      </c>
      <c r="H595" s="242">
        <v>2.2400000000000002</v>
      </c>
      <c r="I595" s="242">
        <v>3.15</v>
      </c>
      <c r="J595" s="242">
        <v>1.92</v>
      </c>
      <c r="K595" s="242">
        <v>0.61</v>
      </c>
      <c r="L595" s="242">
        <v>0.8</v>
      </c>
      <c r="M595" s="242">
        <v>0.71</v>
      </c>
      <c r="N595" s="242">
        <v>0.56000000000000005</v>
      </c>
      <c r="O595" s="242">
        <v>0.86</v>
      </c>
      <c r="P595" s="241" t="s">
        <v>3352</v>
      </c>
      <c r="Q595" s="241" t="s">
        <v>3347</v>
      </c>
      <c r="R595" s="243" t="s">
        <v>4562</v>
      </c>
      <c r="S595" s="270">
        <f t="shared" si="21"/>
        <v>17168</v>
      </c>
      <c r="T595" s="270"/>
      <c r="U595" s="270">
        <f>IFERROR(VLOOKUP($A595,GeneratingCapabilityList!$E$7:$O$1673,11,FALSE),"ID Not Found")</f>
        <v>17168</v>
      </c>
      <c r="V595" s="271" t="str">
        <f>IFERROR(VLOOKUP($A595,GeneratingCapabilityList!$E$7:$O$1673,6,FALSE),"UNKNOWN")</f>
        <v>HYDRO</v>
      </c>
      <c r="W595" s="271">
        <f>IFERROR(VLOOKUP($A595,GeneratingCapabilityList!$E$7:$O$1673,3,FALSE),"ID Not Found")</f>
        <v>6.95</v>
      </c>
      <c r="Y595" s="270"/>
    </row>
    <row r="596" spans="1:25">
      <c r="A596" s="241" t="s">
        <v>3180</v>
      </c>
      <c r="B596" s="241" t="s">
        <v>3327</v>
      </c>
      <c r="C596" s="241" t="s">
        <v>3733</v>
      </c>
      <c r="D596" s="242">
        <v>1.1299999999999999</v>
      </c>
      <c r="E596" s="242">
        <v>2.5</v>
      </c>
      <c r="F596" s="242">
        <v>1.97</v>
      </c>
      <c r="G596" s="242">
        <v>1.95</v>
      </c>
      <c r="H596" s="242">
        <v>2.31</v>
      </c>
      <c r="I596" s="242">
        <v>2.37</v>
      </c>
      <c r="J596" s="242">
        <v>2.06</v>
      </c>
      <c r="K596" s="242">
        <v>2.27</v>
      </c>
      <c r="L596" s="242">
        <v>1.9</v>
      </c>
      <c r="M596" s="242">
        <v>1.21</v>
      </c>
      <c r="N596" s="242">
        <v>1.03</v>
      </c>
      <c r="O596" s="242">
        <v>1.49</v>
      </c>
      <c r="P596" s="241" t="s">
        <v>3352</v>
      </c>
      <c r="Q596" s="241" t="s">
        <v>3347</v>
      </c>
      <c r="R596" s="243" t="s">
        <v>4562</v>
      </c>
      <c r="S596" s="270">
        <f t="shared" si="21"/>
        <v>1097</v>
      </c>
      <c r="T596" s="270"/>
      <c r="U596" s="270">
        <f>IFERROR(VLOOKUP($A596,GeneratingCapabilityList!$E$7:$O$1673,11,FALSE),"ID Not Found")</f>
        <v>1097</v>
      </c>
      <c r="V596" s="271" t="str">
        <f>IFERROR(VLOOKUP($A596,GeneratingCapabilityList!$E$7:$O$1673,6,FALSE),"UNKNOWN")</f>
        <v>HYDRO</v>
      </c>
      <c r="W596" s="271">
        <f>IFERROR(VLOOKUP($A596,GeneratingCapabilityList!$E$7:$O$1673,3,FALSE),"ID Not Found")</f>
        <v>3.93</v>
      </c>
      <c r="Y596" s="270"/>
    </row>
    <row r="597" spans="1:25">
      <c r="A597" s="241" t="s">
        <v>4519</v>
      </c>
      <c r="B597" s="241" t="s">
        <v>3373</v>
      </c>
      <c r="C597" s="241" t="s">
        <v>4520</v>
      </c>
      <c r="D597" s="242">
        <v>327.7</v>
      </c>
      <c r="E597" s="242">
        <v>325</v>
      </c>
      <c r="F597" s="242">
        <v>321.60000000000002</v>
      </c>
      <c r="G597" s="242">
        <v>323.39999999999998</v>
      </c>
      <c r="H597" s="242">
        <v>299.39999999999998</v>
      </c>
      <c r="I597" s="242">
        <v>299.39999999999998</v>
      </c>
      <c r="J597" s="242">
        <v>299.39999999999998</v>
      </c>
      <c r="K597" s="242">
        <v>299.39999999999998</v>
      </c>
      <c r="L597" s="242">
        <v>299.39999999999998</v>
      </c>
      <c r="M597" s="242">
        <v>321</v>
      </c>
      <c r="N597" s="242">
        <v>322.89999999999998</v>
      </c>
      <c r="O597" s="242">
        <v>327.39999999999998</v>
      </c>
      <c r="P597" s="241" t="s">
        <v>3345</v>
      </c>
      <c r="Q597" s="241" t="s">
        <v>3347</v>
      </c>
      <c r="R597" s="243" t="s">
        <v>4561</v>
      </c>
      <c r="S597" s="270">
        <f t="shared" si="21"/>
        <v>41214</v>
      </c>
      <c r="T597" s="270"/>
      <c r="U597" s="270">
        <f>IFERROR(VLOOKUP($A597,GeneratingCapabilityList!$E$7:$O$1673,11,FALSE),"ID Not Found")</f>
        <v>41214</v>
      </c>
      <c r="V597" s="271" t="str">
        <f>IFERROR(VLOOKUP($A597,GeneratingCapabilityList!$E$7:$O$1673,6,FALSE),"UNKNOWN")</f>
        <v>PEAKER</v>
      </c>
      <c r="W597" s="271">
        <f>IFERROR(VLOOKUP($A597,GeneratingCapabilityList!$E$7:$O$1673,3,FALSE),"ID Not Found")</f>
        <v>332.28</v>
      </c>
      <c r="Y597" s="270"/>
    </row>
    <row r="598" spans="1:25">
      <c r="A598" s="241" t="s">
        <v>3049</v>
      </c>
      <c r="B598" s="241" t="s">
        <v>3349</v>
      </c>
      <c r="C598" s="241" t="s">
        <v>3050</v>
      </c>
      <c r="D598" s="249" t="s">
        <v>4573</v>
      </c>
      <c r="E598" s="249" t="s">
        <v>4573</v>
      </c>
      <c r="F598" s="249" t="s">
        <v>4573</v>
      </c>
      <c r="G598" s="249" t="s">
        <v>4573</v>
      </c>
      <c r="H598" s="249" t="s">
        <v>4573</v>
      </c>
      <c r="I598" s="249" t="s">
        <v>4573</v>
      </c>
      <c r="J598" s="249" t="s">
        <v>4573</v>
      </c>
      <c r="K598" s="249" t="s">
        <v>4573</v>
      </c>
      <c r="L598" s="249" t="s">
        <v>4573</v>
      </c>
      <c r="M598" s="249" t="s">
        <v>4573</v>
      </c>
      <c r="N598" s="249" t="s">
        <v>4573</v>
      </c>
      <c r="O598" s="249" t="s">
        <v>4573</v>
      </c>
      <c r="P598" s="241" t="s">
        <v>3345</v>
      </c>
      <c r="Q598" s="241" t="s">
        <v>3385</v>
      </c>
      <c r="R598" s="246" t="s">
        <v>4561</v>
      </c>
      <c r="S598" s="270">
        <f t="shared" si="21"/>
        <v>40823</v>
      </c>
      <c r="T598" s="270"/>
      <c r="U598" s="270">
        <f>IFERROR(VLOOKUP($A598,GeneratingCapabilityList!$E$7:$O$1673,11,FALSE),"ID Not Found")</f>
        <v>40823</v>
      </c>
      <c r="V598" s="271" t="str">
        <f>IFERROR(VLOOKUP($A598,GeneratingCapabilityList!$E$7:$O$1673,6,FALSE),"UNKNOWN")</f>
        <v>SOLAR</v>
      </c>
      <c r="W598" s="271">
        <f>IFERROR(VLOOKUP($A598,GeneratingCapabilityList!$E$7:$O$1673,3,FALSE),"ID Not Found")</f>
        <v>15</v>
      </c>
      <c r="Y598" s="270"/>
    </row>
    <row r="599" spans="1:25">
      <c r="A599" s="241" t="s">
        <v>3026</v>
      </c>
      <c r="B599" s="241" t="s">
        <v>3349</v>
      </c>
      <c r="C599" s="241" t="s">
        <v>3027</v>
      </c>
      <c r="D599" s="249" t="s">
        <v>4573</v>
      </c>
      <c r="E599" s="249" t="s">
        <v>4573</v>
      </c>
      <c r="F599" s="249" t="s">
        <v>4573</v>
      </c>
      <c r="G599" s="249" t="s">
        <v>4573</v>
      </c>
      <c r="H599" s="249" t="s">
        <v>4573</v>
      </c>
      <c r="I599" s="249" t="s">
        <v>4573</v>
      </c>
      <c r="J599" s="249" t="s">
        <v>4573</v>
      </c>
      <c r="K599" s="249" t="s">
        <v>4573</v>
      </c>
      <c r="L599" s="249" t="s">
        <v>4573</v>
      </c>
      <c r="M599" s="249" t="s">
        <v>4573</v>
      </c>
      <c r="N599" s="249" t="s">
        <v>4573</v>
      </c>
      <c r="O599" s="249" t="s">
        <v>4573</v>
      </c>
      <c r="P599" s="241" t="s">
        <v>3345</v>
      </c>
      <c r="Q599" s="241" t="s">
        <v>3385</v>
      </c>
      <c r="R599" s="246" t="s">
        <v>4561</v>
      </c>
      <c r="S599" s="270">
        <f t="shared" si="21"/>
        <v>40799</v>
      </c>
      <c r="T599" s="270"/>
      <c r="U599" s="270">
        <f>IFERROR(VLOOKUP($A599,GeneratingCapabilityList!$E$7:$O$1673,11,FALSE),"ID Not Found")</f>
        <v>40799</v>
      </c>
      <c r="V599" s="271" t="str">
        <f>IFERROR(VLOOKUP($A599,GeneratingCapabilityList!$E$7:$O$1673,6,FALSE),"UNKNOWN")</f>
        <v>SOLAR</v>
      </c>
      <c r="W599" s="271">
        <f>IFERROR(VLOOKUP($A599,GeneratingCapabilityList!$E$7:$O$1673,3,FALSE),"ID Not Found")</f>
        <v>15</v>
      </c>
      <c r="Y599" s="270"/>
    </row>
    <row r="600" spans="1:25">
      <c r="A600" s="241" t="s">
        <v>926</v>
      </c>
      <c r="B600" s="241" t="s">
        <v>3361</v>
      </c>
      <c r="C600" s="241" t="s">
        <v>3734</v>
      </c>
      <c r="D600" s="242">
        <v>12.98</v>
      </c>
      <c r="E600" s="242">
        <v>12.93</v>
      </c>
      <c r="F600" s="242">
        <v>13.56</v>
      </c>
      <c r="G600" s="242">
        <v>13.44</v>
      </c>
      <c r="H600" s="242">
        <v>13.25</v>
      </c>
      <c r="I600" s="242">
        <v>14.05</v>
      </c>
      <c r="J600" s="242">
        <v>13.22</v>
      </c>
      <c r="K600" s="242">
        <v>12.39</v>
      </c>
      <c r="L600" s="242">
        <v>11.77</v>
      </c>
      <c r="M600" s="242">
        <v>8.6199999999999992</v>
      </c>
      <c r="N600" s="242">
        <v>9.26</v>
      </c>
      <c r="O600" s="242">
        <v>10.92</v>
      </c>
      <c r="P600" s="241" t="s">
        <v>3352</v>
      </c>
      <c r="Q600" s="241" t="s">
        <v>3347</v>
      </c>
      <c r="R600" s="243" t="s">
        <v>4562</v>
      </c>
      <c r="S600" s="270">
        <f t="shared" si="21"/>
        <v>30407</v>
      </c>
      <c r="T600" s="270"/>
      <c r="U600" s="270">
        <f>IFERROR(VLOOKUP($A600,GeneratingCapabilityList!$E$7:$O$1673,11,FALSE),"ID Not Found")</f>
        <v>30407</v>
      </c>
      <c r="V600" s="271" t="str">
        <f>IFERROR(VLOOKUP($A600,GeneratingCapabilityList!$E$7:$O$1673,6,FALSE),"UNKNOWN")</f>
        <v>COGENERATION</v>
      </c>
      <c r="W600" s="271">
        <f>IFERROR(VLOOKUP($A600,GeneratingCapabilityList!$E$7:$O$1673,3,FALSE),"ID Not Found")</f>
        <v>62.5</v>
      </c>
      <c r="Y600" s="270"/>
    </row>
    <row r="601" spans="1:25">
      <c r="A601" s="241" t="s">
        <v>747</v>
      </c>
      <c r="B601" s="241" t="s">
        <v>3361</v>
      </c>
      <c r="C601" s="241" t="s">
        <v>3735</v>
      </c>
      <c r="D601" s="242">
        <v>0</v>
      </c>
      <c r="E601" s="242">
        <v>0</v>
      </c>
      <c r="F601" s="242">
        <v>0</v>
      </c>
      <c r="G601" s="242">
        <v>0</v>
      </c>
      <c r="H601" s="242">
        <v>0</v>
      </c>
      <c r="I601" s="242">
        <v>0</v>
      </c>
      <c r="J601" s="242">
        <v>0</v>
      </c>
      <c r="K601" s="242">
        <v>0</v>
      </c>
      <c r="L601" s="242">
        <v>0</v>
      </c>
      <c r="M601" s="242">
        <v>0</v>
      </c>
      <c r="N601" s="242">
        <v>0</v>
      </c>
      <c r="O601" s="242">
        <v>0</v>
      </c>
      <c r="P601" s="241" t="s">
        <v>3352</v>
      </c>
      <c r="Q601" s="241" t="s">
        <v>3347</v>
      </c>
      <c r="R601" s="243" t="s">
        <v>4562</v>
      </c>
      <c r="S601" s="270">
        <f t="shared" si="21"/>
        <v>29031</v>
      </c>
      <c r="T601" s="270"/>
      <c r="U601" s="270">
        <f>IFERROR(VLOOKUP($A601,GeneratingCapabilityList!$E$7:$O$1673,11,FALSE),"ID Not Found")</f>
        <v>29031</v>
      </c>
      <c r="V601" s="271" t="str">
        <f>IFERROR(VLOOKUP($A601,GeneratingCapabilityList!$E$7:$O$1673,6,FALSE),"UNKNOWN")</f>
        <v>COGENERATION</v>
      </c>
      <c r="W601" s="271">
        <f>IFERROR(VLOOKUP($A601,GeneratingCapabilityList!$E$7:$O$1673,3,FALSE),"ID Not Found")</f>
        <v>15.5</v>
      </c>
      <c r="Y601" s="270"/>
    </row>
    <row r="602" spans="1:25">
      <c r="A602" s="241" t="s">
        <v>893</v>
      </c>
      <c r="B602" s="241" t="s">
        <v>3324</v>
      </c>
      <c r="C602" s="241" t="s">
        <v>3736</v>
      </c>
      <c r="D602" s="242">
        <v>0</v>
      </c>
      <c r="E602" s="242">
        <v>0.02</v>
      </c>
      <c r="F602" s="242">
        <v>0.16</v>
      </c>
      <c r="G602" s="242">
        <v>0.17</v>
      </c>
      <c r="H602" s="242">
        <v>0.3</v>
      </c>
      <c r="I602" s="242">
        <v>0.26</v>
      </c>
      <c r="J602" s="242">
        <v>0.35</v>
      </c>
      <c r="K602" s="242">
        <v>0.24</v>
      </c>
      <c r="L602" s="242">
        <v>0.11</v>
      </c>
      <c r="M602" s="242">
        <v>7.0000000000000007E-2</v>
      </c>
      <c r="N602" s="242">
        <v>0</v>
      </c>
      <c r="O602" s="242">
        <v>0</v>
      </c>
      <c r="P602" s="241" t="s">
        <v>3345</v>
      </c>
      <c r="Q602" s="241" t="s">
        <v>3347</v>
      </c>
      <c r="R602" s="243" t="s">
        <v>4562</v>
      </c>
      <c r="S602" s="270">
        <f t="shared" si="21"/>
        <v>30317</v>
      </c>
      <c r="T602" s="270"/>
      <c r="U602" s="270">
        <f>IFERROR(VLOOKUP($A602,GeneratingCapabilityList!$E$7:$O$1673,11,FALSE),"ID Not Found")</f>
        <v>30317</v>
      </c>
      <c r="V602" s="271" t="str">
        <f>IFERROR(VLOOKUP($A602,GeneratingCapabilityList!$E$7:$O$1673,6,FALSE),"UNKNOWN")</f>
        <v>WIND</v>
      </c>
      <c r="W602" s="271">
        <f>IFERROR(VLOOKUP($A602,GeneratingCapabilityList!$E$7:$O$1673,3,FALSE),"ID Not Found")</f>
        <v>100</v>
      </c>
      <c r="Y602" s="270"/>
    </row>
    <row r="603" spans="1:25">
      <c r="A603" s="241" t="s">
        <v>1087</v>
      </c>
      <c r="B603" s="241" t="s">
        <v>3361</v>
      </c>
      <c r="C603" s="241" t="s">
        <v>1088</v>
      </c>
      <c r="D603" s="242">
        <v>0</v>
      </c>
      <c r="E603" s="242">
        <v>0.02</v>
      </c>
      <c r="F603" s="242">
        <v>0.47</v>
      </c>
      <c r="G603" s="242">
        <v>5.15</v>
      </c>
      <c r="H603" s="242">
        <v>11.42</v>
      </c>
      <c r="I603" s="242">
        <v>32.26</v>
      </c>
      <c r="J603" s="242">
        <v>22.06</v>
      </c>
      <c r="K603" s="242">
        <v>30.17</v>
      </c>
      <c r="L603" s="242">
        <v>20.440000000000001</v>
      </c>
      <c r="M603" s="242">
        <v>1.42</v>
      </c>
      <c r="N603" s="242">
        <v>0.02</v>
      </c>
      <c r="O603" s="242">
        <v>0</v>
      </c>
      <c r="P603" s="241" t="s">
        <v>3352</v>
      </c>
      <c r="Q603" s="241" t="s">
        <v>3347</v>
      </c>
      <c r="R603" s="243" t="s">
        <v>4562</v>
      </c>
      <c r="S603" s="270">
        <f t="shared" si="21"/>
        <v>30988</v>
      </c>
      <c r="T603" s="270"/>
      <c r="U603" s="270">
        <f>IFERROR(VLOOKUP($A603,GeneratingCapabilityList!$E$7:$O$1673,11,FALSE),"ID Not Found")</f>
        <v>30988</v>
      </c>
      <c r="V603" s="271" t="str">
        <f>IFERROR(VLOOKUP($A603,GeneratingCapabilityList!$E$7:$O$1673,6,FALSE),"UNKNOWN")</f>
        <v>SOLAR</v>
      </c>
      <c r="W603" s="271">
        <f>IFERROR(VLOOKUP($A603,GeneratingCapabilityList!$E$7:$O$1673,3,FALSE),"ID Not Found")</f>
        <v>38.44</v>
      </c>
      <c r="Y603" s="270"/>
    </row>
    <row r="604" spans="1:25">
      <c r="A604" s="241" t="s">
        <v>4656</v>
      </c>
      <c r="B604" s="241" t="s">
        <v>3327</v>
      </c>
      <c r="C604" s="241" t="s">
        <v>4657</v>
      </c>
      <c r="D604" s="242">
        <v>91</v>
      </c>
      <c r="E604" s="242">
        <v>91</v>
      </c>
      <c r="F604" s="242">
        <v>91</v>
      </c>
      <c r="G604" s="242">
        <v>91</v>
      </c>
      <c r="H604" s="242">
        <v>91</v>
      </c>
      <c r="I604" s="242">
        <v>91</v>
      </c>
      <c r="J604" s="242">
        <v>91</v>
      </c>
      <c r="K604" s="242">
        <v>91</v>
      </c>
      <c r="L604" s="242">
        <v>91</v>
      </c>
      <c r="M604" s="242">
        <v>91</v>
      </c>
      <c r="N604" s="242">
        <v>91</v>
      </c>
      <c r="O604" s="242">
        <v>91</v>
      </c>
      <c r="P604" s="241" t="s">
        <v>3352</v>
      </c>
      <c r="Q604" s="241" t="s">
        <v>3347</v>
      </c>
      <c r="R604" s="243" t="s">
        <v>4561</v>
      </c>
      <c r="S604" s="270">
        <f t="shared" si="21"/>
        <v>41400</v>
      </c>
      <c r="T604" s="270"/>
      <c r="U604" s="270">
        <f>IFERROR(VLOOKUP($A604,GeneratingCapabilityList!$E$7:$O$1673,11,FALSE),"ID Not Found")</f>
        <v>41400</v>
      </c>
      <c r="V604" s="271" t="str">
        <f>IFERROR(VLOOKUP($A604,GeneratingCapabilityList!$E$7:$O$1673,6,FALSE),"UNKNOWN")</f>
        <v>PEAKER</v>
      </c>
      <c r="W604" s="271">
        <f>IFERROR(VLOOKUP($A604,GeneratingCapabilityList!$E$7:$O$1673,3,FALSE),"ID Not Found")</f>
        <v>91</v>
      </c>
      <c r="Y604" s="270"/>
    </row>
    <row r="605" spans="1:25">
      <c r="A605" s="241" t="s">
        <v>4658</v>
      </c>
      <c r="B605" s="241" t="s">
        <v>3327</v>
      </c>
      <c r="C605" s="241" t="s">
        <v>4659</v>
      </c>
      <c r="D605" s="242">
        <v>91</v>
      </c>
      <c r="E605" s="242">
        <v>91</v>
      </c>
      <c r="F605" s="242">
        <v>91</v>
      </c>
      <c r="G605" s="242">
        <v>91</v>
      </c>
      <c r="H605" s="242">
        <v>91</v>
      </c>
      <c r="I605" s="242">
        <v>91</v>
      </c>
      <c r="J605" s="242">
        <v>91</v>
      </c>
      <c r="K605" s="242">
        <v>91</v>
      </c>
      <c r="L605" s="242">
        <v>91</v>
      </c>
      <c r="M605" s="242">
        <v>91</v>
      </c>
      <c r="N605" s="242">
        <v>91</v>
      </c>
      <c r="O605" s="242">
        <v>91</v>
      </c>
      <c r="P605" s="241" t="s">
        <v>3352</v>
      </c>
      <c r="Q605" s="241" t="s">
        <v>3347</v>
      </c>
      <c r="R605" s="243" t="s">
        <v>4561</v>
      </c>
      <c r="S605" s="270">
        <f t="shared" si="21"/>
        <v>41400</v>
      </c>
      <c r="T605" s="270"/>
      <c r="U605" s="270">
        <f>IFERROR(VLOOKUP($A605,GeneratingCapabilityList!$E$7:$O$1673,11,FALSE),"ID Not Found")</f>
        <v>41400</v>
      </c>
      <c r="V605" s="271" t="str">
        <f>IFERROR(VLOOKUP($A605,GeneratingCapabilityList!$E$7:$O$1673,6,FALSE),"UNKNOWN")</f>
        <v>PEAKER</v>
      </c>
      <c r="W605" s="271">
        <f>IFERROR(VLOOKUP($A605,GeneratingCapabilityList!$E$7:$O$1673,3,FALSE),"ID Not Found")</f>
        <v>91</v>
      </c>
      <c r="Y605" s="270"/>
    </row>
    <row r="606" spans="1:25">
      <c r="A606" s="241" t="s">
        <v>4660</v>
      </c>
      <c r="B606" s="241" t="s">
        <v>3327</v>
      </c>
      <c r="C606" s="241" t="s">
        <v>4661</v>
      </c>
      <c r="D606" s="242">
        <v>91</v>
      </c>
      <c r="E606" s="242">
        <v>91</v>
      </c>
      <c r="F606" s="242">
        <v>91</v>
      </c>
      <c r="G606" s="242">
        <v>91</v>
      </c>
      <c r="H606" s="242">
        <v>91</v>
      </c>
      <c r="I606" s="242">
        <v>91</v>
      </c>
      <c r="J606" s="242">
        <v>91</v>
      </c>
      <c r="K606" s="242">
        <v>91</v>
      </c>
      <c r="L606" s="242">
        <v>91</v>
      </c>
      <c r="M606" s="242">
        <v>91</v>
      </c>
      <c r="N606" s="242">
        <v>91</v>
      </c>
      <c r="O606" s="242">
        <v>91</v>
      </c>
      <c r="P606" s="241" t="s">
        <v>3352</v>
      </c>
      <c r="Q606" s="241" t="s">
        <v>3347</v>
      </c>
      <c r="R606" s="243" t="s">
        <v>4561</v>
      </c>
      <c r="S606" s="270">
        <f t="shared" si="21"/>
        <v>41400</v>
      </c>
      <c r="T606" s="270"/>
      <c r="U606" s="270">
        <f>IFERROR(VLOOKUP($A606,GeneratingCapabilityList!$E$7:$O$1673,11,FALSE),"ID Not Found")</f>
        <v>41400</v>
      </c>
      <c r="V606" s="271" t="str">
        <f>IFERROR(VLOOKUP($A606,GeneratingCapabilityList!$E$7:$O$1673,6,FALSE),"UNKNOWN")</f>
        <v>PEAKER</v>
      </c>
      <c r="W606" s="271">
        <f>IFERROR(VLOOKUP($A606,GeneratingCapabilityList!$E$7:$O$1673,3,FALSE),"ID Not Found")</f>
        <v>91</v>
      </c>
      <c r="Y606" s="270"/>
    </row>
    <row r="607" spans="1:25">
      <c r="A607" s="241" t="s">
        <v>4662</v>
      </c>
      <c r="B607" s="241" t="s">
        <v>3327</v>
      </c>
      <c r="C607" s="241" t="s">
        <v>4663</v>
      </c>
      <c r="D607" s="242">
        <v>91</v>
      </c>
      <c r="E607" s="242">
        <v>91</v>
      </c>
      <c r="F607" s="242">
        <v>91</v>
      </c>
      <c r="G607" s="242">
        <v>91</v>
      </c>
      <c r="H607" s="242">
        <v>91</v>
      </c>
      <c r="I607" s="242">
        <v>91</v>
      </c>
      <c r="J607" s="242">
        <v>91</v>
      </c>
      <c r="K607" s="242">
        <v>91</v>
      </c>
      <c r="L607" s="242">
        <v>91</v>
      </c>
      <c r="M607" s="242">
        <v>91</v>
      </c>
      <c r="N607" s="242">
        <v>91</v>
      </c>
      <c r="O607" s="242">
        <v>91</v>
      </c>
      <c r="P607" s="241" t="s">
        <v>3352</v>
      </c>
      <c r="Q607" s="241" t="s">
        <v>3347</v>
      </c>
      <c r="R607" s="243" t="s">
        <v>4561</v>
      </c>
      <c r="S607" s="270">
        <f t="shared" si="21"/>
        <v>41400</v>
      </c>
      <c r="T607" s="270"/>
      <c r="U607" s="270">
        <f>IFERROR(VLOOKUP($A607,GeneratingCapabilityList!$E$7:$O$1673,11,FALSE),"ID Not Found")</f>
        <v>41400</v>
      </c>
      <c r="V607" s="271" t="str">
        <f>IFERROR(VLOOKUP($A607,GeneratingCapabilityList!$E$7:$O$1673,6,FALSE),"UNKNOWN")</f>
        <v>PEAKER</v>
      </c>
      <c r="W607" s="271">
        <f>IFERROR(VLOOKUP($A607,GeneratingCapabilityList!$E$7:$O$1673,3,FALSE),"ID Not Found")</f>
        <v>91</v>
      </c>
      <c r="Y607" s="270"/>
    </row>
    <row r="608" spans="1:25">
      <c r="A608" s="241" t="s">
        <v>4664</v>
      </c>
      <c r="B608" s="241" t="s">
        <v>3327</v>
      </c>
      <c r="C608" s="241" t="s">
        <v>4665</v>
      </c>
      <c r="D608" s="242">
        <v>91</v>
      </c>
      <c r="E608" s="242">
        <v>91</v>
      </c>
      <c r="F608" s="242">
        <v>91</v>
      </c>
      <c r="G608" s="242">
        <v>91</v>
      </c>
      <c r="H608" s="242">
        <v>91</v>
      </c>
      <c r="I608" s="242">
        <v>91</v>
      </c>
      <c r="J608" s="242">
        <v>91</v>
      </c>
      <c r="K608" s="242">
        <v>91</v>
      </c>
      <c r="L608" s="242">
        <v>91</v>
      </c>
      <c r="M608" s="242">
        <v>91</v>
      </c>
      <c r="N608" s="242">
        <v>91</v>
      </c>
      <c r="O608" s="242">
        <v>91</v>
      </c>
      <c r="P608" s="241" t="s">
        <v>3352</v>
      </c>
      <c r="Q608" s="241" t="s">
        <v>3347</v>
      </c>
      <c r="R608" s="243" t="s">
        <v>4561</v>
      </c>
      <c r="S608" s="270">
        <f t="shared" si="21"/>
        <v>41400</v>
      </c>
      <c r="T608" s="270"/>
      <c r="U608" s="270">
        <f>IFERROR(VLOOKUP($A608,GeneratingCapabilityList!$E$7:$O$1673,11,FALSE),"ID Not Found")</f>
        <v>41400</v>
      </c>
      <c r="V608" s="271" t="str">
        <f>IFERROR(VLOOKUP($A608,GeneratingCapabilityList!$E$7:$O$1673,6,FALSE),"UNKNOWN")</f>
        <v>PEAKER</v>
      </c>
      <c r="W608" s="271">
        <f>IFERROR(VLOOKUP($A608,GeneratingCapabilityList!$E$7:$O$1673,3,FALSE),"ID Not Found")</f>
        <v>91</v>
      </c>
      <c r="Y608" s="270"/>
    </row>
    <row r="609" spans="1:25">
      <c r="A609" s="241" t="s">
        <v>4666</v>
      </c>
      <c r="B609" s="241" t="s">
        <v>3327</v>
      </c>
      <c r="C609" s="241" t="s">
        <v>4667</v>
      </c>
      <c r="D609" s="242">
        <v>91</v>
      </c>
      <c r="E609" s="242">
        <v>91</v>
      </c>
      <c r="F609" s="242">
        <v>91</v>
      </c>
      <c r="G609" s="242">
        <v>91</v>
      </c>
      <c r="H609" s="242">
        <v>91</v>
      </c>
      <c r="I609" s="242">
        <v>91</v>
      </c>
      <c r="J609" s="242">
        <v>91</v>
      </c>
      <c r="K609" s="242">
        <v>91</v>
      </c>
      <c r="L609" s="242">
        <v>91</v>
      </c>
      <c r="M609" s="242">
        <v>91</v>
      </c>
      <c r="N609" s="242">
        <v>91</v>
      </c>
      <c r="O609" s="242">
        <v>91</v>
      </c>
      <c r="P609" s="241" t="s">
        <v>3352</v>
      </c>
      <c r="Q609" s="241" t="s">
        <v>3347</v>
      </c>
      <c r="R609" s="243" t="s">
        <v>4561</v>
      </c>
      <c r="S609" s="270">
        <f t="shared" si="21"/>
        <v>41400</v>
      </c>
      <c r="T609" s="270"/>
      <c r="U609" s="270">
        <f>IFERROR(VLOOKUP($A609,GeneratingCapabilityList!$E$7:$O$1673,11,FALSE),"ID Not Found")</f>
        <v>41400</v>
      </c>
      <c r="V609" s="271" t="str">
        <f>IFERROR(VLOOKUP($A609,GeneratingCapabilityList!$E$7:$O$1673,6,FALSE),"UNKNOWN")</f>
        <v>PEAKER</v>
      </c>
      <c r="W609" s="271">
        <f>IFERROR(VLOOKUP($A609,GeneratingCapabilityList!$E$7:$O$1673,3,FALSE),"ID Not Found")</f>
        <v>91</v>
      </c>
      <c r="Y609" s="270"/>
    </row>
    <row r="610" spans="1:25">
      <c r="A610" s="241" t="s">
        <v>4668</v>
      </c>
      <c r="B610" s="241" t="s">
        <v>3327</v>
      </c>
      <c r="C610" s="241" t="s">
        <v>4669</v>
      </c>
      <c r="D610" s="242">
        <v>91</v>
      </c>
      <c r="E610" s="242">
        <v>91</v>
      </c>
      <c r="F610" s="242">
        <v>91</v>
      </c>
      <c r="G610" s="242">
        <v>91</v>
      </c>
      <c r="H610" s="242">
        <v>91</v>
      </c>
      <c r="I610" s="242">
        <v>91</v>
      </c>
      <c r="J610" s="242">
        <v>91</v>
      </c>
      <c r="K610" s="242">
        <v>91</v>
      </c>
      <c r="L610" s="242">
        <v>91</v>
      </c>
      <c r="M610" s="242">
        <v>91</v>
      </c>
      <c r="N610" s="242">
        <v>91</v>
      </c>
      <c r="O610" s="242">
        <v>91</v>
      </c>
      <c r="P610" s="241" t="s">
        <v>3352</v>
      </c>
      <c r="Q610" s="241" t="s">
        <v>3347</v>
      </c>
      <c r="R610" s="243" t="s">
        <v>4561</v>
      </c>
      <c r="S610" s="270">
        <f t="shared" si="21"/>
        <v>41400</v>
      </c>
      <c r="T610" s="270"/>
      <c r="U610" s="270">
        <f>IFERROR(VLOOKUP($A610,GeneratingCapabilityList!$E$7:$O$1673,11,FALSE),"ID Not Found")</f>
        <v>41400</v>
      </c>
      <c r="V610" s="271" t="str">
        <f>IFERROR(VLOOKUP($A610,GeneratingCapabilityList!$E$7:$O$1673,6,FALSE),"UNKNOWN")</f>
        <v>PEAKER</v>
      </c>
      <c r="W610" s="271">
        <f>IFERROR(VLOOKUP($A610,GeneratingCapabilityList!$E$7:$O$1673,3,FALSE),"ID Not Found")</f>
        <v>91</v>
      </c>
      <c r="Y610" s="270"/>
    </row>
    <row r="611" spans="1:25">
      <c r="A611" s="241" t="s">
        <v>4670</v>
      </c>
      <c r="B611" s="241" t="s">
        <v>3327</v>
      </c>
      <c r="C611" s="241" t="s">
        <v>4671</v>
      </c>
      <c r="D611" s="242">
        <v>91</v>
      </c>
      <c r="E611" s="242">
        <v>91</v>
      </c>
      <c r="F611" s="242">
        <v>91</v>
      </c>
      <c r="G611" s="242">
        <v>91</v>
      </c>
      <c r="H611" s="242">
        <v>91</v>
      </c>
      <c r="I611" s="242">
        <v>91</v>
      </c>
      <c r="J611" s="242">
        <v>91</v>
      </c>
      <c r="K611" s="242">
        <v>91</v>
      </c>
      <c r="L611" s="242">
        <v>91</v>
      </c>
      <c r="M611" s="242">
        <v>91</v>
      </c>
      <c r="N611" s="242">
        <v>91</v>
      </c>
      <c r="O611" s="242">
        <v>91</v>
      </c>
      <c r="P611" s="241" t="s">
        <v>3352</v>
      </c>
      <c r="Q611" s="241" t="s">
        <v>3347</v>
      </c>
      <c r="R611" s="243" t="s">
        <v>4561</v>
      </c>
      <c r="S611" s="270">
        <f t="shared" si="21"/>
        <v>41400</v>
      </c>
      <c r="T611" s="270"/>
      <c r="U611" s="270">
        <f>IFERROR(VLOOKUP($A611,GeneratingCapabilityList!$E$7:$O$1673,11,FALSE),"ID Not Found")</f>
        <v>41400</v>
      </c>
      <c r="V611" s="271" t="str">
        <f>IFERROR(VLOOKUP($A611,GeneratingCapabilityList!$E$7:$O$1673,6,FALSE),"UNKNOWN")</f>
        <v>PEAKER</v>
      </c>
      <c r="W611" s="271">
        <f>IFERROR(VLOOKUP($A611,GeneratingCapabilityList!$E$7:$O$1673,3,FALSE),"ID Not Found")</f>
        <v>91</v>
      </c>
      <c r="Y611" s="270"/>
    </row>
    <row r="612" spans="1:25">
      <c r="A612" s="241" t="s">
        <v>2047</v>
      </c>
      <c r="B612" s="241" t="s">
        <v>3349</v>
      </c>
      <c r="C612" s="241" t="s">
        <v>3737</v>
      </c>
      <c r="D612" s="242">
        <v>28.62</v>
      </c>
      <c r="E612" s="242">
        <v>27.99</v>
      </c>
      <c r="F612" s="242">
        <v>30.84</v>
      </c>
      <c r="G612" s="242">
        <v>22.06</v>
      </c>
      <c r="H612" s="242">
        <v>28.16</v>
      </c>
      <c r="I612" s="242">
        <v>28.81</v>
      </c>
      <c r="J612" s="242">
        <v>27.62</v>
      </c>
      <c r="K612" s="242">
        <v>28.13</v>
      </c>
      <c r="L612" s="242">
        <v>27.28</v>
      </c>
      <c r="M612" s="242">
        <v>29.8</v>
      </c>
      <c r="N612" s="242">
        <v>28.08</v>
      </c>
      <c r="O612" s="242">
        <v>28.62</v>
      </c>
      <c r="P612" s="241" t="s">
        <v>3345</v>
      </c>
      <c r="Q612" s="241" t="s">
        <v>3347</v>
      </c>
      <c r="R612" s="243" t="s">
        <v>4562</v>
      </c>
      <c r="S612" s="270">
        <f t="shared" si="21"/>
        <v>33218</v>
      </c>
      <c r="T612" s="270"/>
      <c r="U612" s="270">
        <f>IFERROR(VLOOKUP($A612,GeneratingCapabilityList!$E$7:$O$1673,11,FALSE),"ID Not Found")</f>
        <v>33218</v>
      </c>
      <c r="V612" s="271" t="str">
        <f>IFERROR(VLOOKUP($A612,GeneratingCapabilityList!$E$7:$O$1673,6,FALSE),"UNKNOWN")</f>
        <v>COGENERATION</v>
      </c>
      <c r="W612" s="271">
        <f>IFERROR(VLOOKUP($A612,GeneratingCapabilityList!$E$7:$O$1673,3,FALSE),"ID Not Found")</f>
        <v>48.3</v>
      </c>
      <c r="Y612" s="270"/>
    </row>
    <row r="613" spans="1:25">
      <c r="A613" s="241" t="s">
        <v>1803</v>
      </c>
      <c r="B613" s="241" t="s">
        <v>3370</v>
      </c>
      <c r="C613" s="241" t="s">
        <v>1804</v>
      </c>
      <c r="D613" s="242">
        <v>47</v>
      </c>
      <c r="E613" s="242">
        <v>47</v>
      </c>
      <c r="F613" s="242">
        <v>47</v>
      </c>
      <c r="G613" s="242">
        <v>47</v>
      </c>
      <c r="H613" s="242">
        <v>47</v>
      </c>
      <c r="I613" s="242">
        <v>47</v>
      </c>
      <c r="J613" s="242">
        <v>47</v>
      </c>
      <c r="K613" s="242">
        <v>47</v>
      </c>
      <c r="L613" s="242">
        <v>47</v>
      </c>
      <c r="M613" s="242">
        <v>47</v>
      </c>
      <c r="N613" s="242">
        <v>47</v>
      </c>
      <c r="O613" s="242">
        <v>47</v>
      </c>
      <c r="P613" s="241" t="s">
        <v>3345</v>
      </c>
      <c r="Q613" s="241" t="s">
        <v>3347</v>
      </c>
      <c r="R613" s="243" t="s">
        <v>4561</v>
      </c>
      <c r="S613" s="270">
        <f t="shared" si="21"/>
        <v>32563</v>
      </c>
      <c r="T613" s="270"/>
      <c r="U613" s="270">
        <f>IFERROR(VLOOKUP($A613,GeneratingCapabilityList!$E$7:$O$1673,11,FALSE),"ID Not Found")</f>
        <v>32563</v>
      </c>
      <c r="V613" s="271" t="str">
        <f>IFERROR(VLOOKUP($A613,GeneratingCapabilityList!$E$7:$O$1673,6,FALSE),"UNKNOWN")</f>
        <v>COGENERATION</v>
      </c>
      <c r="W613" s="271">
        <f>IFERROR(VLOOKUP($A613,GeneratingCapabilityList!$E$7:$O$1673,3,FALSE),"ID Not Found")</f>
        <v>52.43</v>
      </c>
      <c r="Y613" s="270"/>
    </row>
    <row r="614" spans="1:25">
      <c r="A614" s="241" t="s">
        <v>2952</v>
      </c>
      <c r="B614" s="241" t="s">
        <v>3361</v>
      </c>
      <c r="C614" s="241" t="s">
        <v>2953</v>
      </c>
      <c r="D614" s="242">
        <v>0.44</v>
      </c>
      <c r="E614" s="242">
        <v>0.47</v>
      </c>
      <c r="F614" s="242">
        <v>0.48</v>
      </c>
      <c r="G614" s="242">
        <v>0.45</v>
      </c>
      <c r="H614" s="242">
        <v>0.47</v>
      </c>
      <c r="I614" s="242">
        <v>0.37</v>
      </c>
      <c r="J614" s="242">
        <v>0.37</v>
      </c>
      <c r="K614" s="242">
        <v>0.23</v>
      </c>
      <c r="L614" s="242">
        <v>0.76</v>
      </c>
      <c r="M614" s="242">
        <v>0.73</v>
      </c>
      <c r="N614" s="242">
        <v>0.79</v>
      </c>
      <c r="O614" s="242">
        <v>0.6</v>
      </c>
      <c r="P614" s="241" t="s">
        <v>3345</v>
      </c>
      <c r="Q614" s="241" t="s">
        <v>3347</v>
      </c>
      <c r="R614" s="243" t="s">
        <v>4562</v>
      </c>
      <c r="S614" s="270">
        <f t="shared" si="21"/>
        <v>40448</v>
      </c>
      <c r="T614" s="270"/>
      <c r="U614" s="270">
        <f>IFERROR(VLOOKUP($A614,GeneratingCapabilityList!$E$7:$O$1673,11,FALSE),"ID Not Found")</f>
        <v>40448</v>
      </c>
      <c r="V614" s="271" t="str">
        <f>IFERROR(VLOOKUP($A614,GeneratingCapabilityList!$E$7:$O$1673,6,FALSE),"UNKNOWN")</f>
        <v>BIOMASS</v>
      </c>
      <c r="W614" s="271">
        <f>IFERROR(VLOOKUP($A614,GeneratingCapabilityList!$E$7:$O$1673,3,FALSE),"ID Not Found")</f>
        <v>1.42</v>
      </c>
      <c r="Y614" s="270"/>
    </row>
    <row r="615" spans="1:25">
      <c r="A615" s="245" t="s">
        <v>539</v>
      </c>
      <c r="B615" s="245" t="s">
        <v>3361</v>
      </c>
      <c r="C615" s="245" t="s">
        <v>3738</v>
      </c>
      <c r="D615" s="249">
        <v>0</v>
      </c>
      <c r="E615" s="249">
        <v>0</v>
      </c>
      <c r="F615" s="249">
        <v>0</v>
      </c>
      <c r="G615" s="249">
        <v>100.87820049133302</v>
      </c>
      <c r="H615" s="249">
        <v>81.299313226318361</v>
      </c>
      <c r="I615" s="249">
        <v>65.402935139465342</v>
      </c>
      <c r="J615" s="249">
        <v>32.745442739347133</v>
      </c>
      <c r="K615" s="249">
        <v>9.3306587963569463</v>
      </c>
      <c r="L615" s="249">
        <v>0</v>
      </c>
      <c r="M615" s="249">
        <v>0</v>
      </c>
      <c r="N615" s="249">
        <v>0</v>
      </c>
      <c r="O615" s="249">
        <v>0</v>
      </c>
      <c r="P615" s="245" t="s">
        <v>3345</v>
      </c>
      <c r="Q615" s="245" t="s">
        <v>3347</v>
      </c>
      <c r="R615" s="246" t="s">
        <v>4562</v>
      </c>
      <c r="S615" s="270">
        <f t="shared" ref="S615:S646" si="22">U615</f>
        <v>24473</v>
      </c>
      <c r="T615" s="270"/>
      <c r="U615" s="270">
        <f>IFERROR(VLOOKUP($A615,GeneratingCapabilityList!$E$7:$O$1673,11,FALSE),"ID Not Found")</f>
        <v>24473</v>
      </c>
      <c r="V615" s="271" t="str">
        <f>IFERROR(VLOOKUP($A615,GeneratingCapabilityList!$E$7:$O$1673,6,FALSE),"UNKNOWN")</f>
        <v>HYDRO</v>
      </c>
      <c r="W615" s="271">
        <f>IFERROR(VLOOKUP($A615,GeneratingCapabilityList!$E$7:$O$1673,3,FALSE),"ID Not Found")</f>
        <v>374.43</v>
      </c>
      <c r="Y615" s="270"/>
    </row>
    <row r="616" spans="1:25">
      <c r="A616" s="241" t="s">
        <v>870</v>
      </c>
      <c r="B616" s="241" t="s">
        <v>3375</v>
      </c>
      <c r="C616" s="241" t="s">
        <v>3739</v>
      </c>
      <c r="D616" s="242">
        <v>6.35</v>
      </c>
      <c r="E616" s="242">
        <v>6.63</v>
      </c>
      <c r="F616" s="242">
        <v>9.49</v>
      </c>
      <c r="G616" s="242">
        <v>12.01</v>
      </c>
      <c r="H616" s="242">
        <v>13</v>
      </c>
      <c r="I616" s="242">
        <v>13</v>
      </c>
      <c r="J616" s="242">
        <v>12.92</v>
      </c>
      <c r="K616" s="242">
        <v>10.36</v>
      </c>
      <c r="L616" s="242">
        <v>8.3000000000000007</v>
      </c>
      <c r="M616" s="242">
        <v>8</v>
      </c>
      <c r="N616" s="242">
        <v>7.85</v>
      </c>
      <c r="O616" s="242">
        <v>6.94</v>
      </c>
      <c r="P616" s="241" t="s">
        <v>3345</v>
      </c>
      <c r="Q616" s="241" t="s">
        <v>3347</v>
      </c>
      <c r="R616" s="243" t="s">
        <v>4561</v>
      </c>
      <c r="S616" s="270">
        <f t="shared" si="22"/>
        <v>30317</v>
      </c>
      <c r="T616" s="270"/>
      <c r="U616" s="270">
        <f>IFERROR(VLOOKUP($A616,GeneratingCapabilityList!$E$7:$O$1673,11,FALSE),"ID Not Found")</f>
        <v>30317</v>
      </c>
      <c r="V616" s="271" t="str">
        <f>IFERROR(VLOOKUP($A616,GeneratingCapabilityList!$E$7:$O$1673,6,FALSE),"UNKNOWN")</f>
        <v>HYDRO</v>
      </c>
      <c r="W616" s="271">
        <f>IFERROR(VLOOKUP($A616,GeneratingCapabilityList!$E$7:$O$1673,3,FALSE),"ID Not Found")</f>
        <v>13</v>
      </c>
      <c r="Y616" s="270"/>
    </row>
    <row r="617" spans="1:25">
      <c r="A617" s="241" t="s">
        <v>1855</v>
      </c>
      <c r="B617" s="241" t="s">
        <v>3361</v>
      </c>
      <c r="C617" s="241" t="s">
        <v>1856</v>
      </c>
      <c r="D617" s="242">
        <v>0</v>
      </c>
      <c r="E617" s="242">
        <v>0</v>
      </c>
      <c r="F617" s="242">
        <v>0</v>
      </c>
      <c r="G617" s="242">
        <v>0</v>
      </c>
      <c r="H617" s="242">
        <v>0</v>
      </c>
      <c r="I617" s="242">
        <v>0</v>
      </c>
      <c r="J617" s="242">
        <v>0</v>
      </c>
      <c r="K617" s="242">
        <v>0</v>
      </c>
      <c r="L617" s="242">
        <v>0</v>
      </c>
      <c r="M617" s="242">
        <v>0</v>
      </c>
      <c r="N617" s="242">
        <v>0</v>
      </c>
      <c r="O617" s="242">
        <v>0</v>
      </c>
      <c r="P617" s="241" t="s">
        <v>3345</v>
      </c>
      <c r="Q617" s="241" t="s">
        <v>3347</v>
      </c>
      <c r="R617" s="243" t="s">
        <v>4562</v>
      </c>
      <c r="S617" s="270">
        <f t="shared" si="22"/>
        <v>32680</v>
      </c>
      <c r="T617" s="270"/>
      <c r="U617" s="270">
        <f>IFERROR(VLOOKUP($A617,GeneratingCapabilityList!$E$7:$O$1673,11,FALSE),"ID Not Found")</f>
        <v>32680</v>
      </c>
      <c r="V617" s="271" t="str">
        <f>IFERROR(VLOOKUP($A617,GeneratingCapabilityList!$E$7:$O$1673,6,FALSE),"UNKNOWN")</f>
        <v>COGENERATION</v>
      </c>
      <c r="W617" s="271">
        <f>IFERROR(VLOOKUP($A617,GeneratingCapabilityList!$E$7:$O$1673,3,FALSE),"ID Not Found")</f>
        <v>8.1</v>
      </c>
      <c r="Y617" s="270"/>
    </row>
    <row r="618" spans="1:25">
      <c r="A618" s="241" t="s">
        <v>1682</v>
      </c>
      <c r="B618" s="241" t="s">
        <v>3361</v>
      </c>
      <c r="C618" s="241" t="s">
        <v>1234</v>
      </c>
      <c r="D618" s="242">
        <v>30.06</v>
      </c>
      <c r="E618" s="242">
        <v>32.79</v>
      </c>
      <c r="F618" s="242">
        <v>29.66</v>
      </c>
      <c r="G618" s="242">
        <v>20.28</v>
      </c>
      <c r="H618" s="242">
        <v>31.23</v>
      </c>
      <c r="I618" s="242">
        <v>32.729999999999997</v>
      </c>
      <c r="J618" s="242">
        <v>30.29</v>
      </c>
      <c r="K618" s="242">
        <v>33.020000000000003</v>
      </c>
      <c r="L618" s="242">
        <v>30.66</v>
      </c>
      <c r="M618" s="242">
        <v>31.51</v>
      </c>
      <c r="N618" s="242">
        <v>22.01</v>
      </c>
      <c r="O618" s="242">
        <v>30.35</v>
      </c>
      <c r="P618" s="241" t="s">
        <v>3345</v>
      </c>
      <c r="Q618" s="241" t="s">
        <v>3347</v>
      </c>
      <c r="R618" s="243" t="s">
        <v>4562</v>
      </c>
      <c r="S618" s="270">
        <f t="shared" si="22"/>
        <v>32252</v>
      </c>
      <c r="T618" s="270"/>
      <c r="U618" s="270">
        <f>IFERROR(VLOOKUP($A618,GeneratingCapabilityList!$E$7:$O$1673,11,FALSE),"ID Not Found")</f>
        <v>32252</v>
      </c>
      <c r="V618" s="271" t="str">
        <f>IFERROR(VLOOKUP($A618,GeneratingCapabilityList!$E$7:$O$1673,6,FALSE),"UNKNOWN")</f>
        <v>COGENERATION</v>
      </c>
      <c r="W618" s="271">
        <f>IFERROR(VLOOKUP($A618,GeneratingCapabilityList!$E$7:$O$1673,3,FALSE),"ID Not Found")</f>
        <v>56.9</v>
      </c>
      <c r="Y618" s="270"/>
    </row>
    <row r="619" spans="1:25">
      <c r="A619" s="241" t="s">
        <v>3003</v>
      </c>
      <c r="B619" s="241" t="s">
        <v>4579</v>
      </c>
      <c r="C619" s="241" t="s">
        <v>3004</v>
      </c>
      <c r="D619" s="242">
        <v>0.87</v>
      </c>
      <c r="E619" s="242">
        <v>0.86</v>
      </c>
      <c r="F619" s="242">
        <v>0.8</v>
      </c>
      <c r="G619" s="242">
        <v>0.76</v>
      </c>
      <c r="H619" s="242">
        <v>0.69</v>
      </c>
      <c r="I619" s="242">
        <v>0.67</v>
      </c>
      <c r="J619" s="242">
        <v>0.65</v>
      </c>
      <c r="K619" s="242">
        <v>0.65</v>
      </c>
      <c r="L619" s="242">
        <v>0.67</v>
      </c>
      <c r="M619" s="242">
        <v>0.63</v>
      </c>
      <c r="N619" s="242">
        <v>0.7</v>
      </c>
      <c r="O619" s="242">
        <v>0.72</v>
      </c>
      <c r="P619" s="241" t="s">
        <v>3352</v>
      </c>
      <c r="Q619" s="241" t="s">
        <v>3347</v>
      </c>
      <c r="R619" s="243" t="s">
        <v>4562</v>
      </c>
      <c r="S619" s="270">
        <f t="shared" si="22"/>
        <v>40683</v>
      </c>
      <c r="T619" s="270"/>
      <c r="U619" s="270">
        <f>IFERROR(VLOOKUP($A619,GeneratingCapabilityList!$E$7:$O$1673,11,FALSE),"ID Not Found")</f>
        <v>40683</v>
      </c>
      <c r="V619" s="271" t="str">
        <f>IFERROR(VLOOKUP($A619,GeneratingCapabilityList!$E$7:$O$1673,6,FALSE),"UNKNOWN")</f>
        <v>BIOMASS</v>
      </c>
      <c r="W619" s="271">
        <f>IFERROR(VLOOKUP($A619,GeneratingCapabilityList!$E$7:$O$1673,3,FALSE),"ID Not Found")</f>
        <v>1.5</v>
      </c>
      <c r="Y619" s="270"/>
    </row>
    <row r="620" spans="1:25">
      <c r="A620" s="241" t="s">
        <v>855</v>
      </c>
      <c r="B620" s="241" t="s">
        <v>3346</v>
      </c>
      <c r="C620" s="241" t="s">
        <v>3740</v>
      </c>
      <c r="D620" s="242">
        <v>37</v>
      </c>
      <c r="E620" s="242">
        <v>37</v>
      </c>
      <c r="F620" s="242">
        <v>37</v>
      </c>
      <c r="G620" s="242">
        <v>37</v>
      </c>
      <c r="H620" s="242">
        <v>37</v>
      </c>
      <c r="I620" s="242">
        <v>37</v>
      </c>
      <c r="J620" s="242">
        <v>37</v>
      </c>
      <c r="K620" s="242">
        <v>37</v>
      </c>
      <c r="L620" s="242">
        <v>37</v>
      </c>
      <c r="M620" s="242">
        <v>37</v>
      </c>
      <c r="N620" s="242">
        <v>37</v>
      </c>
      <c r="O620" s="242">
        <v>37</v>
      </c>
      <c r="P620" s="241" t="s">
        <v>3345</v>
      </c>
      <c r="Q620" s="241" t="s">
        <v>3347</v>
      </c>
      <c r="R620" s="243" t="s">
        <v>4562</v>
      </c>
      <c r="S620" s="270">
        <f t="shared" si="22"/>
        <v>30317</v>
      </c>
      <c r="T620" s="270"/>
      <c r="U620" s="270">
        <f>IFERROR(VLOOKUP($A620,GeneratingCapabilityList!$E$7:$O$1673,11,FALSE),"ID Not Found")</f>
        <v>30317</v>
      </c>
      <c r="V620" s="271" t="str">
        <f>IFERROR(VLOOKUP($A620,GeneratingCapabilityList!$E$7:$O$1673,6,FALSE),"UNKNOWN")</f>
        <v>GEOTHERMAL</v>
      </c>
      <c r="W620" s="271">
        <f>IFERROR(VLOOKUP($A620,GeneratingCapabilityList!$E$7:$O$1673,3,FALSE),"ID Not Found")</f>
        <v>53</v>
      </c>
      <c r="Y620" s="270"/>
    </row>
    <row r="621" spans="1:25">
      <c r="A621" s="241" t="s">
        <v>2010</v>
      </c>
      <c r="B621" s="241" t="s">
        <v>3328</v>
      </c>
      <c r="C621" s="241" t="s">
        <v>3741</v>
      </c>
      <c r="D621" s="242">
        <v>32.46</v>
      </c>
      <c r="E621" s="242">
        <v>32.26</v>
      </c>
      <c r="F621" s="242">
        <v>19.36</v>
      </c>
      <c r="G621" s="242">
        <v>23.98</v>
      </c>
      <c r="H621" s="242">
        <v>26.66</v>
      </c>
      <c r="I621" s="242">
        <v>35.17</v>
      </c>
      <c r="J621" s="242">
        <v>32.56</v>
      </c>
      <c r="K621" s="242">
        <v>35.700000000000003</v>
      </c>
      <c r="L621" s="242">
        <v>30.84</v>
      </c>
      <c r="M621" s="242">
        <v>34.1</v>
      </c>
      <c r="N621" s="242">
        <v>32.47</v>
      </c>
      <c r="O621" s="242">
        <v>34.11</v>
      </c>
      <c r="P621" s="241" t="s">
        <v>3352</v>
      </c>
      <c r="Q621" s="241" t="s">
        <v>3347</v>
      </c>
      <c r="R621" s="243" t="s">
        <v>4562</v>
      </c>
      <c r="S621" s="270">
        <f t="shared" si="22"/>
        <v>32976</v>
      </c>
      <c r="T621" s="270"/>
      <c r="U621" s="270">
        <f>IFERROR(VLOOKUP($A621,GeneratingCapabilityList!$E$7:$O$1673,11,FALSE),"ID Not Found")</f>
        <v>32976</v>
      </c>
      <c r="V621" s="271" t="str">
        <f>IFERROR(VLOOKUP($A621,GeneratingCapabilityList!$E$7:$O$1673,6,FALSE),"UNKNOWN")</f>
        <v>COGENERATION</v>
      </c>
      <c r="W621" s="271">
        <f>IFERROR(VLOOKUP($A621,GeneratingCapabilityList!$E$7:$O$1673,3,FALSE),"ID Not Found")</f>
        <v>48.9</v>
      </c>
      <c r="Y621" s="270"/>
    </row>
    <row r="622" spans="1:25">
      <c r="A622" s="241" t="s">
        <v>2236</v>
      </c>
      <c r="B622" s="241" t="s">
        <v>3328</v>
      </c>
      <c r="C622" s="241" t="s">
        <v>3742</v>
      </c>
      <c r="D622" s="242">
        <v>46.49</v>
      </c>
      <c r="E622" s="242">
        <v>44.93</v>
      </c>
      <c r="F622" s="242">
        <v>47.21</v>
      </c>
      <c r="G622" s="242">
        <v>46.86</v>
      </c>
      <c r="H622" s="242">
        <v>45.27</v>
      </c>
      <c r="I622" s="242">
        <v>46.33</v>
      </c>
      <c r="J622" s="242">
        <v>46.7</v>
      </c>
      <c r="K622" s="242">
        <v>46.26</v>
      </c>
      <c r="L622" s="242">
        <v>45.38</v>
      </c>
      <c r="M622" s="242">
        <v>41.98</v>
      </c>
      <c r="N622" s="242">
        <v>46.35</v>
      </c>
      <c r="O622" s="242">
        <v>45.29</v>
      </c>
      <c r="P622" s="241" t="s">
        <v>3352</v>
      </c>
      <c r="Q622" s="241" t="s">
        <v>3347</v>
      </c>
      <c r="R622" s="243" t="s">
        <v>4562</v>
      </c>
      <c r="S622" s="270">
        <f t="shared" si="22"/>
        <v>36116</v>
      </c>
      <c r="T622" s="270"/>
      <c r="U622" s="270">
        <f>IFERROR(VLOOKUP($A622,GeneratingCapabilityList!$E$7:$O$1673,11,FALSE),"ID Not Found")</f>
        <v>36116</v>
      </c>
      <c r="V622" s="271" t="str">
        <f>IFERROR(VLOOKUP($A622,GeneratingCapabilityList!$E$7:$O$1673,6,FALSE),"UNKNOWN")</f>
        <v>COGENERATION</v>
      </c>
      <c r="W622" s="271">
        <f>IFERROR(VLOOKUP($A622,GeneratingCapabilityList!$E$7:$O$1673,3,FALSE),"ID Not Found")</f>
        <v>49.5</v>
      </c>
      <c r="Y622" s="270"/>
    </row>
    <row r="623" spans="1:25">
      <c r="A623" s="241" t="s">
        <v>1502</v>
      </c>
      <c r="B623" s="241" t="s">
        <v>3328</v>
      </c>
      <c r="C623" s="241" t="s">
        <v>3743</v>
      </c>
      <c r="D623" s="242">
        <v>0</v>
      </c>
      <c r="E623" s="242">
        <v>0</v>
      </c>
      <c r="F623" s="242">
        <v>0</v>
      </c>
      <c r="G623" s="242">
        <v>0</v>
      </c>
      <c r="H623" s="242">
        <v>0</v>
      </c>
      <c r="I623" s="242">
        <v>0</v>
      </c>
      <c r="J623" s="242">
        <v>0</v>
      </c>
      <c r="K623" s="242">
        <v>0</v>
      </c>
      <c r="L623" s="242">
        <v>0</v>
      </c>
      <c r="M623" s="242">
        <v>0</v>
      </c>
      <c r="N623" s="242">
        <v>0</v>
      </c>
      <c r="O623" s="242">
        <v>0</v>
      </c>
      <c r="P623" s="241" t="s">
        <v>3352</v>
      </c>
      <c r="Q623" s="241" t="s">
        <v>3347</v>
      </c>
      <c r="R623" s="243" t="s">
        <v>4562</v>
      </c>
      <c r="S623" s="270">
        <f t="shared" si="22"/>
        <v>31778</v>
      </c>
      <c r="T623" s="270"/>
      <c r="U623" s="270">
        <f>IFERROR(VLOOKUP($A623,GeneratingCapabilityList!$E$7:$O$1673,11,FALSE),"ID Not Found")</f>
        <v>31778</v>
      </c>
      <c r="V623" s="271" t="str">
        <f>IFERROR(VLOOKUP($A623,GeneratingCapabilityList!$E$7:$O$1673,6,FALSE),"UNKNOWN")</f>
        <v>VARIOUS</v>
      </c>
      <c r="W623" s="271">
        <f>IFERROR(VLOOKUP($A623,GeneratingCapabilityList!$E$7:$O$1673,3,FALSE),"ID Not Found")</f>
        <v>12.9</v>
      </c>
      <c r="Y623" s="270"/>
    </row>
    <row r="624" spans="1:25">
      <c r="A624" s="241" t="s">
        <v>1360</v>
      </c>
      <c r="B624" s="241" t="s">
        <v>3328</v>
      </c>
      <c r="C624" s="241" t="s">
        <v>3744</v>
      </c>
      <c r="D624" s="242">
        <v>12.17</v>
      </c>
      <c r="E624" s="242">
        <v>12.68</v>
      </c>
      <c r="F624" s="242">
        <v>11.58</v>
      </c>
      <c r="G624" s="242">
        <v>12.88</v>
      </c>
      <c r="H624" s="242">
        <v>13.38</v>
      </c>
      <c r="I624" s="242">
        <v>13.91</v>
      </c>
      <c r="J624" s="242">
        <v>13.63</v>
      </c>
      <c r="K624" s="242">
        <v>13.94</v>
      </c>
      <c r="L624" s="242">
        <v>13.02</v>
      </c>
      <c r="M624" s="242">
        <v>11.84</v>
      </c>
      <c r="N624" s="242">
        <v>10.84</v>
      </c>
      <c r="O624" s="242">
        <v>11.46</v>
      </c>
      <c r="P624" s="241" t="s">
        <v>3352</v>
      </c>
      <c r="Q624" s="241" t="s">
        <v>3347</v>
      </c>
      <c r="R624" s="243" t="s">
        <v>4562</v>
      </c>
      <c r="S624" s="270">
        <f t="shared" si="22"/>
        <v>31485</v>
      </c>
      <c r="T624" s="270"/>
      <c r="U624" s="270">
        <f>IFERROR(VLOOKUP($A624,GeneratingCapabilityList!$E$7:$O$1673,11,FALSE),"ID Not Found")</f>
        <v>31485</v>
      </c>
      <c r="V624" s="271" t="str">
        <f>IFERROR(VLOOKUP($A624,GeneratingCapabilityList!$E$7:$O$1673,6,FALSE),"UNKNOWN")</f>
        <v>COGENERATION</v>
      </c>
      <c r="W624" s="271">
        <f>IFERROR(VLOOKUP($A624,GeneratingCapabilityList!$E$7:$O$1673,3,FALSE),"ID Not Found")</f>
        <v>27.81</v>
      </c>
      <c r="Y624" s="270"/>
    </row>
    <row r="625" spans="1:25">
      <c r="A625" s="241" t="s">
        <v>1393</v>
      </c>
      <c r="B625" s="241" t="s">
        <v>3373</v>
      </c>
      <c r="C625" s="241" t="s">
        <v>3745</v>
      </c>
      <c r="D625" s="242">
        <v>7.58</v>
      </c>
      <c r="E625" s="242">
        <v>5.93</v>
      </c>
      <c r="F625" s="242">
        <v>7.16</v>
      </c>
      <c r="G625" s="242">
        <v>9.3800000000000008</v>
      </c>
      <c r="H625" s="242">
        <v>13.4</v>
      </c>
      <c r="I625" s="242">
        <v>14.02</v>
      </c>
      <c r="J625" s="242">
        <v>13.78</v>
      </c>
      <c r="K625" s="242">
        <v>13.11</v>
      </c>
      <c r="L625" s="242">
        <v>12.55</v>
      </c>
      <c r="M625" s="242">
        <v>9.14</v>
      </c>
      <c r="N625" s="242">
        <v>7.9</v>
      </c>
      <c r="O625" s="242">
        <v>10.02</v>
      </c>
      <c r="P625" s="241" t="s">
        <v>3345</v>
      </c>
      <c r="Q625" s="241" t="s">
        <v>3347</v>
      </c>
      <c r="R625" s="243" t="s">
        <v>4562</v>
      </c>
      <c r="S625" s="270">
        <f t="shared" si="22"/>
        <v>31551</v>
      </c>
      <c r="T625" s="270"/>
      <c r="U625" s="270">
        <f>IFERROR(VLOOKUP($A625,GeneratingCapabilityList!$E$7:$O$1673,11,FALSE),"ID Not Found")</f>
        <v>31551</v>
      </c>
      <c r="V625" s="271" t="str">
        <f>IFERROR(VLOOKUP($A625,GeneratingCapabilityList!$E$7:$O$1673,6,FALSE),"UNKNOWN")</f>
        <v>HYDRO</v>
      </c>
      <c r="W625" s="271">
        <f>IFERROR(VLOOKUP($A625,GeneratingCapabilityList!$E$7:$O$1673,3,FALSE),"ID Not Found")</f>
        <v>18.600000000000001</v>
      </c>
      <c r="Y625" s="270"/>
    </row>
    <row r="626" spans="1:25">
      <c r="A626" s="241" t="s">
        <v>2139</v>
      </c>
      <c r="B626" s="241" t="s">
        <v>3346</v>
      </c>
      <c r="C626" s="241" t="s">
        <v>3746</v>
      </c>
      <c r="D626" s="242">
        <v>4.33</v>
      </c>
      <c r="E626" s="242">
        <v>4.54</v>
      </c>
      <c r="F626" s="242">
        <v>4.7699999999999996</v>
      </c>
      <c r="G626" s="242">
        <v>4.6100000000000003</v>
      </c>
      <c r="H626" s="242">
        <v>4.63</v>
      </c>
      <c r="I626" s="242">
        <v>4.55</v>
      </c>
      <c r="J626" s="242">
        <v>4.1900000000000004</v>
      </c>
      <c r="K626" s="242">
        <v>4.1399999999999997</v>
      </c>
      <c r="L626" s="242">
        <v>4</v>
      </c>
      <c r="M626" s="242">
        <v>3.99</v>
      </c>
      <c r="N626" s="242">
        <v>4.05</v>
      </c>
      <c r="O626" s="242">
        <v>4.13</v>
      </c>
      <c r="P626" s="241" t="s">
        <v>3345</v>
      </c>
      <c r="Q626" s="241" t="s">
        <v>3347</v>
      </c>
      <c r="R626" s="243" t="s">
        <v>4562</v>
      </c>
      <c r="S626" s="270">
        <f t="shared" si="22"/>
        <v>34089</v>
      </c>
      <c r="T626" s="270"/>
      <c r="U626" s="270">
        <f>IFERROR(VLOOKUP($A626,GeneratingCapabilityList!$E$7:$O$1673,11,FALSE),"ID Not Found")</f>
        <v>34089</v>
      </c>
      <c r="V626" s="271" t="str">
        <f>IFERROR(VLOOKUP($A626,GeneratingCapabilityList!$E$7:$O$1673,6,FALSE),"UNKNOWN")</f>
        <v>BIOMASS</v>
      </c>
      <c r="W626" s="271">
        <f>IFERROR(VLOOKUP($A626,GeneratingCapabilityList!$E$7:$O$1673,3,FALSE),"ID Not Found")</f>
        <v>7.5</v>
      </c>
      <c r="Y626" s="270"/>
    </row>
    <row r="627" spans="1:25">
      <c r="A627" s="241" t="s">
        <v>742</v>
      </c>
      <c r="B627" s="241" t="s">
        <v>3361</v>
      </c>
      <c r="C627" s="241" t="s">
        <v>3747</v>
      </c>
      <c r="D627" s="242">
        <v>5.43</v>
      </c>
      <c r="E627" s="242">
        <v>5.36</v>
      </c>
      <c r="F627" s="242">
        <v>6.31</v>
      </c>
      <c r="G627" s="242">
        <v>5.86</v>
      </c>
      <c r="H627" s="242">
        <v>6.71</v>
      </c>
      <c r="I627" s="242">
        <v>5.92</v>
      </c>
      <c r="J627" s="242">
        <v>5.19</v>
      </c>
      <c r="K627" s="242">
        <v>4.4000000000000004</v>
      </c>
      <c r="L627" s="242">
        <v>3.81</v>
      </c>
      <c r="M627" s="242">
        <v>4.2</v>
      </c>
      <c r="N627" s="242">
        <v>4.3899999999999997</v>
      </c>
      <c r="O627" s="242">
        <v>5.33</v>
      </c>
      <c r="P627" s="241" t="s">
        <v>3345</v>
      </c>
      <c r="Q627" s="241" t="s">
        <v>3347</v>
      </c>
      <c r="R627" s="243" t="s">
        <v>4561</v>
      </c>
      <c r="S627" s="270">
        <f t="shared" si="22"/>
        <v>28856</v>
      </c>
      <c r="T627" s="270"/>
      <c r="U627" s="270">
        <f>IFERROR(VLOOKUP($A627,GeneratingCapabilityList!$E$7:$O$1673,11,FALSE),"ID Not Found")</f>
        <v>28856</v>
      </c>
      <c r="V627" s="271" t="str">
        <f>IFERROR(VLOOKUP($A627,GeneratingCapabilityList!$E$7:$O$1673,6,FALSE),"UNKNOWN")</f>
        <v>HYDRO</v>
      </c>
      <c r="W627" s="271">
        <f>IFERROR(VLOOKUP($A627,GeneratingCapabilityList!$E$7:$O$1673,3,FALSE),"ID Not Found")</f>
        <v>7.1</v>
      </c>
      <c r="Y627" s="270"/>
    </row>
    <row r="628" spans="1:25">
      <c r="A628" s="241" t="s">
        <v>256</v>
      </c>
      <c r="B628" s="241" t="s">
        <v>3375</v>
      </c>
      <c r="C628" s="241" t="s">
        <v>3748</v>
      </c>
      <c r="D628" s="242">
        <v>2.67</v>
      </c>
      <c r="E628" s="242">
        <v>2.57</v>
      </c>
      <c r="F628" s="242">
        <v>3.75</v>
      </c>
      <c r="G628" s="242">
        <v>5.44</v>
      </c>
      <c r="H628" s="242">
        <v>5.73</v>
      </c>
      <c r="I628" s="242">
        <v>5.52</v>
      </c>
      <c r="J628" s="242">
        <v>5.39</v>
      </c>
      <c r="K628" s="242">
        <v>6.12</v>
      </c>
      <c r="L628" s="242">
        <v>5.67</v>
      </c>
      <c r="M628" s="242">
        <v>4.46</v>
      </c>
      <c r="N628" s="242">
        <v>3.15</v>
      </c>
      <c r="O628" s="242">
        <v>3.24</v>
      </c>
      <c r="P628" s="241" t="s">
        <v>3345</v>
      </c>
      <c r="Q628" s="241" t="s">
        <v>3347</v>
      </c>
      <c r="R628" s="243" t="s">
        <v>4561</v>
      </c>
      <c r="S628" s="270">
        <f t="shared" si="22"/>
        <v>10228</v>
      </c>
      <c r="T628" s="270"/>
      <c r="U628" s="270">
        <f>IFERROR(VLOOKUP($A628,GeneratingCapabilityList!$E$7:$O$1673,11,FALSE),"ID Not Found")</f>
        <v>10228</v>
      </c>
      <c r="V628" s="271" t="str">
        <f>IFERROR(VLOOKUP($A628,GeneratingCapabilityList!$E$7:$O$1673,6,FALSE),"UNKNOWN")</f>
        <v>HYDRO</v>
      </c>
      <c r="W628" s="271">
        <f>IFERROR(VLOOKUP($A628,GeneratingCapabilityList!$E$7:$O$1673,3,FALSE),"ID Not Found")</f>
        <v>6.5</v>
      </c>
      <c r="Y628" s="270"/>
    </row>
    <row r="629" spans="1:25">
      <c r="A629" s="241" t="s">
        <v>263</v>
      </c>
      <c r="B629" s="241" t="s">
        <v>3375</v>
      </c>
      <c r="C629" s="241" t="s">
        <v>3749</v>
      </c>
      <c r="D629" s="242">
        <v>5.93</v>
      </c>
      <c r="E629" s="242">
        <v>6.14</v>
      </c>
      <c r="F629" s="242">
        <v>9.43</v>
      </c>
      <c r="G629" s="242">
        <v>11.12</v>
      </c>
      <c r="H629" s="242">
        <v>11.4</v>
      </c>
      <c r="I629" s="242">
        <v>11.4</v>
      </c>
      <c r="J629" s="242">
        <v>11.4</v>
      </c>
      <c r="K629" s="242">
        <v>9.91</v>
      </c>
      <c r="L629" s="242">
        <v>7.73</v>
      </c>
      <c r="M629" s="242">
        <v>9.06</v>
      </c>
      <c r="N629" s="242">
        <v>9.5399999999999991</v>
      </c>
      <c r="O629" s="242">
        <v>7.93</v>
      </c>
      <c r="P629" s="241" t="s">
        <v>3345</v>
      </c>
      <c r="Q629" s="241" t="s">
        <v>3347</v>
      </c>
      <c r="R629" s="243" t="s">
        <v>4561</v>
      </c>
      <c r="S629" s="270">
        <f t="shared" si="22"/>
        <v>10594</v>
      </c>
      <c r="T629" s="270"/>
      <c r="U629" s="270">
        <f>IFERROR(VLOOKUP($A629,GeneratingCapabilityList!$E$7:$O$1673,11,FALSE),"ID Not Found")</f>
        <v>10594</v>
      </c>
      <c r="V629" s="271" t="str">
        <f>IFERROR(VLOOKUP($A629,GeneratingCapabilityList!$E$7:$O$1673,6,FALSE),"UNKNOWN")</f>
        <v>HYDRO</v>
      </c>
      <c r="W629" s="271">
        <f>IFERROR(VLOOKUP($A629,GeneratingCapabilityList!$E$7:$O$1673,3,FALSE),"ID Not Found")</f>
        <v>11.4</v>
      </c>
      <c r="Y629" s="270"/>
    </row>
    <row r="630" spans="1:25">
      <c r="A630" s="241" t="s">
        <v>1316</v>
      </c>
      <c r="B630" s="241" t="s">
        <v>3361</v>
      </c>
      <c r="C630" s="241" t="s">
        <v>3750</v>
      </c>
      <c r="D630" s="242">
        <v>10.08</v>
      </c>
      <c r="E630" s="242">
        <v>10.56</v>
      </c>
      <c r="F630" s="242">
        <v>10.31</v>
      </c>
      <c r="G630" s="242">
        <v>8.9600000000000009</v>
      </c>
      <c r="H630" s="242">
        <v>9.6999999999999993</v>
      </c>
      <c r="I630" s="242">
        <v>12.95</v>
      </c>
      <c r="J630" s="242">
        <v>12.93</v>
      </c>
      <c r="K630" s="242">
        <v>12.94</v>
      </c>
      <c r="L630" s="242">
        <v>11.13</v>
      </c>
      <c r="M630" s="242">
        <v>8.8699999999999992</v>
      </c>
      <c r="N630" s="242">
        <v>10.66</v>
      </c>
      <c r="O630" s="242">
        <v>10.88</v>
      </c>
      <c r="P630" s="241" t="s">
        <v>3345</v>
      </c>
      <c r="Q630" s="241" t="s">
        <v>3347</v>
      </c>
      <c r="R630" s="243" t="s">
        <v>4562</v>
      </c>
      <c r="S630" s="270">
        <f t="shared" si="22"/>
        <v>31413</v>
      </c>
      <c r="T630" s="270"/>
      <c r="U630" s="270">
        <f>IFERROR(VLOOKUP($A630,GeneratingCapabilityList!$E$7:$O$1673,11,FALSE),"ID Not Found")</f>
        <v>31413</v>
      </c>
      <c r="V630" s="271" t="str">
        <f>IFERROR(VLOOKUP($A630,GeneratingCapabilityList!$E$7:$O$1673,6,FALSE),"UNKNOWN")</f>
        <v>BIOMASS</v>
      </c>
      <c r="W630" s="271">
        <f>IFERROR(VLOOKUP($A630,GeneratingCapabilityList!$E$7:$O$1673,3,FALSE),"ID Not Found")</f>
        <v>22</v>
      </c>
      <c r="Y630" s="270"/>
    </row>
    <row r="631" spans="1:25">
      <c r="A631" s="241" t="s">
        <v>1997</v>
      </c>
      <c r="B631" s="241" t="s">
        <v>3361</v>
      </c>
      <c r="C631" s="241" t="s">
        <v>1997</v>
      </c>
      <c r="D631" s="242">
        <v>0.14000000000000001</v>
      </c>
      <c r="E631" s="242">
        <v>0.09</v>
      </c>
      <c r="F631" s="242">
        <v>1.28</v>
      </c>
      <c r="G631" s="242">
        <v>1.95</v>
      </c>
      <c r="H631" s="242">
        <v>2</v>
      </c>
      <c r="I631" s="242">
        <v>1.21</v>
      </c>
      <c r="J631" s="242">
        <v>0.04</v>
      </c>
      <c r="K631" s="242">
        <v>0</v>
      </c>
      <c r="L631" s="242">
        <v>0</v>
      </c>
      <c r="M631" s="242">
        <v>0.01</v>
      </c>
      <c r="N631" s="242">
        <v>0.04</v>
      </c>
      <c r="O631" s="242">
        <v>0.65</v>
      </c>
      <c r="P631" s="241" t="s">
        <v>3345</v>
      </c>
      <c r="Q631" s="241" t="s">
        <v>3347</v>
      </c>
      <c r="R631" s="243" t="s">
        <v>4562</v>
      </c>
      <c r="S631" s="270">
        <f t="shared" si="22"/>
        <v>32960</v>
      </c>
      <c r="T631" s="270"/>
      <c r="U631" s="270">
        <f>IFERROR(VLOOKUP($A631,GeneratingCapabilityList!$E$7:$O$1673,11,FALSE),"ID Not Found")</f>
        <v>32960</v>
      </c>
      <c r="V631" s="271" t="str">
        <f>IFERROR(VLOOKUP($A631,GeneratingCapabilityList!$E$7:$O$1673,6,FALSE),"UNKNOWN")</f>
        <v>HYDRO</v>
      </c>
      <c r="W631" s="271">
        <f>IFERROR(VLOOKUP($A631,GeneratingCapabilityList!$E$7:$O$1673,3,FALSE),"ID Not Found")</f>
        <v>3</v>
      </c>
      <c r="Y631" s="270"/>
    </row>
    <row r="632" spans="1:25">
      <c r="A632" s="241" t="s">
        <v>1398</v>
      </c>
      <c r="B632" s="241" t="s">
        <v>3375</v>
      </c>
      <c r="C632" s="241" t="s">
        <v>3751</v>
      </c>
      <c r="D632" s="242">
        <v>8.06</v>
      </c>
      <c r="E632" s="242">
        <v>7.9</v>
      </c>
      <c r="F632" s="242">
        <v>7.53</v>
      </c>
      <c r="G632" s="242">
        <v>7.27</v>
      </c>
      <c r="H632" s="242">
        <v>9.64</v>
      </c>
      <c r="I632" s="242">
        <v>9.5299999999999994</v>
      </c>
      <c r="J632" s="242">
        <v>9.69</v>
      </c>
      <c r="K632" s="242">
        <v>9.34</v>
      </c>
      <c r="L632" s="242">
        <v>8.92</v>
      </c>
      <c r="M632" s="242">
        <v>8.1199999999999992</v>
      </c>
      <c r="N632" s="242">
        <v>6.97</v>
      </c>
      <c r="O632" s="242">
        <v>7.78</v>
      </c>
      <c r="P632" s="241" t="s">
        <v>3345</v>
      </c>
      <c r="Q632" s="241" t="s">
        <v>3347</v>
      </c>
      <c r="R632" s="243" t="s">
        <v>4562</v>
      </c>
      <c r="S632" s="270">
        <f t="shared" si="22"/>
        <v>31566</v>
      </c>
      <c r="T632" s="270"/>
      <c r="U632" s="270">
        <f>IFERROR(VLOOKUP($A632,GeneratingCapabilityList!$E$7:$O$1673,11,FALSE),"ID Not Found")</f>
        <v>31566</v>
      </c>
      <c r="V632" s="271" t="str">
        <f>IFERROR(VLOOKUP($A632,GeneratingCapabilityList!$E$7:$O$1673,6,FALSE),"UNKNOWN")</f>
        <v>BIOMASS</v>
      </c>
      <c r="W632" s="271">
        <f>IFERROR(VLOOKUP($A632,GeneratingCapabilityList!$E$7:$O$1673,3,FALSE),"ID Not Found")</f>
        <v>17.2</v>
      </c>
      <c r="Y632" s="270"/>
    </row>
    <row r="633" spans="1:25">
      <c r="A633" s="241" t="s">
        <v>1430</v>
      </c>
      <c r="B633" s="241" t="s">
        <v>3361</v>
      </c>
      <c r="C633" s="241" t="s">
        <v>3752</v>
      </c>
      <c r="D633" s="242">
        <v>0.38</v>
      </c>
      <c r="E633" s="242">
        <v>0.41</v>
      </c>
      <c r="F633" s="242">
        <v>0.39</v>
      </c>
      <c r="G633" s="242">
        <v>0.38</v>
      </c>
      <c r="H633" s="242">
        <v>0.54</v>
      </c>
      <c r="I633" s="242">
        <v>0.53</v>
      </c>
      <c r="J633" s="242">
        <v>0.62</v>
      </c>
      <c r="K633" s="242">
        <v>0.5</v>
      </c>
      <c r="L633" s="242">
        <v>0.52</v>
      </c>
      <c r="M633" s="242">
        <v>0.41</v>
      </c>
      <c r="N633" s="242">
        <v>0.33</v>
      </c>
      <c r="O633" s="242">
        <v>0.43</v>
      </c>
      <c r="P633" s="241" t="s">
        <v>3345</v>
      </c>
      <c r="Q633" s="241" t="s">
        <v>3347</v>
      </c>
      <c r="R633" s="243" t="s">
        <v>4562</v>
      </c>
      <c r="S633" s="270">
        <f t="shared" si="22"/>
        <v>31720</v>
      </c>
      <c r="T633" s="270"/>
      <c r="U633" s="270">
        <f>IFERROR(VLOOKUP($A633,GeneratingCapabilityList!$E$7:$O$1673,11,FALSE),"ID Not Found")</f>
        <v>31720</v>
      </c>
      <c r="V633" s="271" t="str">
        <f>IFERROR(VLOOKUP($A633,GeneratingCapabilityList!$E$7:$O$1673,6,FALSE),"UNKNOWN")</f>
        <v>BIOMASS</v>
      </c>
      <c r="W633" s="271">
        <f>IFERROR(VLOOKUP($A633,GeneratingCapabilityList!$E$7:$O$1673,3,FALSE),"ID Not Found")</f>
        <v>5.7</v>
      </c>
      <c r="Y633" s="270"/>
    </row>
    <row r="634" spans="1:25">
      <c r="A634" s="259" t="s">
        <v>1940</v>
      </c>
      <c r="B634" s="250" t="s">
        <v>3361</v>
      </c>
      <c r="C634" s="250" t="s">
        <v>3753</v>
      </c>
      <c r="D634" s="281">
        <v>2.46100546953405</v>
      </c>
      <c r="E634" s="281">
        <v>0.93637034632034621</v>
      </c>
      <c r="F634" s="281">
        <v>1.3211087096774188</v>
      </c>
      <c r="G634" s="281">
        <v>1.4233826666666669</v>
      </c>
      <c r="H634" s="281">
        <v>1.8322846594982076</v>
      </c>
      <c r="I634" s="281">
        <v>2.6942443703703702</v>
      </c>
      <c r="J634" s="281">
        <v>3.6412664157706094</v>
      </c>
      <c r="K634" s="281">
        <v>3.960253691756273</v>
      </c>
      <c r="L634" s="281">
        <v>4.3445271111111117</v>
      </c>
      <c r="M634" s="281">
        <v>2.3964147311827961</v>
      </c>
      <c r="N634" s="281">
        <v>2.7173959259259259</v>
      </c>
      <c r="O634" s="281">
        <v>1.7598322939068101</v>
      </c>
      <c r="P634" s="252" t="s">
        <v>3345</v>
      </c>
      <c r="Q634" s="252" t="s">
        <v>3347</v>
      </c>
      <c r="R634" s="253" t="s">
        <v>4561</v>
      </c>
      <c r="S634" s="270">
        <f t="shared" si="22"/>
        <v>32874</v>
      </c>
      <c r="T634" s="270"/>
      <c r="U634" s="270">
        <f>IFERROR(VLOOKUP($A634,GeneratingCapabilityList!$E$7:$O$1673,11,FALSE),"ID Not Found")</f>
        <v>32874</v>
      </c>
      <c r="V634" s="271" t="str">
        <f>IFERROR(VLOOKUP($A634,GeneratingCapabilityList!$E$7:$O$1673,6,FALSE),"UNKNOWN")</f>
        <v>HYDRO</v>
      </c>
      <c r="W634" s="271">
        <f>IFERROR(VLOOKUP($A634,GeneratingCapabilityList!$E$7:$O$1673,3,FALSE),"ID Not Found")</f>
        <v>6</v>
      </c>
      <c r="Y634" s="270"/>
    </row>
    <row r="635" spans="1:25">
      <c r="A635" s="241" t="s">
        <v>2321</v>
      </c>
      <c r="B635" s="241" t="s">
        <v>3373</v>
      </c>
      <c r="C635" s="241" t="s">
        <v>3754</v>
      </c>
      <c r="D635" s="242">
        <v>0.12</v>
      </c>
      <c r="E635" s="242">
        <v>0.49</v>
      </c>
      <c r="F635" s="242">
        <v>0.4</v>
      </c>
      <c r="G635" s="242">
        <v>0.39</v>
      </c>
      <c r="H635" s="242">
        <v>0.61</v>
      </c>
      <c r="I635" s="242">
        <v>0.56000000000000005</v>
      </c>
      <c r="J635" s="242">
        <v>0.71</v>
      </c>
      <c r="K635" s="242">
        <v>0.63</v>
      </c>
      <c r="L635" s="242">
        <v>0.82</v>
      </c>
      <c r="M635" s="242">
        <v>1.19</v>
      </c>
      <c r="N635" s="242">
        <v>1.3</v>
      </c>
      <c r="O635" s="242">
        <v>0.73</v>
      </c>
      <c r="P635" s="241" t="s">
        <v>3345</v>
      </c>
      <c r="Q635" s="241" t="s">
        <v>3347</v>
      </c>
      <c r="R635" s="243" t="s">
        <v>4562</v>
      </c>
      <c r="S635" s="270">
        <f t="shared" si="22"/>
        <v>37040</v>
      </c>
      <c r="T635" s="270"/>
      <c r="U635" s="270">
        <f>IFERROR(VLOOKUP($A635,GeneratingCapabilityList!$E$7:$O$1673,11,FALSE),"ID Not Found")</f>
        <v>37040</v>
      </c>
      <c r="V635" s="271" t="str">
        <f>IFERROR(VLOOKUP($A635,GeneratingCapabilityList!$E$7:$O$1673,6,FALSE),"UNKNOWN")</f>
        <v>BIOMASS</v>
      </c>
      <c r="W635" s="271">
        <f>IFERROR(VLOOKUP($A635,GeneratingCapabilityList!$E$7:$O$1673,3,FALSE),"ID Not Found")</f>
        <v>7.5</v>
      </c>
      <c r="Y635" s="270"/>
    </row>
    <row r="636" spans="1:25">
      <c r="A636" s="241" t="s">
        <v>905</v>
      </c>
      <c r="B636" s="241" t="s">
        <v>3361</v>
      </c>
      <c r="C636" s="241" t="s">
        <v>3755</v>
      </c>
      <c r="D636" s="242">
        <v>12.05</v>
      </c>
      <c r="E636" s="242">
        <v>13.78</v>
      </c>
      <c r="F636" s="242">
        <v>10.72</v>
      </c>
      <c r="G636" s="242">
        <v>7.25</v>
      </c>
      <c r="H636" s="242">
        <v>14.45</v>
      </c>
      <c r="I636" s="242">
        <v>18.36</v>
      </c>
      <c r="J636" s="242">
        <v>18.940000000000001</v>
      </c>
      <c r="K636" s="242">
        <v>18.100000000000001</v>
      </c>
      <c r="L636" s="242">
        <v>17.850000000000001</v>
      </c>
      <c r="M636" s="242">
        <v>17.79</v>
      </c>
      <c r="N636" s="242">
        <v>11.88</v>
      </c>
      <c r="O636" s="242">
        <v>17.690000000000001</v>
      </c>
      <c r="P636" s="241" t="s">
        <v>3345</v>
      </c>
      <c r="Q636" s="241" t="s">
        <v>3347</v>
      </c>
      <c r="R636" s="243" t="s">
        <v>4562</v>
      </c>
      <c r="S636" s="270">
        <f t="shared" si="22"/>
        <v>30330</v>
      </c>
      <c r="T636" s="270"/>
      <c r="U636" s="270">
        <f>IFERROR(VLOOKUP($A636,GeneratingCapabilityList!$E$7:$O$1673,11,FALSE),"ID Not Found")</f>
        <v>30330</v>
      </c>
      <c r="V636" s="271" t="str">
        <f>IFERROR(VLOOKUP($A636,GeneratingCapabilityList!$E$7:$O$1673,6,FALSE),"UNKNOWN")</f>
        <v>BIOMASS</v>
      </c>
      <c r="W636" s="271">
        <f>IFERROR(VLOOKUP($A636,GeneratingCapabilityList!$E$7:$O$1673,3,FALSE),"ID Not Found")</f>
        <v>22</v>
      </c>
      <c r="Y636" s="270"/>
    </row>
    <row r="637" spans="1:25">
      <c r="A637" s="241" t="s">
        <v>200</v>
      </c>
      <c r="B637" s="241" t="s">
        <v>3373</v>
      </c>
      <c r="C637" s="241" t="s">
        <v>3756</v>
      </c>
      <c r="D637" s="242">
        <v>4.32</v>
      </c>
      <c r="E637" s="242">
        <v>3.71</v>
      </c>
      <c r="F637" s="242">
        <v>3.9</v>
      </c>
      <c r="G637" s="242">
        <v>5.34</v>
      </c>
      <c r="H637" s="242">
        <v>6.24</v>
      </c>
      <c r="I637" s="242">
        <v>5.12</v>
      </c>
      <c r="J637" s="242">
        <v>3.04</v>
      </c>
      <c r="K637" s="242">
        <v>0.08</v>
      </c>
      <c r="L637" s="242">
        <v>2.7</v>
      </c>
      <c r="M637" s="242">
        <v>3.61</v>
      </c>
      <c r="N637" s="242">
        <v>4.49</v>
      </c>
      <c r="O637" s="242">
        <v>5.56</v>
      </c>
      <c r="P637" s="241" t="s">
        <v>3345</v>
      </c>
      <c r="Q637" s="241" t="s">
        <v>3347</v>
      </c>
      <c r="R637" s="243" t="s">
        <v>4561</v>
      </c>
      <c r="S637" s="270">
        <f t="shared" si="22"/>
        <v>7672</v>
      </c>
      <c r="T637" s="270"/>
      <c r="U637" s="270">
        <f>IFERROR(VLOOKUP($A637,GeneratingCapabilityList!$E$7:$O$1673,11,FALSE),"ID Not Found")</f>
        <v>7672</v>
      </c>
      <c r="V637" s="271" t="str">
        <f>IFERROR(VLOOKUP($A637,GeneratingCapabilityList!$E$7:$O$1673,6,FALSE),"UNKNOWN")</f>
        <v>HYDRO</v>
      </c>
      <c r="W637" s="271">
        <f>IFERROR(VLOOKUP($A637,GeneratingCapabilityList!$E$7:$O$1673,3,FALSE),"ID Not Found")</f>
        <v>7</v>
      </c>
      <c r="Y637" s="270"/>
    </row>
    <row r="638" spans="1:25">
      <c r="A638" s="241" t="s">
        <v>88</v>
      </c>
      <c r="B638" s="241" t="s">
        <v>3328</v>
      </c>
      <c r="C638" s="241" t="s">
        <v>3757</v>
      </c>
      <c r="D638" s="242">
        <v>0.22</v>
      </c>
      <c r="E638" s="242">
        <v>0.21</v>
      </c>
      <c r="F638" s="242">
        <v>0.35</v>
      </c>
      <c r="G638" s="242">
        <v>0.32</v>
      </c>
      <c r="H638" s="242">
        <v>0.45</v>
      </c>
      <c r="I638" s="242">
        <v>0.67</v>
      </c>
      <c r="J638" s="242">
        <v>0.46</v>
      </c>
      <c r="K638" s="242">
        <v>0.23</v>
      </c>
      <c r="L638" s="242">
        <v>0.01</v>
      </c>
      <c r="M638" s="242">
        <v>0.02</v>
      </c>
      <c r="N638" s="242">
        <v>0.02</v>
      </c>
      <c r="O638" s="242">
        <v>0.05</v>
      </c>
      <c r="P638" s="241" t="s">
        <v>3352</v>
      </c>
      <c r="Q638" s="241" t="s">
        <v>3347</v>
      </c>
      <c r="R638" s="243" t="s">
        <v>4562</v>
      </c>
      <c r="S638" s="270">
        <f t="shared" si="22"/>
        <v>3289</v>
      </c>
      <c r="T638" s="270"/>
      <c r="U638" s="270">
        <f>IFERROR(VLOOKUP($A638,GeneratingCapabilityList!$E$7:$O$1673,11,FALSE),"ID Not Found")</f>
        <v>3289</v>
      </c>
      <c r="V638" s="271" t="str">
        <f>IFERROR(VLOOKUP($A638,GeneratingCapabilityList!$E$7:$O$1673,6,FALSE),"UNKNOWN")</f>
        <v>VARIOUS</v>
      </c>
      <c r="W638" s="271">
        <f>IFERROR(VLOOKUP($A638,GeneratingCapabilityList!$E$7:$O$1673,3,FALSE),"ID Not Found")</f>
        <v>2.2999999999999998</v>
      </c>
      <c r="Y638" s="270"/>
    </row>
    <row r="639" spans="1:25">
      <c r="A639" s="241" t="s">
        <v>140</v>
      </c>
      <c r="B639" s="241" t="s">
        <v>3328</v>
      </c>
      <c r="C639" s="241" t="s">
        <v>3758</v>
      </c>
      <c r="D639" s="242">
        <v>2.61</v>
      </c>
      <c r="E639" s="242">
        <v>2.7</v>
      </c>
      <c r="F639" s="242">
        <v>4.5</v>
      </c>
      <c r="G639" s="242">
        <v>5.74</v>
      </c>
      <c r="H639" s="242">
        <v>5.74</v>
      </c>
      <c r="I639" s="242">
        <v>4.3099999999999996</v>
      </c>
      <c r="J639" s="242">
        <v>2.59</v>
      </c>
      <c r="K639" s="242">
        <v>0.59</v>
      </c>
      <c r="L639" s="242">
        <v>0.01</v>
      </c>
      <c r="M639" s="242">
        <v>-0.04</v>
      </c>
      <c r="N639" s="242">
        <v>0</v>
      </c>
      <c r="O639" s="242">
        <v>1.48</v>
      </c>
      <c r="P639" s="241" t="s">
        <v>3352</v>
      </c>
      <c r="Q639" s="241" t="s">
        <v>3347</v>
      </c>
      <c r="R639" s="243" t="s">
        <v>4561</v>
      </c>
      <c r="S639" s="270">
        <f t="shared" si="22"/>
        <v>5115</v>
      </c>
      <c r="T639" s="270"/>
      <c r="U639" s="270">
        <f>IFERROR(VLOOKUP($A639,GeneratingCapabilityList!$E$7:$O$1673,11,FALSE),"ID Not Found")</f>
        <v>5115</v>
      </c>
      <c r="V639" s="271" t="str">
        <f>IFERROR(VLOOKUP($A639,GeneratingCapabilityList!$E$7:$O$1673,6,FALSE),"UNKNOWN")</f>
        <v>HYDRO</v>
      </c>
      <c r="W639" s="271">
        <f>IFERROR(VLOOKUP($A639,GeneratingCapabilityList!$E$7:$O$1673,3,FALSE),"ID Not Found")</f>
        <v>6.4</v>
      </c>
      <c r="Y639" s="270"/>
    </row>
    <row r="640" spans="1:25">
      <c r="A640" s="241" t="s">
        <v>85</v>
      </c>
      <c r="B640" s="241" t="s">
        <v>3328</v>
      </c>
      <c r="C640" s="241" t="s">
        <v>3759</v>
      </c>
      <c r="D640" s="242">
        <v>1.43</v>
      </c>
      <c r="E640" s="242">
        <v>2.2999999999999998</v>
      </c>
      <c r="F640" s="242">
        <v>2.42</v>
      </c>
      <c r="G640" s="242">
        <v>2.4</v>
      </c>
      <c r="H640" s="242">
        <v>2.34</v>
      </c>
      <c r="I640" s="242">
        <v>1.89</v>
      </c>
      <c r="J640" s="242">
        <v>0.72</v>
      </c>
      <c r="K640" s="242">
        <v>0.41</v>
      </c>
      <c r="L640" s="242">
        <v>0.3</v>
      </c>
      <c r="M640" s="242">
        <v>0</v>
      </c>
      <c r="N640" s="242">
        <v>0.5</v>
      </c>
      <c r="O640" s="242">
        <v>0.65</v>
      </c>
      <c r="P640" s="241" t="s">
        <v>3352</v>
      </c>
      <c r="Q640" s="241" t="s">
        <v>3347</v>
      </c>
      <c r="R640" s="243" t="s">
        <v>4562</v>
      </c>
      <c r="S640" s="270">
        <f t="shared" si="22"/>
        <v>3289</v>
      </c>
      <c r="T640" s="270"/>
      <c r="U640" s="270">
        <f>IFERROR(VLOOKUP($A640,GeneratingCapabilityList!$E$7:$O$1673,11,FALSE),"ID Not Found")</f>
        <v>3289</v>
      </c>
      <c r="V640" s="271" t="str">
        <f>IFERROR(VLOOKUP($A640,GeneratingCapabilityList!$E$7:$O$1673,6,FALSE),"UNKNOWN")</f>
        <v>HYDRO</v>
      </c>
      <c r="W640" s="271">
        <f>IFERROR(VLOOKUP($A640,GeneratingCapabilityList!$E$7:$O$1673,3,FALSE),"ID Not Found")</f>
        <v>2.5</v>
      </c>
      <c r="Y640" s="270"/>
    </row>
    <row r="641" spans="1:25">
      <c r="A641" s="241" t="s">
        <v>1536</v>
      </c>
      <c r="B641" s="241" t="s">
        <v>3324</v>
      </c>
      <c r="C641" s="241" t="s">
        <v>1537</v>
      </c>
      <c r="D641" s="242">
        <v>0.98</v>
      </c>
      <c r="E641" s="242">
        <v>0.94</v>
      </c>
      <c r="F641" s="242">
        <v>0.97</v>
      </c>
      <c r="G641" s="242">
        <v>0.45</v>
      </c>
      <c r="H641" s="242">
        <v>1.17</v>
      </c>
      <c r="I641" s="242">
        <v>1.29</v>
      </c>
      <c r="J641" s="242">
        <v>1.18</v>
      </c>
      <c r="K641" s="242">
        <v>1.23</v>
      </c>
      <c r="L641" s="242">
        <v>1.1000000000000001</v>
      </c>
      <c r="M641" s="242">
        <v>0.9</v>
      </c>
      <c r="N641" s="242">
        <v>0.86</v>
      </c>
      <c r="O641" s="242">
        <v>1.02</v>
      </c>
      <c r="P641" s="241" t="s">
        <v>3345</v>
      </c>
      <c r="Q641" s="241" t="s">
        <v>3347</v>
      </c>
      <c r="R641" s="243" t="s">
        <v>4562</v>
      </c>
      <c r="S641" s="270">
        <f t="shared" si="22"/>
        <v>31846</v>
      </c>
      <c r="T641" s="270"/>
      <c r="U641" s="270">
        <f>IFERROR(VLOOKUP($A641,GeneratingCapabilityList!$E$7:$O$1673,11,FALSE),"ID Not Found")</f>
        <v>31846</v>
      </c>
      <c r="V641" s="271" t="str">
        <f>IFERROR(VLOOKUP($A641,GeneratingCapabilityList!$E$7:$O$1673,6,FALSE),"UNKNOWN")</f>
        <v>COGENERATION</v>
      </c>
      <c r="W641" s="271">
        <f>IFERROR(VLOOKUP($A641,GeneratingCapabilityList!$E$7:$O$1673,3,FALSE),"ID Not Found")</f>
        <v>6.9</v>
      </c>
      <c r="Y641" s="270"/>
    </row>
    <row r="642" spans="1:25">
      <c r="A642" s="241" t="s">
        <v>467</v>
      </c>
      <c r="B642" s="241" t="s">
        <v>3373</v>
      </c>
      <c r="C642" s="241" t="s">
        <v>3760</v>
      </c>
      <c r="D642" s="242">
        <v>91</v>
      </c>
      <c r="E642" s="242">
        <v>91</v>
      </c>
      <c r="F642" s="242">
        <v>91</v>
      </c>
      <c r="G642" s="242">
        <v>91</v>
      </c>
      <c r="H642" s="242">
        <v>91</v>
      </c>
      <c r="I642" s="242">
        <v>91</v>
      </c>
      <c r="J642" s="242">
        <v>91</v>
      </c>
      <c r="K642" s="242">
        <v>91</v>
      </c>
      <c r="L642" s="242">
        <v>91</v>
      </c>
      <c r="M642" s="242">
        <v>91</v>
      </c>
      <c r="N642" s="242">
        <v>91</v>
      </c>
      <c r="O642" s="242">
        <v>91</v>
      </c>
      <c r="P642" s="241" t="s">
        <v>3345</v>
      </c>
      <c r="Q642" s="241" t="s">
        <v>3347</v>
      </c>
      <c r="R642" s="243" t="s">
        <v>4561</v>
      </c>
      <c r="S642" s="270">
        <f t="shared" si="22"/>
        <v>23012</v>
      </c>
      <c r="T642" s="270"/>
      <c r="U642" s="270">
        <f>IFERROR(VLOOKUP($A642,GeneratingCapabilityList!$E$7:$O$1673,11,FALSE),"ID Not Found")</f>
        <v>23012</v>
      </c>
      <c r="V642" s="271" t="str">
        <f>IFERROR(VLOOKUP($A642,GeneratingCapabilityList!$E$7:$O$1673,6,FALSE),"UNKNOWN")</f>
        <v>HYDRO</v>
      </c>
      <c r="W642" s="271">
        <f>IFERROR(VLOOKUP($A642,GeneratingCapabilityList!$E$7:$O$1673,3,FALSE),"ID Not Found")</f>
        <v>91</v>
      </c>
      <c r="Y642" s="270"/>
    </row>
    <row r="643" spans="1:25">
      <c r="A643" s="241" t="s">
        <v>699</v>
      </c>
      <c r="B643" s="241" t="s">
        <v>3324</v>
      </c>
      <c r="C643" s="241" t="s">
        <v>700</v>
      </c>
      <c r="D643" s="242">
        <v>7.0000000000000007E-2</v>
      </c>
      <c r="E643" s="242">
        <v>0.01</v>
      </c>
      <c r="F643" s="242">
        <v>0.11</v>
      </c>
      <c r="G643" s="242">
        <v>0.18</v>
      </c>
      <c r="H643" s="242">
        <v>0.15</v>
      </c>
      <c r="I643" s="242">
        <v>7.0000000000000007E-2</v>
      </c>
      <c r="J643" s="242">
        <v>0.08</v>
      </c>
      <c r="K643" s="242">
        <v>0.03</v>
      </c>
      <c r="L643" s="242">
        <v>0.02</v>
      </c>
      <c r="M643" s="242">
        <v>0</v>
      </c>
      <c r="N643" s="242">
        <v>0.05</v>
      </c>
      <c r="O643" s="242">
        <v>0.06</v>
      </c>
      <c r="P643" s="241" t="s">
        <v>3345</v>
      </c>
      <c r="Q643" s="241" t="s">
        <v>3347</v>
      </c>
      <c r="R643" s="243" t="s">
        <v>4562</v>
      </c>
      <c r="S643" s="270">
        <f t="shared" si="22"/>
        <v>28277</v>
      </c>
      <c r="T643" s="270"/>
      <c r="U643" s="270">
        <f>IFERROR(VLOOKUP($A643,GeneratingCapabilityList!$E$7:$O$1673,11,FALSE),"ID Not Found")</f>
        <v>28277</v>
      </c>
      <c r="V643" s="271" t="str">
        <f>IFERROR(VLOOKUP($A643,GeneratingCapabilityList!$E$7:$O$1673,6,FALSE),"UNKNOWN")</f>
        <v>COGENERATION</v>
      </c>
      <c r="W643" s="271">
        <f>IFERROR(VLOOKUP($A643,GeneratingCapabilityList!$E$7:$O$1673,3,FALSE),"ID Not Found")</f>
        <v>4.5999999999999996</v>
      </c>
      <c r="Y643" s="270"/>
    </row>
    <row r="644" spans="1:25">
      <c r="A644" s="241" t="s">
        <v>2200</v>
      </c>
      <c r="B644" s="241" t="s">
        <v>3375</v>
      </c>
      <c r="C644" s="241" t="s">
        <v>3761</v>
      </c>
      <c r="D644" s="242">
        <v>49.5</v>
      </c>
      <c r="E644" s="242">
        <v>49.5</v>
      </c>
      <c r="F644" s="242">
        <v>49.5</v>
      </c>
      <c r="G644" s="242">
        <v>49.5</v>
      </c>
      <c r="H644" s="242">
        <v>49.5</v>
      </c>
      <c r="I644" s="242">
        <v>49.5</v>
      </c>
      <c r="J644" s="242">
        <v>49.5</v>
      </c>
      <c r="K644" s="242">
        <v>49.5</v>
      </c>
      <c r="L644" s="242">
        <v>49.5</v>
      </c>
      <c r="M644" s="242">
        <v>49.5</v>
      </c>
      <c r="N644" s="242">
        <v>49.5</v>
      </c>
      <c r="O644" s="242">
        <v>49.5</v>
      </c>
      <c r="P644" s="241" t="s">
        <v>3345</v>
      </c>
      <c r="Q644" s="241" t="s">
        <v>3347</v>
      </c>
      <c r="R644" s="243" t="s">
        <v>4561</v>
      </c>
      <c r="S644" s="270">
        <f t="shared" si="22"/>
        <v>35065</v>
      </c>
      <c r="T644" s="270"/>
      <c r="U644" s="270">
        <f>IFERROR(VLOOKUP($A644,GeneratingCapabilityList!$E$7:$O$1673,11,FALSE),"ID Not Found")</f>
        <v>35065</v>
      </c>
      <c r="V644" s="271" t="str">
        <f>IFERROR(VLOOKUP($A644,GeneratingCapabilityList!$E$7:$O$1673,6,FALSE),"UNKNOWN")</f>
        <v>PEAKER</v>
      </c>
      <c r="W644" s="271">
        <f>IFERROR(VLOOKUP($A644,GeneratingCapabilityList!$E$7:$O$1673,3,FALSE),"ID Not Found")</f>
        <v>49.9</v>
      </c>
      <c r="Y644" s="270"/>
    </row>
    <row r="645" spans="1:25">
      <c r="A645" s="241" t="s">
        <v>1727</v>
      </c>
      <c r="B645" s="241" t="s">
        <v>3373</v>
      </c>
      <c r="C645" s="241" t="s">
        <v>1728</v>
      </c>
      <c r="D645" s="242">
        <v>12.17</v>
      </c>
      <c r="E645" s="242">
        <v>10.199999999999999</v>
      </c>
      <c r="F645" s="242">
        <v>9.5</v>
      </c>
      <c r="G645" s="242">
        <v>7.88</v>
      </c>
      <c r="H645" s="242">
        <v>8.25</v>
      </c>
      <c r="I645" s="242">
        <v>9.34</v>
      </c>
      <c r="J645" s="242">
        <v>10.02</v>
      </c>
      <c r="K645" s="242">
        <v>10.1</v>
      </c>
      <c r="L645" s="242">
        <v>9.76</v>
      </c>
      <c r="M645" s="242">
        <v>11.37</v>
      </c>
      <c r="N645" s="242">
        <v>12.39</v>
      </c>
      <c r="O645" s="242">
        <v>14.98</v>
      </c>
      <c r="P645" s="241" t="s">
        <v>3345</v>
      </c>
      <c r="Q645" s="241" t="s">
        <v>3347</v>
      </c>
      <c r="R645" s="243" t="s">
        <v>4562</v>
      </c>
      <c r="S645" s="270">
        <f t="shared" si="22"/>
        <v>32392</v>
      </c>
      <c r="T645" s="270"/>
      <c r="U645" s="270">
        <f>IFERROR(VLOOKUP($A645,GeneratingCapabilityList!$E$7:$O$1673,11,FALSE),"ID Not Found")</f>
        <v>32392</v>
      </c>
      <c r="V645" s="271" t="str">
        <f>IFERROR(VLOOKUP($A645,GeneratingCapabilityList!$E$7:$O$1673,6,FALSE),"UNKNOWN")</f>
        <v>BIOMASS</v>
      </c>
      <c r="W645" s="271">
        <f>IFERROR(VLOOKUP($A645,GeneratingCapabilityList!$E$7:$O$1673,3,FALSE),"ID Not Found")</f>
        <v>22.3</v>
      </c>
      <c r="Y645" s="270"/>
    </row>
    <row r="646" spans="1:25">
      <c r="A646" s="241" t="s">
        <v>2115</v>
      </c>
      <c r="B646" s="241" t="s">
        <v>3324</v>
      </c>
      <c r="C646" s="241" t="s">
        <v>2116</v>
      </c>
      <c r="D646" s="242">
        <v>4.0599999999999996</v>
      </c>
      <c r="E646" s="242">
        <v>3.32</v>
      </c>
      <c r="F646" s="242">
        <v>5.13</v>
      </c>
      <c r="G646" s="242">
        <v>1.55</v>
      </c>
      <c r="H646" s="242">
        <v>0</v>
      </c>
      <c r="I646" s="242">
        <v>0.02</v>
      </c>
      <c r="J646" s="242">
        <v>0</v>
      </c>
      <c r="K646" s="242">
        <v>1.72</v>
      </c>
      <c r="L646" s="242">
        <v>1.81</v>
      </c>
      <c r="M646" s="242">
        <v>7.91</v>
      </c>
      <c r="N646" s="242">
        <v>8.2899999999999991</v>
      </c>
      <c r="O646" s="242">
        <v>5.73</v>
      </c>
      <c r="P646" s="241" t="s">
        <v>3345</v>
      </c>
      <c r="Q646" s="241" t="s">
        <v>3347</v>
      </c>
      <c r="R646" s="243" t="s">
        <v>4562</v>
      </c>
      <c r="S646" s="270">
        <f t="shared" si="22"/>
        <v>33847</v>
      </c>
      <c r="T646" s="270"/>
      <c r="U646" s="270">
        <f>IFERROR(VLOOKUP($A646,GeneratingCapabilityList!$E$7:$O$1673,11,FALSE),"ID Not Found")</f>
        <v>33847</v>
      </c>
      <c r="V646" s="271" t="str">
        <f>IFERROR(VLOOKUP($A646,GeneratingCapabilityList!$E$7:$O$1673,6,FALSE),"UNKNOWN")</f>
        <v>COGENERATION</v>
      </c>
      <c r="W646" s="271">
        <f>IFERROR(VLOOKUP($A646,GeneratingCapabilityList!$E$7:$O$1673,3,FALSE),"ID Not Found")</f>
        <v>113.9</v>
      </c>
      <c r="Y646" s="270"/>
    </row>
    <row r="647" spans="1:25">
      <c r="A647" s="241" t="s">
        <v>1182</v>
      </c>
      <c r="B647" s="241" t="s">
        <v>3349</v>
      </c>
      <c r="C647" s="241" t="s">
        <v>3762</v>
      </c>
      <c r="D647" s="242">
        <v>0</v>
      </c>
      <c r="E647" s="242">
        <v>0.02</v>
      </c>
      <c r="F647" s="242">
        <v>0.02</v>
      </c>
      <c r="G647" s="242">
        <v>0.77</v>
      </c>
      <c r="H647" s="242">
        <v>1.23</v>
      </c>
      <c r="I647" s="242">
        <v>1.42</v>
      </c>
      <c r="J647" s="242">
        <v>1.47</v>
      </c>
      <c r="K647" s="242">
        <v>0.91</v>
      </c>
      <c r="L647" s="242">
        <v>0.28999999999999998</v>
      </c>
      <c r="M647" s="242">
        <v>0.09</v>
      </c>
      <c r="N647" s="242">
        <v>0</v>
      </c>
      <c r="O647" s="242">
        <v>0</v>
      </c>
      <c r="P647" s="241" t="s">
        <v>3345</v>
      </c>
      <c r="Q647" s="241" t="s">
        <v>3347</v>
      </c>
      <c r="R647" s="243" t="s">
        <v>4562</v>
      </c>
      <c r="S647" s="270">
        <f t="shared" ref="S647:S678" si="23">U647</f>
        <v>31080</v>
      </c>
      <c r="T647" s="270"/>
      <c r="U647" s="270">
        <f>IFERROR(VLOOKUP($A647,GeneratingCapabilityList!$E$7:$O$1673,11,FALSE),"ID Not Found")</f>
        <v>31080</v>
      </c>
      <c r="V647" s="271" t="str">
        <f>IFERROR(VLOOKUP($A647,GeneratingCapabilityList!$E$7:$O$1673,6,FALSE),"UNKNOWN")</f>
        <v>HYDRO</v>
      </c>
      <c r="W647" s="271">
        <f>IFERROR(VLOOKUP($A647,GeneratingCapabilityList!$E$7:$O$1673,3,FALSE),"ID Not Found")</f>
        <v>3.75</v>
      </c>
      <c r="Y647" s="270"/>
    </row>
    <row r="648" spans="1:25">
      <c r="A648" s="241" t="s">
        <v>3046</v>
      </c>
      <c r="B648" s="241" t="s">
        <v>3349</v>
      </c>
      <c r="C648" s="241" t="s">
        <v>3047</v>
      </c>
      <c r="D648" s="249" t="s">
        <v>4573</v>
      </c>
      <c r="E648" s="249" t="s">
        <v>4573</v>
      </c>
      <c r="F648" s="249" t="s">
        <v>4573</v>
      </c>
      <c r="G648" s="249" t="s">
        <v>4573</v>
      </c>
      <c r="H648" s="249" t="s">
        <v>4573</v>
      </c>
      <c r="I648" s="249" t="s">
        <v>4573</v>
      </c>
      <c r="J648" s="249" t="s">
        <v>4573</v>
      </c>
      <c r="K648" s="249" t="s">
        <v>4573</v>
      </c>
      <c r="L648" s="249" t="s">
        <v>4573</v>
      </c>
      <c r="M648" s="249" t="s">
        <v>4573</v>
      </c>
      <c r="N648" s="249" t="s">
        <v>4573</v>
      </c>
      <c r="O648" s="249" t="s">
        <v>4573</v>
      </c>
      <c r="P648" s="241" t="s">
        <v>3345</v>
      </c>
      <c r="Q648" s="241" t="s">
        <v>3385</v>
      </c>
      <c r="R648" s="246" t="s">
        <v>4561</v>
      </c>
      <c r="S648" s="270">
        <f t="shared" si="23"/>
        <v>40820</v>
      </c>
      <c r="T648" s="270"/>
      <c r="U648" s="270">
        <f>IFERROR(VLOOKUP($A648,GeneratingCapabilityList!$E$7:$O$1673,11,FALSE),"ID Not Found")</f>
        <v>40820</v>
      </c>
      <c r="V648" s="271" t="str">
        <f>IFERROR(VLOOKUP($A648,GeneratingCapabilityList!$E$7:$O$1673,6,FALSE),"UNKNOWN")</f>
        <v>SOLAR</v>
      </c>
      <c r="W648" s="271">
        <f>IFERROR(VLOOKUP($A648,GeneratingCapabilityList!$E$7:$O$1673,3,FALSE),"ID Not Found")</f>
        <v>20</v>
      </c>
      <c r="Y648" s="270"/>
    </row>
    <row r="649" spans="1:25">
      <c r="A649" s="245" t="s">
        <v>2324</v>
      </c>
      <c r="B649" s="247" t="s">
        <v>3361</v>
      </c>
      <c r="C649" s="245" t="s">
        <v>3763</v>
      </c>
      <c r="D649" s="249">
        <v>586.02</v>
      </c>
      <c r="E649" s="249">
        <v>586.02</v>
      </c>
      <c r="F649" s="249">
        <v>586.02</v>
      </c>
      <c r="G649" s="249">
        <v>586.02</v>
      </c>
      <c r="H649" s="249">
        <v>586.02</v>
      </c>
      <c r="I649" s="249">
        <v>586.02</v>
      </c>
      <c r="J649" s="249">
        <v>586.02</v>
      </c>
      <c r="K649" s="249">
        <v>586.02</v>
      </c>
      <c r="L649" s="249">
        <v>586.02</v>
      </c>
      <c r="M649" s="249">
        <v>586.02</v>
      </c>
      <c r="N649" s="249">
        <v>586.02</v>
      </c>
      <c r="O649" s="249">
        <v>586.02</v>
      </c>
      <c r="P649" s="245" t="s">
        <v>3345</v>
      </c>
      <c r="Q649" s="245" t="s">
        <v>3347</v>
      </c>
      <c r="R649" s="246" t="s">
        <v>4561</v>
      </c>
      <c r="S649" s="270">
        <f t="shared" si="23"/>
        <v>37049</v>
      </c>
      <c r="T649" s="270"/>
      <c r="U649" s="270">
        <f>IFERROR(VLOOKUP($A649,GeneratingCapabilityList!$E$7:$O$1673,11,FALSE),"ID Not Found")</f>
        <v>37049</v>
      </c>
      <c r="V649" s="271" t="str">
        <f>IFERROR(VLOOKUP($A649,GeneratingCapabilityList!$E$7:$O$1673,6,FALSE),"UNKNOWN")</f>
        <v>THERMAL</v>
      </c>
      <c r="W649" s="271">
        <f>IFERROR(VLOOKUP($A649,GeneratingCapabilityList!$E$7:$O$1673,3,FALSE),"ID Not Found")</f>
        <v>590</v>
      </c>
      <c r="Y649" s="270"/>
    </row>
    <row r="650" spans="1:25">
      <c r="A650" s="241" t="s">
        <v>1893</v>
      </c>
      <c r="B650" s="241" t="s">
        <v>3361</v>
      </c>
      <c r="C650" s="241" t="s">
        <v>3764</v>
      </c>
      <c r="D650" s="242">
        <v>168.47</v>
      </c>
      <c r="E650" s="242">
        <v>151.57</v>
      </c>
      <c r="F650" s="242">
        <v>160.38999999999999</v>
      </c>
      <c r="G650" s="242">
        <v>168.55</v>
      </c>
      <c r="H650" s="242">
        <v>163.35</v>
      </c>
      <c r="I650" s="242">
        <v>163.08000000000001</v>
      </c>
      <c r="J650" s="242">
        <v>159.86000000000001</v>
      </c>
      <c r="K650" s="242">
        <v>159.27000000000001</v>
      </c>
      <c r="L650" s="242">
        <v>162.32</v>
      </c>
      <c r="M650" s="242">
        <v>164.97</v>
      </c>
      <c r="N650" s="242">
        <v>148.87</v>
      </c>
      <c r="O650" s="242">
        <v>150.35</v>
      </c>
      <c r="P650" s="241" t="s">
        <v>3345</v>
      </c>
      <c r="Q650" s="241" t="s">
        <v>3347</v>
      </c>
      <c r="R650" s="243" t="s">
        <v>4562</v>
      </c>
      <c r="S650" s="270">
        <f t="shared" si="23"/>
        <v>32860</v>
      </c>
      <c r="T650" s="270"/>
      <c r="U650" s="270">
        <f>IFERROR(VLOOKUP($A650,GeneratingCapabilityList!$E$7:$O$1673,11,FALSE),"ID Not Found")</f>
        <v>32860</v>
      </c>
      <c r="V650" s="271" t="str">
        <f>IFERROR(VLOOKUP($A650,GeneratingCapabilityList!$E$7:$O$1673,6,FALSE),"UNKNOWN")</f>
        <v>COGENERATION</v>
      </c>
      <c r="W650" s="271">
        <f>IFERROR(VLOOKUP($A650,GeneratingCapabilityList!$E$7:$O$1673,3,FALSE),"ID Not Found")</f>
        <v>240</v>
      </c>
      <c r="Y650" s="270"/>
    </row>
    <row r="651" spans="1:25">
      <c r="A651" s="241" t="s">
        <v>2307</v>
      </c>
      <c r="B651" s="241" t="s">
        <v>3361</v>
      </c>
      <c r="C651" s="241" t="s">
        <v>3765</v>
      </c>
      <c r="D651" s="242">
        <v>525</v>
      </c>
      <c r="E651" s="242">
        <v>525</v>
      </c>
      <c r="F651" s="242">
        <v>525</v>
      </c>
      <c r="G651" s="242">
        <v>525</v>
      </c>
      <c r="H651" s="242">
        <v>525</v>
      </c>
      <c r="I651" s="242">
        <v>515</v>
      </c>
      <c r="J651" s="242">
        <v>505</v>
      </c>
      <c r="K651" s="242">
        <v>500</v>
      </c>
      <c r="L651" s="242">
        <v>515</v>
      </c>
      <c r="M651" s="242">
        <v>520</v>
      </c>
      <c r="N651" s="242">
        <v>525</v>
      </c>
      <c r="O651" s="242">
        <v>525</v>
      </c>
      <c r="P651" s="241" t="s">
        <v>3345</v>
      </c>
      <c r="Q651" s="241" t="s">
        <v>3347</v>
      </c>
      <c r="R651" s="243" t="s">
        <v>4561</v>
      </c>
      <c r="S651" s="270">
        <f t="shared" si="23"/>
        <v>37015</v>
      </c>
      <c r="T651" s="270"/>
      <c r="U651" s="270">
        <f>IFERROR(VLOOKUP($A651,GeneratingCapabilityList!$E$7:$O$1673,11,FALSE),"ID Not Found")</f>
        <v>37015</v>
      </c>
      <c r="V651" s="271" t="str">
        <f>IFERROR(VLOOKUP($A651,GeneratingCapabilityList!$E$7:$O$1673,6,FALSE),"UNKNOWN")</f>
        <v>THERMAL</v>
      </c>
      <c r="W651" s="271">
        <f>IFERROR(VLOOKUP($A651,GeneratingCapabilityList!$E$7:$O$1673,3,FALSE),"ID Not Found")</f>
        <v>525</v>
      </c>
      <c r="Y651" s="270"/>
    </row>
    <row r="652" spans="1:25">
      <c r="A652" s="245" t="s">
        <v>1506</v>
      </c>
      <c r="B652" s="245" t="s">
        <v>3328</v>
      </c>
      <c r="C652" s="245" t="s">
        <v>4672</v>
      </c>
      <c r="D652" s="249">
        <v>49.89</v>
      </c>
      <c r="E652" s="249">
        <v>46.09</v>
      </c>
      <c r="F652" s="249">
        <v>50.34</v>
      </c>
      <c r="G652" s="249">
        <v>47.54</v>
      </c>
      <c r="H652" s="249">
        <v>50.2</v>
      </c>
      <c r="I652" s="249">
        <v>56.2</v>
      </c>
      <c r="J652" s="249">
        <v>54.9</v>
      </c>
      <c r="K652" s="249">
        <v>56.53</v>
      </c>
      <c r="L652" s="249">
        <v>56.9</v>
      </c>
      <c r="M652" s="249">
        <v>45.69</v>
      </c>
      <c r="N652" s="249">
        <v>48.98</v>
      </c>
      <c r="O652" s="249">
        <v>56.84</v>
      </c>
      <c r="P652" s="245" t="s">
        <v>3352</v>
      </c>
      <c r="Q652" s="245" t="s">
        <v>3347</v>
      </c>
      <c r="R652" s="246" t="s">
        <v>4562</v>
      </c>
      <c r="S652" s="270">
        <f t="shared" si="23"/>
        <v>31778</v>
      </c>
      <c r="T652" s="270"/>
      <c r="U652" s="270">
        <f>IFERROR(VLOOKUP($A652,GeneratingCapabilityList!$E$7:$O$1673,11,FALSE),"ID Not Found")</f>
        <v>31778</v>
      </c>
      <c r="V652" s="271" t="str">
        <f>IFERROR(VLOOKUP($A652,GeneratingCapabilityList!$E$7:$O$1673,6,FALSE),"UNKNOWN")</f>
        <v>COGENERATION</v>
      </c>
      <c r="W652" s="271">
        <f>IFERROR(VLOOKUP($A652,GeneratingCapabilityList!$E$7:$O$1673,3,FALSE),"ID Not Found")</f>
        <v>90</v>
      </c>
      <c r="Y652" s="270"/>
    </row>
    <row r="653" spans="1:25">
      <c r="A653" s="245" t="s">
        <v>1508</v>
      </c>
      <c r="B653" s="245" t="s">
        <v>3328</v>
      </c>
      <c r="C653" s="245" t="s">
        <v>4673</v>
      </c>
      <c r="D653" s="249">
        <v>49.89</v>
      </c>
      <c r="E653" s="249">
        <v>46.1</v>
      </c>
      <c r="F653" s="249">
        <v>50.35</v>
      </c>
      <c r="G653" s="249">
        <v>47.54</v>
      </c>
      <c r="H653" s="249">
        <v>50.21</v>
      </c>
      <c r="I653" s="249">
        <v>56.21</v>
      </c>
      <c r="J653" s="249">
        <v>54.91</v>
      </c>
      <c r="K653" s="249">
        <v>56.54</v>
      </c>
      <c r="L653" s="249">
        <v>56.9</v>
      </c>
      <c r="M653" s="249">
        <v>45.7</v>
      </c>
      <c r="N653" s="249">
        <v>48.99</v>
      </c>
      <c r="O653" s="249">
        <v>56.85</v>
      </c>
      <c r="P653" s="245" t="s">
        <v>3352</v>
      </c>
      <c r="Q653" s="245" t="s">
        <v>3347</v>
      </c>
      <c r="R653" s="246" t="s">
        <v>4562</v>
      </c>
      <c r="S653" s="270">
        <f t="shared" si="23"/>
        <v>31778</v>
      </c>
      <c r="T653" s="270"/>
      <c r="U653" s="270">
        <f>IFERROR(VLOOKUP($A653,GeneratingCapabilityList!$E$7:$O$1673,11,FALSE),"ID Not Found")</f>
        <v>31778</v>
      </c>
      <c r="V653" s="271" t="str">
        <f>IFERROR(VLOOKUP($A653,GeneratingCapabilityList!$E$7:$O$1673,6,FALSE),"UNKNOWN")</f>
        <v>COGENERATION</v>
      </c>
      <c r="W653" s="271">
        <f>IFERROR(VLOOKUP($A653,GeneratingCapabilityList!$E$7:$O$1673,3,FALSE),"ID Not Found")</f>
        <v>90</v>
      </c>
      <c r="Y653" s="270"/>
    </row>
    <row r="654" spans="1:25">
      <c r="A654" s="245" t="s">
        <v>1510</v>
      </c>
      <c r="B654" s="245" t="s">
        <v>3328</v>
      </c>
      <c r="C654" s="245" t="s">
        <v>4674</v>
      </c>
      <c r="D654" s="249">
        <v>49.89</v>
      </c>
      <c r="E654" s="249">
        <v>46.09</v>
      </c>
      <c r="F654" s="249">
        <v>50.35</v>
      </c>
      <c r="G654" s="249">
        <v>47.54</v>
      </c>
      <c r="H654" s="249">
        <v>50.2</v>
      </c>
      <c r="I654" s="249">
        <v>56.21</v>
      </c>
      <c r="J654" s="249">
        <v>54.91</v>
      </c>
      <c r="K654" s="249">
        <v>56.53</v>
      </c>
      <c r="L654" s="249">
        <v>56.9</v>
      </c>
      <c r="M654" s="249">
        <v>45.7</v>
      </c>
      <c r="N654" s="249">
        <v>48.99</v>
      </c>
      <c r="O654" s="249">
        <v>56.85</v>
      </c>
      <c r="P654" s="245" t="s">
        <v>3352</v>
      </c>
      <c r="Q654" s="245" t="s">
        <v>3347</v>
      </c>
      <c r="R654" s="246" t="s">
        <v>4562</v>
      </c>
      <c r="S654" s="270">
        <f t="shared" si="23"/>
        <v>31778</v>
      </c>
      <c r="T654" s="270"/>
      <c r="U654" s="270">
        <f>IFERROR(VLOOKUP($A654,GeneratingCapabilityList!$E$7:$O$1673,11,FALSE),"ID Not Found")</f>
        <v>31778</v>
      </c>
      <c r="V654" s="271" t="str">
        <f>IFERROR(VLOOKUP($A654,GeneratingCapabilityList!$E$7:$O$1673,6,FALSE),"UNKNOWN")</f>
        <v>COGENERATION</v>
      </c>
      <c r="W654" s="271">
        <f>IFERROR(VLOOKUP($A654,GeneratingCapabilityList!$E$7:$O$1673,3,FALSE),"ID Not Found")</f>
        <v>90</v>
      </c>
      <c r="Y654" s="270"/>
    </row>
    <row r="655" spans="1:25">
      <c r="A655" s="245" t="s">
        <v>1512</v>
      </c>
      <c r="B655" s="245" t="s">
        <v>3328</v>
      </c>
      <c r="C655" s="245" t="s">
        <v>4675</v>
      </c>
      <c r="D655" s="249">
        <v>49.89</v>
      </c>
      <c r="E655" s="249">
        <v>46.1</v>
      </c>
      <c r="F655" s="249">
        <v>50.35</v>
      </c>
      <c r="G655" s="249">
        <v>47.54</v>
      </c>
      <c r="H655" s="249">
        <v>50.21</v>
      </c>
      <c r="I655" s="249">
        <v>56.21</v>
      </c>
      <c r="J655" s="249">
        <v>54.91</v>
      </c>
      <c r="K655" s="249">
        <v>56.53</v>
      </c>
      <c r="L655" s="249">
        <v>56.9</v>
      </c>
      <c r="M655" s="249">
        <v>45.7</v>
      </c>
      <c r="N655" s="249">
        <v>48.99</v>
      </c>
      <c r="O655" s="249">
        <v>56.85</v>
      </c>
      <c r="P655" s="245" t="s">
        <v>3352</v>
      </c>
      <c r="Q655" s="245" t="s">
        <v>3347</v>
      </c>
      <c r="R655" s="246" t="s">
        <v>4562</v>
      </c>
      <c r="S655" s="270">
        <f t="shared" si="23"/>
        <v>31778</v>
      </c>
      <c r="T655" s="270"/>
      <c r="U655" s="270">
        <f>IFERROR(VLOOKUP($A655,GeneratingCapabilityList!$E$7:$O$1673,11,FALSE),"ID Not Found")</f>
        <v>31778</v>
      </c>
      <c r="V655" s="271" t="str">
        <f>IFERROR(VLOOKUP($A655,GeneratingCapabilityList!$E$7:$O$1673,6,FALSE),"UNKNOWN")</f>
        <v>COGENERATION</v>
      </c>
      <c r="W655" s="271">
        <f>IFERROR(VLOOKUP($A655,GeneratingCapabilityList!$E$7:$O$1673,3,FALSE),"ID Not Found")</f>
        <v>90</v>
      </c>
      <c r="Y655" s="270"/>
    </row>
    <row r="656" spans="1:25">
      <c r="A656" s="241" t="s">
        <v>1291</v>
      </c>
      <c r="B656" s="241" t="s">
        <v>3370</v>
      </c>
      <c r="C656" s="241" t="s">
        <v>3766</v>
      </c>
      <c r="D656" s="242">
        <v>10.3</v>
      </c>
      <c r="E656" s="242">
        <v>11.11</v>
      </c>
      <c r="F656" s="242">
        <v>11.47</v>
      </c>
      <c r="G656" s="242">
        <v>10.01</v>
      </c>
      <c r="H656" s="242">
        <v>10.38</v>
      </c>
      <c r="I656" s="242">
        <v>10.220000000000001</v>
      </c>
      <c r="J656" s="242">
        <v>9.69</v>
      </c>
      <c r="K656" s="242">
        <v>10.199999999999999</v>
      </c>
      <c r="L656" s="242">
        <v>10.29</v>
      </c>
      <c r="M656" s="242">
        <v>10.53</v>
      </c>
      <c r="N656" s="242">
        <v>10.01</v>
      </c>
      <c r="O656" s="242">
        <v>10.83</v>
      </c>
      <c r="P656" s="241" t="s">
        <v>3345</v>
      </c>
      <c r="Q656" s="241" t="s">
        <v>3347</v>
      </c>
      <c r="R656" s="243" t="s">
        <v>4562</v>
      </c>
      <c r="S656" s="270">
        <f t="shared" si="23"/>
        <v>31413</v>
      </c>
      <c r="T656" s="270"/>
      <c r="U656" s="270">
        <f>IFERROR(VLOOKUP($A656,GeneratingCapabilityList!$E$7:$O$1673,11,FALSE),"ID Not Found")</f>
        <v>31413</v>
      </c>
      <c r="V656" s="271" t="str">
        <f>IFERROR(VLOOKUP($A656,GeneratingCapabilityList!$E$7:$O$1673,6,FALSE),"UNKNOWN")</f>
        <v>COGENERATION</v>
      </c>
      <c r="W656" s="271">
        <f>IFERROR(VLOOKUP($A656,GeneratingCapabilityList!$E$7:$O$1673,3,FALSE),"ID Not Found")</f>
        <v>17</v>
      </c>
      <c r="Y656" s="270"/>
    </row>
    <row r="657" spans="1:26">
      <c r="A657" s="241" t="s">
        <v>896</v>
      </c>
      <c r="B657" s="241" t="s">
        <v>3361</v>
      </c>
      <c r="C657" s="241" t="s">
        <v>3767</v>
      </c>
      <c r="D657" s="242">
        <v>1.05</v>
      </c>
      <c r="E657" s="242">
        <v>1.02</v>
      </c>
      <c r="F657" s="242">
        <v>1.28</v>
      </c>
      <c r="G657" s="242">
        <v>2.04</v>
      </c>
      <c r="H657" s="242">
        <v>2.38</v>
      </c>
      <c r="I657" s="242">
        <v>2.16</v>
      </c>
      <c r="J657" s="242">
        <v>1.62</v>
      </c>
      <c r="K657" s="242">
        <v>1.1100000000000001</v>
      </c>
      <c r="L657" s="242">
        <v>0.74</v>
      </c>
      <c r="M657" s="242">
        <v>0.5</v>
      </c>
      <c r="N657" s="242">
        <v>0.39</v>
      </c>
      <c r="O657" s="242">
        <v>0.74</v>
      </c>
      <c r="P657" s="241" t="s">
        <v>3345</v>
      </c>
      <c r="Q657" s="241" t="s">
        <v>3347</v>
      </c>
      <c r="R657" s="243" t="s">
        <v>4562</v>
      </c>
      <c r="S657" s="270">
        <f t="shared" si="23"/>
        <v>30317</v>
      </c>
      <c r="T657" s="270"/>
      <c r="U657" s="270">
        <f>IFERROR(VLOOKUP($A657,GeneratingCapabilityList!$E$7:$O$1673,11,FALSE),"ID Not Found")</f>
        <v>30317</v>
      </c>
      <c r="V657" s="271" t="str">
        <f>IFERROR(VLOOKUP($A657,GeneratingCapabilityList!$E$7:$O$1673,6,FALSE),"UNKNOWN")</f>
        <v>HYDRO</v>
      </c>
      <c r="W657" s="271">
        <f>IFERROR(VLOOKUP($A657,GeneratingCapabilityList!$E$7:$O$1673,3,FALSE),"ID Not Found")</f>
        <v>5.3</v>
      </c>
      <c r="Y657" s="270"/>
    </row>
    <row r="658" spans="1:26">
      <c r="A658" s="241" t="s">
        <v>1965</v>
      </c>
      <c r="B658" s="241" t="s">
        <v>3370</v>
      </c>
      <c r="C658" s="241" t="s">
        <v>3768</v>
      </c>
      <c r="D658" s="242">
        <v>0.49</v>
      </c>
      <c r="E658" s="242">
        <v>0.55000000000000004</v>
      </c>
      <c r="F658" s="242">
        <v>0.49</v>
      </c>
      <c r="G658" s="242">
        <v>0.54</v>
      </c>
      <c r="H658" s="242">
        <v>0.34</v>
      </c>
      <c r="I658" s="242">
        <v>0.38</v>
      </c>
      <c r="J658" s="242">
        <v>0.3</v>
      </c>
      <c r="K658" s="242">
        <v>0.42</v>
      </c>
      <c r="L658" s="242">
        <v>0.22</v>
      </c>
      <c r="M658" s="242">
        <v>0.44</v>
      </c>
      <c r="N658" s="242">
        <v>0.63</v>
      </c>
      <c r="O658" s="242">
        <v>0.56999999999999995</v>
      </c>
      <c r="P658" s="241" t="s">
        <v>3345</v>
      </c>
      <c r="Q658" s="241" t="s">
        <v>3347</v>
      </c>
      <c r="R658" s="243" t="s">
        <v>4562</v>
      </c>
      <c r="S658" s="270">
        <f t="shared" si="23"/>
        <v>32900</v>
      </c>
      <c r="T658" s="270"/>
      <c r="U658" s="270">
        <f>IFERROR(VLOOKUP($A658,GeneratingCapabilityList!$E$7:$O$1673,11,FALSE),"ID Not Found")</f>
        <v>32900</v>
      </c>
      <c r="V658" s="271" t="str">
        <f>IFERROR(VLOOKUP($A658,GeneratingCapabilityList!$E$7:$O$1673,6,FALSE),"UNKNOWN")</f>
        <v>COGENERATION</v>
      </c>
      <c r="W658" s="271">
        <f>IFERROR(VLOOKUP($A658,GeneratingCapabilityList!$E$7:$O$1673,3,FALSE),"ID Not Found")</f>
        <v>7</v>
      </c>
      <c r="Y658" s="270"/>
    </row>
    <row r="659" spans="1:26">
      <c r="A659" s="245" t="s">
        <v>1978</v>
      </c>
      <c r="B659" s="247" t="s">
        <v>3328</v>
      </c>
      <c r="C659" s="247" t="s">
        <v>1979</v>
      </c>
      <c r="D659" s="249">
        <v>37.21</v>
      </c>
      <c r="E659" s="249">
        <v>34.659999999999997</v>
      </c>
      <c r="F659" s="249">
        <v>37.31</v>
      </c>
      <c r="G659" s="249">
        <v>32.090000000000003</v>
      </c>
      <c r="H659" s="249">
        <v>32.36</v>
      </c>
      <c r="I659" s="249">
        <v>36.14</v>
      </c>
      <c r="J659" s="249">
        <v>37.479999999999997</v>
      </c>
      <c r="K659" s="249">
        <v>34.99</v>
      </c>
      <c r="L659" s="249">
        <v>37.450000000000003</v>
      </c>
      <c r="M659" s="249">
        <v>32.4</v>
      </c>
      <c r="N659" s="249">
        <v>32.020000000000003</v>
      </c>
      <c r="O659" s="249">
        <v>36.1</v>
      </c>
      <c r="P659" s="245" t="s">
        <v>3352</v>
      </c>
      <c r="Q659" s="245" t="s">
        <v>3347</v>
      </c>
      <c r="R659" s="246" t="s">
        <v>4562</v>
      </c>
      <c r="S659" s="270">
        <f t="shared" si="23"/>
        <v>32938</v>
      </c>
      <c r="T659" s="270"/>
      <c r="U659" s="270">
        <f>IFERROR(VLOOKUP($A659,GeneratingCapabilityList!$E$7:$O$1673,11,FALSE),"ID Not Found")</f>
        <v>32938</v>
      </c>
      <c r="V659" s="271" t="str">
        <f>IFERROR(VLOOKUP($A659,GeneratingCapabilityList!$E$7:$O$1673,6,FALSE),"UNKNOWN")</f>
        <v>COGENERATION</v>
      </c>
      <c r="W659" s="271">
        <f>IFERROR(VLOOKUP($A659,GeneratingCapabilityList!$E$7:$O$1673,3,FALSE),"ID Not Found")</f>
        <v>40.200000000000003</v>
      </c>
      <c r="Y659" s="270"/>
    </row>
    <row r="660" spans="1:26">
      <c r="A660" s="241" t="s">
        <v>2655</v>
      </c>
      <c r="B660" s="241" t="s">
        <v>4579</v>
      </c>
      <c r="C660" s="241" t="s">
        <v>3769</v>
      </c>
      <c r="D660" s="242">
        <v>605</v>
      </c>
      <c r="E660" s="242">
        <v>605</v>
      </c>
      <c r="F660" s="242">
        <v>605</v>
      </c>
      <c r="G660" s="242">
        <v>605</v>
      </c>
      <c r="H660" s="242">
        <v>601</v>
      </c>
      <c r="I660" s="242">
        <v>593</v>
      </c>
      <c r="J660" s="242">
        <v>591</v>
      </c>
      <c r="K660" s="242">
        <v>593</v>
      </c>
      <c r="L660" s="242">
        <v>596</v>
      </c>
      <c r="M660" s="242">
        <v>605</v>
      </c>
      <c r="N660" s="242">
        <v>605</v>
      </c>
      <c r="O660" s="242">
        <v>605</v>
      </c>
      <c r="P660" s="241" t="s">
        <v>3352</v>
      </c>
      <c r="Q660" s="241" t="s">
        <v>3347</v>
      </c>
      <c r="R660" s="243" t="s">
        <v>4561</v>
      </c>
      <c r="S660" s="270">
        <f t="shared" si="23"/>
        <v>37832</v>
      </c>
      <c r="T660" s="270"/>
      <c r="U660" s="270">
        <f>IFERROR(VLOOKUP($A660,GeneratingCapabilityList!$E$7:$O$1673,11,FALSE),"ID Not Found")</f>
        <v>37832</v>
      </c>
      <c r="V660" s="271" t="str">
        <f>IFERROR(VLOOKUP($A660,GeneratingCapabilityList!$E$7:$O$1673,6,FALSE),"UNKNOWN")</f>
        <v>THERMAL</v>
      </c>
      <c r="W660" s="271">
        <f>IFERROR(VLOOKUP($A660,GeneratingCapabilityList!$E$7:$O$1673,3,FALSE),"ID Not Found")</f>
        <v>625</v>
      </c>
      <c r="Y660" s="270"/>
    </row>
    <row r="661" spans="1:26">
      <c r="A661" s="241" t="s">
        <v>810</v>
      </c>
      <c r="B661" s="241" t="s">
        <v>3361</v>
      </c>
      <c r="C661" s="241" t="s">
        <v>3770</v>
      </c>
      <c r="D661" s="242">
        <v>0.81</v>
      </c>
      <c r="E661" s="242">
        <v>0.77</v>
      </c>
      <c r="F661" s="242">
        <v>0.61</v>
      </c>
      <c r="G661" s="242">
        <v>0.89</v>
      </c>
      <c r="H661" s="242">
        <v>0.96</v>
      </c>
      <c r="I661" s="242">
        <v>0.87</v>
      </c>
      <c r="J661" s="242">
        <v>1.1399999999999999</v>
      </c>
      <c r="K661" s="242">
        <v>0.95</v>
      </c>
      <c r="L661" s="242">
        <v>0.89</v>
      </c>
      <c r="M661" s="242">
        <v>0.77</v>
      </c>
      <c r="N661" s="242">
        <v>0.55000000000000004</v>
      </c>
      <c r="O661" s="242">
        <v>0.65</v>
      </c>
      <c r="P661" s="241" t="s">
        <v>3345</v>
      </c>
      <c r="Q661" s="241" t="s">
        <v>3347</v>
      </c>
      <c r="R661" s="243" t="s">
        <v>4562</v>
      </c>
      <c r="S661" s="270">
        <f t="shared" si="23"/>
        <v>29952</v>
      </c>
      <c r="T661" s="270"/>
      <c r="U661" s="270">
        <f>IFERROR(VLOOKUP($A661,GeneratingCapabilityList!$E$7:$O$1673,11,FALSE),"ID Not Found")</f>
        <v>29952</v>
      </c>
      <c r="V661" s="271" t="str">
        <f>IFERROR(VLOOKUP($A661,GeneratingCapabilityList!$E$7:$O$1673,6,FALSE),"UNKNOWN")</f>
        <v>HYDRO</v>
      </c>
      <c r="W661" s="271">
        <f>IFERROR(VLOOKUP($A661,GeneratingCapabilityList!$E$7:$O$1673,3,FALSE),"ID Not Found")</f>
        <v>5</v>
      </c>
      <c r="Y661" s="270"/>
    </row>
    <row r="662" spans="1:26">
      <c r="A662" s="241" t="s">
        <v>2012</v>
      </c>
      <c r="B662" s="241" t="s">
        <v>3361</v>
      </c>
      <c r="C662" s="241" t="s">
        <v>2013</v>
      </c>
      <c r="D662" s="242">
        <v>16.75</v>
      </c>
      <c r="E662" s="242">
        <v>17.649999999999999</v>
      </c>
      <c r="F662" s="242">
        <v>15.08</v>
      </c>
      <c r="G662" s="242">
        <v>16.84</v>
      </c>
      <c r="H662" s="242">
        <v>12.05</v>
      </c>
      <c r="I662" s="242">
        <v>17.11</v>
      </c>
      <c r="J662" s="242">
        <v>17.84</v>
      </c>
      <c r="K662" s="242">
        <v>17.87</v>
      </c>
      <c r="L662" s="242">
        <v>18.54</v>
      </c>
      <c r="M662" s="242">
        <v>15.32</v>
      </c>
      <c r="N662" s="242">
        <v>17.38</v>
      </c>
      <c r="O662" s="242">
        <v>16.07</v>
      </c>
      <c r="P662" s="241" t="s">
        <v>3345</v>
      </c>
      <c r="Q662" s="241" t="s">
        <v>3347</v>
      </c>
      <c r="R662" s="243" t="s">
        <v>4562</v>
      </c>
      <c r="S662" s="270">
        <f t="shared" si="23"/>
        <v>32989</v>
      </c>
      <c r="T662" s="270"/>
      <c r="U662" s="270">
        <f>IFERROR(VLOOKUP($A662,GeneratingCapabilityList!$E$7:$O$1673,11,FALSE),"ID Not Found")</f>
        <v>32989</v>
      </c>
      <c r="V662" s="271" t="str">
        <f>IFERROR(VLOOKUP($A662,GeneratingCapabilityList!$E$7:$O$1673,6,FALSE),"UNKNOWN")</f>
        <v>BIOMASS</v>
      </c>
      <c r="W662" s="271">
        <f>IFERROR(VLOOKUP($A662,GeneratingCapabilityList!$E$7:$O$1673,3,FALSE),"ID Not Found")</f>
        <v>24.2</v>
      </c>
      <c r="Y662" s="270"/>
    </row>
    <row r="663" spans="1:26">
      <c r="A663" s="241" t="s">
        <v>1525</v>
      </c>
      <c r="B663" s="241" t="s">
        <v>3324</v>
      </c>
      <c r="C663" s="241" t="s">
        <v>1529</v>
      </c>
      <c r="D663" s="242">
        <v>37.270000000000003</v>
      </c>
      <c r="E663" s="242">
        <v>36.909999999999997</v>
      </c>
      <c r="F663" s="242">
        <v>13.72</v>
      </c>
      <c r="G663" s="242">
        <v>20.43</v>
      </c>
      <c r="H663" s="242">
        <v>34.89</v>
      </c>
      <c r="I663" s="242">
        <v>26.3</v>
      </c>
      <c r="J663" s="242">
        <v>21.04</v>
      </c>
      <c r="K663" s="242">
        <v>21.15</v>
      </c>
      <c r="L663" s="242">
        <v>20.91</v>
      </c>
      <c r="M663" s="242">
        <v>25.52</v>
      </c>
      <c r="N663" s="242">
        <v>26.49</v>
      </c>
      <c r="O663" s="242">
        <v>24.69</v>
      </c>
      <c r="P663" s="241" t="s">
        <v>3345</v>
      </c>
      <c r="Q663" s="241" t="s">
        <v>3347</v>
      </c>
      <c r="R663" s="243" t="s">
        <v>4562</v>
      </c>
      <c r="S663" s="270">
        <f t="shared" si="23"/>
        <v>31831</v>
      </c>
      <c r="T663" s="270"/>
      <c r="U663" s="270">
        <f>IFERROR(VLOOKUP($A663,GeneratingCapabilityList!$E$7:$O$1673,11,FALSE),"ID Not Found")</f>
        <v>31831</v>
      </c>
      <c r="V663" s="271" t="str">
        <f>IFERROR(VLOOKUP($A663,GeneratingCapabilityList!$E$7:$O$1673,6,FALSE),"UNKNOWN")</f>
        <v>COGENERATION</v>
      </c>
      <c r="W663" s="271">
        <f>IFERROR(VLOOKUP($A663,GeneratingCapabilityList!$E$7:$O$1673,3,FALSE),"ID Not Found")</f>
        <v>114.8</v>
      </c>
      <c r="Y663" s="270"/>
    </row>
    <row r="664" spans="1:26">
      <c r="A664" s="241" t="s">
        <v>2869</v>
      </c>
      <c r="B664" s="241" t="s">
        <v>3327</v>
      </c>
      <c r="C664" s="241" t="s">
        <v>2869</v>
      </c>
      <c r="D664" s="242">
        <v>1.64</v>
      </c>
      <c r="E664" s="242">
        <v>5.22</v>
      </c>
      <c r="F664" s="242">
        <v>13.92</v>
      </c>
      <c r="G664" s="242">
        <v>14.59</v>
      </c>
      <c r="H664" s="242">
        <v>26.65</v>
      </c>
      <c r="I664" s="242">
        <v>37.799999999999997</v>
      </c>
      <c r="J664" s="242">
        <v>12.51</v>
      </c>
      <c r="K664" s="242">
        <v>8.48</v>
      </c>
      <c r="L664" s="242">
        <v>4.21</v>
      </c>
      <c r="M664" s="242">
        <v>5.1100000000000003</v>
      </c>
      <c r="N664" s="242">
        <v>4.3</v>
      </c>
      <c r="O664" s="242">
        <v>2.15</v>
      </c>
      <c r="P664" s="241" t="s">
        <v>3352</v>
      </c>
      <c r="Q664" s="241" t="s">
        <v>3347</v>
      </c>
      <c r="R664" s="243" t="s">
        <v>4562</v>
      </c>
      <c r="S664" s="270">
        <f t="shared" si="23"/>
        <v>39556</v>
      </c>
      <c r="T664" s="270"/>
      <c r="U664" s="270">
        <f>IFERROR(VLOOKUP($A664,GeneratingCapabilityList!$E$7:$O$1673,11,FALSE),"ID Not Found")</f>
        <v>39556</v>
      </c>
      <c r="V664" s="271" t="str">
        <f>IFERROR(VLOOKUP($A664,GeneratingCapabilityList!$E$7:$O$1673,6,FALSE),"UNKNOWN")</f>
        <v>WIND</v>
      </c>
      <c r="W664" s="271">
        <f>IFERROR(VLOOKUP($A664,GeneratingCapabilityList!$E$7:$O$1673,3,FALSE),"ID Not Found")</f>
        <v>45</v>
      </c>
      <c r="Y664" s="270"/>
    </row>
    <row r="665" spans="1:26">
      <c r="A665" s="241" t="s">
        <v>285</v>
      </c>
      <c r="B665" s="241" t="s">
        <v>3361</v>
      </c>
      <c r="C665" s="241" t="s">
        <v>3771</v>
      </c>
      <c r="D665" s="242">
        <v>1.48</v>
      </c>
      <c r="E665" s="242">
        <v>7.09</v>
      </c>
      <c r="F665" s="242">
        <v>6.85</v>
      </c>
      <c r="G665" s="242">
        <v>14.45</v>
      </c>
      <c r="H665" s="242">
        <v>16.73</v>
      </c>
      <c r="I665" s="242">
        <v>35.950000000000003</v>
      </c>
      <c r="J665" s="242">
        <v>41.84</v>
      </c>
      <c r="K665" s="242">
        <v>37.78</v>
      </c>
      <c r="L665" s="242">
        <v>40.049999999999997</v>
      </c>
      <c r="M665" s="242">
        <v>41.29</v>
      </c>
      <c r="N665" s="242">
        <v>45.52</v>
      </c>
      <c r="O665" s="242">
        <v>39.18</v>
      </c>
      <c r="P665" s="241" t="s">
        <v>3345</v>
      </c>
      <c r="Q665" s="241" t="s">
        <v>3347</v>
      </c>
      <c r="R665" s="243" t="s">
        <v>4561</v>
      </c>
      <c r="S665" s="270">
        <f t="shared" si="23"/>
        <v>11324</v>
      </c>
      <c r="T665" s="270"/>
      <c r="U665" s="270">
        <f>IFERROR(VLOOKUP($A665,GeneratingCapabilityList!$E$7:$O$1673,11,FALSE),"ID Not Found")</f>
        <v>11324</v>
      </c>
      <c r="V665" s="271" t="str">
        <f>IFERROR(VLOOKUP($A665,GeneratingCapabilityList!$E$7:$O$1673,6,FALSE),"UNKNOWN")</f>
        <v>HYDRO</v>
      </c>
      <c r="W665" s="271">
        <f>IFERROR(VLOOKUP($A665,GeneratingCapabilityList!$E$7:$O$1673,3,FALSE),"ID Not Found")</f>
        <v>62</v>
      </c>
      <c r="Y665" s="270"/>
    </row>
    <row r="666" spans="1:26">
      <c r="A666" s="241" t="s">
        <v>1335</v>
      </c>
      <c r="B666" s="241" t="s">
        <v>3361</v>
      </c>
      <c r="C666" s="241" t="s">
        <v>3772</v>
      </c>
      <c r="D666" s="242">
        <v>0.49</v>
      </c>
      <c r="E666" s="242">
        <v>0.34</v>
      </c>
      <c r="F666" s="242">
        <v>1.3</v>
      </c>
      <c r="G666" s="242">
        <v>1.33</v>
      </c>
      <c r="H666" s="242">
        <v>0.72</v>
      </c>
      <c r="I666" s="242">
        <v>0.38</v>
      </c>
      <c r="J666" s="242">
        <v>0</v>
      </c>
      <c r="K666" s="242">
        <v>0</v>
      </c>
      <c r="L666" s="242">
        <v>0</v>
      </c>
      <c r="M666" s="242">
        <v>0</v>
      </c>
      <c r="N666" s="242">
        <v>0.01</v>
      </c>
      <c r="O666" s="242">
        <v>1.05</v>
      </c>
      <c r="P666" s="241" t="s">
        <v>3345</v>
      </c>
      <c r="Q666" s="241" t="s">
        <v>3347</v>
      </c>
      <c r="R666" s="243" t="s">
        <v>4562</v>
      </c>
      <c r="S666" s="270">
        <f t="shared" si="23"/>
        <v>31427</v>
      </c>
      <c r="T666" s="270"/>
      <c r="U666" s="270">
        <f>IFERROR(VLOOKUP($A666,GeneratingCapabilityList!$E$7:$O$1673,11,FALSE),"ID Not Found")</f>
        <v>31427</v>
      </c>
      <c r="V666" s="271" t="str">
        <f>IFERROR(VLOOKUP($A666,GeneratingCapabilityList!$E$7:$O$1673,6,FALSE),"UNKNOWN")</f>
        <v>HYDRO</v>
      </c>
      <c r="W666" s="271">
        <f>IFERROR(VLOOKUP($A666,GeneratingCapabilityList!$E$7:$O$1673,3,FALSE),"ID Not Found")</f>
        <v>5</v>
      </c>
      <c r="Y666" s="270"/>
    </row>
    <row r="667" spans="1:26">
      <c r="A667" s="241" t="s">
        <v>1287</v>
      </c>
      <c r="B667" s="241" t="s">
        <v>3361</v>
      </c>
      <c r="C667" s="241" t="s">
        <v>3773</v>
      </c>
      <c r="D667" s="242">
        <v>0.61</v>
      </c>
      <c r="E667" s="242">
        <v>0.71</v>
      </c>
      <c r="F667" s="242">
        <v>0.83</v>
      </c>
      <c r="G667" s="242">
        <v>0.78</v>
      </c>
      <c r="H667" s="242">
        <v>0.75</v>
      </c>
      <c r="I667" s="242">
        <v>1.06</v>
      </c>
      <c r="J667" s="242">
        <v>0.97</v>
      </c>
      <c r="K667" s="242">
        <v>0.75</v>
      </c>
      <c r="L667" s="242">
        <v>0.47</v>
      </c>
      <c r="M667" s="242">
        <v>0.05</v>
      </c>
      <c r="N667" s="242">
        <v>0.08</v>
      </c>
      <c r="O667" s="242">
        <v>0.45</v>
      </c>
      <c r="P667" s="241" t="s">
        <v>3345</v>
      </c>
      <c r="Q667" s="241" t="s">
        <v>3347</v>
      </c>
      <c r="R667" s="243" t="s">
        <v>4561</v>
      </c>
      <c r="S667" s="270">
        <f t="shared" si="23"/>
        <v>31413</v>
      </c>
      <c r="T667" s="270"/>
      <c r="U667" s="270">
        <f>IFERROR(VLOOKUP($A667,GeneratingCapabilityList!$E$7:$O$1673,11,FALSE),"ID Not Found")</f>
        <v>31413</v>
      </c>
      <c r="V667" s="271" t="str">
        <f>IFERROR(VLOOKUP($A667,GeneratingCapabilityList!$E$7:$O$1673,6,FALSE),"UNKNOWN")</f>
        <v>HYDRO</v>
      </c>
      <c r="W667" s="271">
        <f>IFERROR(VLOOKUP($A667,GeneratingCapabilityList!$E$7:$O$1673,3,FALSE),"ID Not Found")</f>
        <v>1.5</v>
      </c>
      <c r="Y667" s="270"/>
    </row>
    <row r="668" spans="1:26">
      <c r="A668" s="245" t="s">
        <v>4676</v>
      </c>
      <c r="B668" s="245" t="s">
        <v>3361</v>
      </c>
      <c r="C668" s="875" t="s">
        <v>4677</v>
      </c>
      <c r="D668" s="249">
        <v>1.99</v>
      </c>
      <c r="E668" s="249">
        <v>18.91</v>
      </c>
      <c r="F668" s="249">
        <v>44.11</v>
      </c>
      <c r="G668" s="249">
        <v>142.63999999999999</v>
      </c>
      <c r="H668" s="249">
        <v>174.07</v>
      </c>
      <c r="I668" s="249">
        <v>205.56</v>
      </c>
      <c r="J668" s="249">
        <v>201</v>
      </c>
      <c r="K668" s="249">
        <v>193.02</v>
      </c>
      <c r="L668" s="249">
        <v>175.66</v>
      </c>
      <c r="M668" s="249">
        <v>110.99</v>
      </c>
      <c r="N668" s="249">
        <v>15.35</v>
      </c>
      <c r="O668" s="249">
        <v>6.43</v>
      </c>
      <c r="P668" s="245" t="s">
        <v>3345</v>
      </c>
      <c r="Q668" s="245" t="s">
        <v>4563</v>
      </c>
      <c r="R668" s="246" t="s">
        <v>4562</v>
      </c>
      <c r="S668" s="270">
        <f t="shared" si="23"/>
        <v>41526</v>
      </c>
      <c r="T668" s="270"/>
      <c r="U668" s="270">
        <f>IFERROR(VLOOKUP($A668,GeneratingCapabilityList!$E$7:$O$1673,11,FALSE),"ID Not Found")</f>
        <v>41526</v>
      </c>
      <c r="V668" s="271" t="str">
        <f>IFERROR(VLOOKUP($A668,GeneratingCapabilityList!$E$7:$O$1673,6,FALSE),"UNKNOWN")</f>
        <v>SOLAR</v>
      </c>
      <c r="W668" s="271">
        <f>IFERROR(VLOOKUP($A668,GeneratingCapabilityList!$E$7:$O$1673,3,FALSE),"ID Not Found")</f>
        <v>237</v>
      </c>
      <c r="Y668" s="270"/>
      <c r="Z668" s="271" t="b">
        <f>TRUE</f>
        <v>1</v>
      </c>
    </row>
    <row r="669" spans="1:26">
      <c r="A669" s="241" t="s">
        <v>418</v>
      </c>
      <c r="B669" s="241" t="s">
        <v>3373</v>
      </c>
      <c r="C669" s="241" t="s">
        <v>3774</v>
      </c>
      <c r="D669" s="242">
        <v>3.44</v>
      </c>
      <c r="E669" s="242">
        <v>1.7</v>
      </c>
      <c r="F669" s="242">
        <v>0.87</v>
      </c>
      <c r="G669" s="242">
        <v>9.99</v>
      </c>
      <c r="H669" s="242">
        <v>15.18</v>
      </c>
      <c r="I669" s="242">
        <v>14.08</v>
      </c>
      <c r="J669" s="242">
        <v>17.28</v>
      </c>
      <c r="K669" s="242">
        <v>16.47</v>
      </c>
      <c r="L669" s="242">
        <v>11.2</v>
      </c>
      <c r="M669" s="242">
        <v>2.31</v>
      </c>
      <c r="N669" s="242">
        <v>3.61</v>
      </c>
      <c r="O669" s="242">
        <v>0.98</v>
      </c>
      <c r="P669" s="241" t="s">
        <v>3345</v>
      </c>
      <c r="Q669" s="241" t="s">
        <v>3347</v>
      </c>
      <c r="R669" s="243" t="s">
        <v>4562</v>
      </c>
      <c r="S669" s="270">
        <f t="shared" si="23"/>
        <v>21186</v>
      </c>
      <c r="T669" s="270"/>
      <c r="U669" s="270">
        <f>IFERROR(VLOOKUP($A669,GeneratingCapabilityList!$E$7:$O$1673,11,FALSE),"ID Not Found")</f>
        <v>21186</v>
      </c>
      <c r="V669" s="271" t="str">
        <f>IFERROR(VLOOKUP($A669,GeneratingCapabilityList!$E$7:$O$1673,6,FALSE),"UNKNOWN")</f>
        <v>HYDRO</v>
      </c>
      <c r="W669" s="271">
        <f>IFERROR(VLOOKUP($A669,GeneratingCapabilityList!$E$7:$O$1673,3,FALSE),"ID Not Found")</f>
        <v>18.7</v>
      </c>
      <c r="Y669" s="270"/>
    </row>
    <row r="670" spans="1:26">
      <c r="A670" s="241" t="s">
        <v>4495</v>
      </c>
      <c r="B670" s="245" t="s">
        <v>3361</v>
      </c>
      <c r="C670" s="241" t="s">
        <v>4496</v>
      </c>
      <c r="D670" s="249" t="s">
        <v>4573</v>
      </c>
      <c r="E670" s="249" t="s">
        <v>4573</v>
      </c>
      <c r="F670" s="249" t="s">
        <v>4573</v>
      </c>
      <c r="G670" s="249" t="s">
        <v>4573</v>
      </c>
      <c r="H670" s="249" t="s">
        <v>4573</v>
      </c>
      <c r="I670" s="249" t="s">
        <v>4573</v>
      </c>
      <c r="J670" s="249" t="s">
        <v>4573</v>
      </c>
      <c r="K670" s="249" t="s">
        <v>4573</v>
      </c>
      <c r="L670" s="249" t="s">
        <v>4573</v>
      </c>
      <c r="M670" s="249" t="s">
        <v>4573</v>
      </c>
      <c r="N670" s="249" t="s">
        <v>4573</v>
      </c>
      <c r="O670" s="249" t="s">
        <v>4573</v>
      </c>
      <c r="P670" s="245" t="s">
        <v>3345</v>
      </c>
      <c r="Q670" s="245" t="s">
        <v>3385</v>
      </c>
      <c r="R670" s="243" t="s">
        <v>4562</v>
      </c>
      <c r="S670" s="270">
        <f t="shared" si="23"/>
        <v>41240</v>
      </c>
      <c r="T670" s="270"/>
      <c r="U670" s="270">
        <f>IFERROR(VLOOKUP($A670,GeneratingCapabilityList!$E$7:$O$1673,11,FALSE),"ID Not Found")</f>
        <v>41240</v>
      </c>
      <c r="V670" s="271" t="str">
        <f>IFERROR(VLOOKUP($A670,GeneratingCapabilityList!$E$7:$O$1673,6,FALSE),"UNKNOWN")</f>
        <v>SOLAR</v>
      </c>
      <c r="W670" s="271">
        <f>IFERROR(VLOOKUP($A670,GeneratingCapabilityList!$E$7:$O$1673,3,FALSE),"ID Not Found")</f>
        <v>1.5</v>
      </c>
      <c r="Y670" s="270"/>
    </row>
    <row r="671" spans="1:26">
      <c r="A671" s="241" t="s">
        <v>2170</v>
      </c>
      <c r="B671" s="241" t="s">
        <v>3370</v>
      </c>
      <c r="C671" s="241" t="s">
        <v>4678</v>
      </c>
      <c r="D671" s="242">
        <v>1.91</v>
      </c>
      <c r="E671" s="242">
        <v>1.67</v>
      </c>
      <c r="F671" s="242">
        <v>1.41</v>
      </c>
      <c r="G671" s="242">
        <v>1.18</v>
      </c>
      <c r="H671" s="242">
        <v>1.06</v>
      </c>
      <c r="I671" s="242">
        <v>2.12</v>
      </c>
      <c r="J671" s="242">
        <v>2.4</v>
      </c>
      <c r="K671" s="242">
        <v>3.34</v>
      </c>
      <c r="L671" s="242">
        <v>3.76</v>
      </c>
      <c r="M671" s="242">
        <v>2.17</v>
      </c>
      <c r="N671" s="242">
        <v>2.1800000000000002</v>
      </c>
      <c r="O671" s="242">
        <v>1.85</v>
      </c>
      <c r="P671" s="241" t="s">
        <v>3345</v>
      </c>
      <c r="Q671" s="241" t="s">
        <v>3347</v>
      </c>
      <c r="R671" s="243" t="s">
        <v>4562</v>
      </c>
      <c r="S671" s="270">
        <f t="shared" si="23"/>
        <v>34608</v>
      </c>
      <c r="T671" s="270"/>
      <c r="U671" s="270">
        <f>IFERROR(VLOOKUP($A671,GeneratingCapabilityList!$E$7:$O$1673,11,FALSE),"ID Not Found")</f>
        <v>34608</v>
      </c>
      <c r="V671" s="271" t="str">
        <f>IFERROR(VLOOKUP($A671,GeneratingCapabilityList!$E$7:$O$1673,6,FALSE),"UNKNOWN")</f>
        <v>COGENERATION</v>
      </c>
      <c r="W671" s="271">
        <f>IFERROR(VLOOKUP($A671,GeneratingCapabilityList!$E$7:$O$1673,3,FALSE),"ID Not Found")</f>
        <v>11.2</v>
      </c>
      <c r="Y671" s="270"/>
    </row>
    <row r="672" spans="1:26">
      <c r="A672" s="244" t="s">
        <v>2838</v>
      </c>
      <c r="B672" s="245" t="s">
        <v>3346</v>
      </c>
      <c r="C672" s="245" t="s">
        <v>3775</v>
      </c>
      <c r="D672" s="281">
        <v>1.462432580645161</v>
      </c>
      <c r="E672" s="281">
        <v>1.8619642857142846</v>
      </c>
      <c r="F672" s="281">
        <v>1.4861367741935487</v>
      </c>
      <c r="G672" s="281">
        <v>0.93046366666666691</v>
      </c>
      <c r="H672" s="281">
        <v>1.3604190322580649</v>
      </c>
      <c r="I672" s="281">
        <v>1.1163341851851849</v>
      </c>
      <c r="J672" s="281">
        <v>1.2203431899641577</v>
      </c>
      <c r="K672" s="281">
        <v>1.4163009677419354</v>
      </c>
      <c r="L672" s="281">
        <v>1.5201182592592593</v>
      </c>
      <c r="M672" s="281">
        <v>1.9298158781362005</v>
      </c>
      <c r="N672" s="281">
        <v>1.3134735555555557</v>
      </c>
      <c r="O672" s="281">
        <v>1.4767752688172047</v>
      </c>
      <c r="P672" s="245" t="s">
        <v>3345</v>
      </c>
      <c r="Q672" s="245" t="s">
        <v>3347</v>
      </c>
      <c r="R672" s="246" t="s">
        <v>4561</v>
      </c>
      <c r="S672" s="270">
        <f t="shared" si="23"/>
        <v>39265</v>
      </c>
      <c r="T672" s="270"/>
      <c r="U672" s="270">
        <f>IFERROR(VLOOKUP($A672,GeneratingCapabilityList!$E$7:$O$1673,11,FALSE),"ID Not Found")</f>
        <v>39265</v>
      </c>
      <c r="V672" s="271" t="str">
        <f>IFERROR(VLOOKUP($A672,GeneratingCapabilityList!$E$7:$O$1673,6,FALSE),"UNKNOWN")</f>
        <v>HYDRO</v>
      </c>
      <c r="W672" s="271">
        <f>IFERROR(VLOOKUP($A672,GeneratingCapabilityList!$E$7:$O$1673,3,FALSE),"ID Not Found")</f>
        <v>3.5</v>
      </c>
      <c r="Y672" s="270"/>
    </row>
    <row r="673" spans="1:25">
      <c r="A673" s="241" t="s">
        <v>1869</v>
      </c>
      <c r="B673" s="241" t="s">
        <v>3370</v>
      </c>
      <c r="C673" s="241" t="s">
        <v>3776</v>
      </c>
      <c r="D673" s="242">
        <v>35.31</v>
      </c>
      <c r="E673" s="242">
        <v>33.9</v>
      </c>
      <c r="F673" s="242">
        <v>34.42</v>
      </c>
      <c r="G673" s="242">
        <v>34.96</v>
      </c>
      <c r="H673" s="242">
        <v>22</v>
      </c>
      <c r="I673" s="242">
        <v>33.880000000000003</v>
      </c>
      <c r="J673" s="242">
        <v>32.799999999999997</v>
      </c>
      <c r="K673" s="242">
        <v>33.369999999999997</v>
      </c>
      <c r="L673" s="242">
        <v>29.72</v>
      </c>
      <c r="M673" s="242">
        <v>31.59</v>
      </c>
      <c r="N673" s="242">
        <v>20.88</v>
      </c>
      <c r="O673" s="242">
        <v>23.56</v>
      </c>
      <c r="P673" s="241" t="s">
        <v>3345</v>
      </c>
      <c r="Q673" s="241" t="s">
        <v>3347</v>
      </c>
      <c r="R673" s="243" t="s">
        <v>4562</v>
      </c>
      <c r="S673" s="270">
        <f t="shared" si="23"/>
        <v>32778</v>
      </c>
      <c r="T673" s="270"/>
      <c r="U673" s="270">
        <f>IFERROR(VLOOKUP($A673,GeneratingCapabilityList!$E$7:$O$1673,11,FALSE),"ID Not Found")</f>
        <v>32778</v>
      </c>
      <c r="V673" s="271" t="str">
        <f>IFERROR(VLOOKUP($A673,GeneratingCapabilityList!$E$7:$O$1673,6,FALSE),"UNKNOWN")</f>
        <v>COGENERATION</v>
      </c>
      <c r="W673" s="271">
        <f>IFERROR(VLOOKUP($A673,GeneratingCapabilityList!$E$7:$O$1673,3,FALSE),"ID Not Found")</f>
        <v>45</v>
      </c>
      <c r="Y673" s="270"/>
    </row>
    <row r="674" spans="1:25">
      <c r="A674" s="241" t="s">
        <v>1402</v>
      </c>
      <c r="B674" s="241" t="s">
        <v>3373</v>
      </c>
      <c r="C674" s="241" t="s">
        <v>3777</v>
      </c>
      <c r="D674" s="242">
        <v>16.760000000000002</v>
      </c>
      <c r="E674" s="242">
        <v>10.69</v>
      </c>
      <c r="F674" s="242">
        <v>12.14</v>
      </c>
      <c r="G674" s="242">
        <v>15.4</v>
      </c>
      <c r="H674" s="242">
        <v>10.32</v>
      </c>
      <c r="I674" s="242">
        <v>19.170000000000002</v>
      </c>
      <c r="J674" s="242">
        <v>17.82</v>
      </c>
      <c r="K674" s="242">
        <v>17.149999999999999</v>
      </c>
      <c r="L674" s="242">
        <v>16.059999999999999</v>
      </c>
      <c r="M674" s="242">
        <v>18.57</v>
      </c>
      <c r="N674" s="242">
        <v>16.260000000000002</v>
      </c>
      <c r="O674" s="242">
        <v>18.04</v>
      </c>
      <c r="P674" s="241" t="s">
        <v>3345</v>
      </c>
      <c r="Q674" s="241" t="s">
        <v>3347</v>
      </c>
      <c r="R674" s="243" t="s">
        <v>4562</v>
      </c>
      <c r="S674" s="270">
        <f t="shared" si="23"/>
        <v>31567</v>
      </c>
      <c r="T674" s="270"/>
      <c r="U674" s="270">
        <f>IFERROR(VLOOKUP($A674,GeneratingCapabilityList!$E$7:$O$1673,11,FALSE),"ID Not Found")</f>
        <v>31567</v>
      </c>
      <c r="V674" s="271" t="str">
        <f>IFERROR(VLOOKUP($A674,GeneratingCapabilityList!$E$7:$O$1673,6,FALSE),"UNKNOWN")</f>
        <v>BIOMASS</v>
      </c>
      <c r="W674" s="271">
        <f>IFERROR(VLOOKUP($A674,GeneratingCapabilityList!$E$7:$O$1673,3,FALSE),"ID Not Found")</f>
        <v>22</v>
      </c>
      <c r="Y674" s="270"/>
    </row>
    <row r="675" spans="1:25">
      <c r="A675" s="241" t="s">
        <v>1711</v>
      </c>
      <c r="B675" s="241" t="s">
        <v>3349</v>
      </c>
      <c r="C675" s="241" t="s">
        <v>3778</v>
      </c>
      <c r="D675" s="242">
        <v>21.58</v>
      </c>
      <c r="E675" s="242">
        <v>22.88</v>
      </c>
      <c r="F675" s="242">
        <v>24.05</v>
      </c>
      <c r="G675" s="242">
        <v>22.3</v>
      </c>
      <c r="H675" s="242">
        <v>16.8</v>
      </c>
      <c r="I675" s="242">
        <v>22.2</v>
      </c>
      <c r="J675" s="242">
        <v>20.51</v>
      </c>
      <c r="K675" s="242">
        <v>21.79</v>
      </c>
      <c r="L675" s="242">
        <v>22.78</v>
      </c>
      <c r="M675" s="242">
        <v>21.42</v>
      </c>
      <c r="N675" s="242">
        <v>22.67</v>
      </c>
      <c r="O675" s="242">
        <v>24</v>
      </c>
      <c r="P675" s="241" t="s">
        <v>3345</v>
      </c>
      <c r="Q675" s="241" t="s">
        <v>3347</v>
      </c>
      <c r="R675" s="243" t="s">
        <v>4562</v>
      </c>
      <c r="S675" s="270">
        <f t="shared" si="23"/>
        <v>32344</v>
      </c>
      <c r="T675" s="270"/>
      <c r="U675" s="270">
        <f>IFERROR(VLOOKUP($A675,GeneratingCapabilityList!$E$7:$O$1673,11,FALSE),"ID Not Found")</f>
        <v>32344</v>
      </c>
      <c r="V675" s="271" t="str">
        <f>IFERROR(VLOOKUP($A675,GeneratingCapabilityList!$E$7:$O$1673,6,FALSE),"UNKNOWN")</f>
        <v>BIOMASS</v>
      </c>
      <c r="W675" s="271">
        <f>IFERROR(VLOOKUP($A675,GeneratingCapabilityList!$E$7:$O$1673,3,FALSE),"ID Not Found")</f>
        <v>30.5</v>
      </c>
      <c r="Y675" s="270"/>
    </row>
    <row r="676" spans="1:25">
      <c r="A676" s="241" t="s">
        <v>1843</v>
      </c>
      <c r="B676" s="241" t="s">
        <v>3375</v>
      </c>
      <c r="C676" s="241" t="s">
        <v>3779</v>
      </c>
      <c r="D676" s="242">
        <v>22.26</v>
      </c>
      <c r="E676" s="242">
        <v>21.82</v>
      </c>
      <c r="F676" s="242">
        <v>20.59</v>
      </c>
      <c r="G676" s="242">
        <v>20.89</v>
      </c>
      <c r="H676" s="242">
        <v>13.86</v>
      </c>
      <c r="I676" s="242">
        <v>23.31</v>
      </c>
      <c r="J676" s="242">
        <v>21.34</v>
      </c>
      <c r="K676" s="242">
        <v>21.71</v>
      </c>
      <c r="L676" s="242">
        <v>22.53</v>
      </c>
      <c r="M676" s="242">
        <v>22.31</v>
      </c>
      <c r="N676" s="242">
        <v>23.9</v>
      </c>
      <c r="O676" s="242">
        <v>21.99</v>
      </c>
      <c r="P676" s="241" t="s">
        <v>3345</v>
      </c>
      <c r="Q676" s="241" t="s">
        <v>3347</v>
      </c>
      <c r="R676" s="243" t="s">
        <v>4562</v>
      </c>
      <c r="S676" s="270">
        <f t="shared" si="23"/>
        <v>32668</v>
      </c>
      <c r="T676" s="270"/>
      <c r="U676" s="270">
        <f>IFERROR(VLOOKUP($A676,GeneratingCapabilityList!$E$7:$O$1673,11,FALSE),"ID Not Found")</f>
        <v>32668</v>
      </c>
      <c r="V676" s="271" t="str">
        <f>IFERROR(VLOOKUP($A676,GeneratingCapabilityList!$E$7:$O$1673,6,FALSE),"UNKNOWN")</f>
        <v>BIOMASS</v>
      </c>
      <c r="W676" s="271">
        <f>IFERROR(VLOOKUP($A676,GeneratingCapabilityList!$E$7:$O$1673,3,FALSE),"ID Not Found")</f>
        <v>28.8</v>
      </c>
      <c r="Y676" s="270"/>
    </row>
    <row r="677" spans="1:25">
      <c r="A677" s="241" t="s">
        <v>851</v>
      </c>
      <c r="B677" s="241" t="s">
        <v>3324</v>
      </c>
      <c r="C677" s="241" t="s">
        <v>852</v>
      </c>
      <c r="D677" s="242">
        <v>15.98</v>
      </c>
      <c r="E677" s="242">
        <v>14.78</v>
      </c>
      <c r="F677" s="242">
        <v>14.61</v>
      </c>
      <c r="G677" s="242">
        <v>9.8800000000000008</v>
      </c>
      <c r="H677" s="242">
        <v>13.41</v>
      </c>
      <c r="I677" s="242">
        <v>15.22</v>
      </c>
      <c r="J677" s="242">
        <v>14.99</v>
      </c>
      <c r="K677" s="242">
        <v>16.420000000000002</v>
      </c>
      <c r="L677" s="242">
        <v>16.82</v>
      </c>
      <c r="M677" s="242">
        <v>14.81</v>
      </c>
      <c r="N677" s="242">
        <v>14.58</v>
      </c>
      <c r="O677" s="242">
        <v>15.89</v>
      </c>
      <c r="P677" s="241" t="s">
        <v>3345</v>
      </c>
      <c r="Q677" s="241" t="s">
        <v>3347</v>
      </c>
      <c r="R677" s="243" t="s">
        <v>4562</v>
      </c>
      <c r="S677" s="270">
        <f t="shared" si="23"/>
        <v>30317</v>
      </c>
      <c r="T677" s="270"/>
      <c r="U677" s="270">
        <f>IFERROR(VLOOKUP($A677,GeneratingCapabilityList!$E$7:$O$1673,11,FALSE),"ID Not Found")</f>
        <v>30317</v>
      </c>
      <c r="V677" s="271" t="str">
        <f>IFERROR(VLOOKUP($A677,GeneratingCapabilityList!$E$7:$O$1673,6,FALSE),"UNKNOWN")</f>
        <v>COGENERATION</v>
      </c>
      <c r="W677" s="271">
        <f>IFERROR(VLOOKUP($A677,GeneratingCapabilityList!$E$7:$O$1673,3,FALSE),"ID Not Found")</f>
        <v>19</v>
      </c>
      <c r="Y677" s="270"/>
    </row>
    <row r="678" spans="1:25">
      <c r="A678" s="241" t="s">
        <v>1554</v>
      </c>
      <c r="B678" s="241" t="s">
        <v>3324</v>
      </c>
      <c r="C678" s="241" t="s">
        <v>3780</v>
      </c>
      <c r="D678" s="242">
        <v>2.13</v>
      </c>
      <c r="E678" s="242">
        <v>0.73</v>
      </c>
      <c r="F678" s="242">
        <v>2.13</v>
      </c>
      <c r="G678" s="242">
        <v>2.19</v>
      </c>
      <c r="H678" s="242">
        <v>7.71</v>
      </c>
      <c r="I678" s="242">
        <v>4.3499999999999996</v>
      </c>
      <c r="J678" s="242">
        <v>0.7</v>
      </c>
      <c r="K678" s="242">
        <v>0.41</v>
      </c>
      <c r="L678" s="242">
        <v>1.03</v>
      </c>
      <c r="M678" s="242">
        <v>3.01</v>
      </c>
      <c r="N678" s="242">
        <v>2.66</v>
      </c>
      <c r="O678" s="242">
        <v>2.77</v>
      </c>
      <c r="P678" s="241" t="s">
        <v>3345</v>
      </c>
      <c r="Q678" s="241" t="s">
        <v>3347</v>
      </c>
      <c r="R678" s="243" t="s">
        <v>4562</v>
      </c>
      <c r="S678" s="270">
        <f t="shared" si="23"/>
        <v>31918</v>
      </c>
      <c r="T678" s="270"/>
      <c r="U678" s="270">
        <f>IFERROR(VLOOKUP($A678,GeneratingCapabilityList!$E$7:$O$1673,11,FALSE),"ID Not Found")</f>
        <v>31918</v>
      </c>
      <c r="V678" s="271" t="str">
        <f>IFERROR(VLOOKUP($A678,GeneratingCapabilityList!$E$7:$O$1673,6,FALSE),"UNKNOWN")</f>
        <v>COGENERATION</v>
      </c>
      <c r="W678" s="271">
        <f>IFERROR(VLOOKUP($A678,GeneratingCapabilityList!$E$7:$O$1673,3,FALSE),"ID Not Found")</f>
        <v>57.3</v>
      </c>
      <c r="Y678" s="270"/>
    </row>
    <row r="679" spans="1:25">
      <c r="A679" s="241" t="s">
        <v>1294</v>
      </c>
      <c r="B679" s="241" t="s">
        <v>3370</v>
      </c>
      <c r="C679" s="241" t="s">
        <v>1295</v>
      </c>
      <c r="D679" s="242">
        <v>36.200000000000003</v>
      </c>
      <c r="E679" s="242">
        <v>36.76</v>
      </c>
      <c r="F679" s="242">
        <v>33.67</v>
      </c>
      <c r="G679" s="242">
        <v>33.68</v>
      </c>
      <c r="H679" s="242">
        <v>35</v>
      </c>
      <c r="I679" s="242">
        <v>34.97</v>
      </c>
      <c r="J679" s="242">
        <v>34.18</v>
      </c>
      <c r="K679" s="242">
        <v>34.32</v>
      </c>
      <c r="L679" s="242">
        <v>33.69</v>
      </c>
      <c r="M679" s="242">
        <v>35.590000000000003</v>
      </c>
      <c r="N679" s="242">
        <v>32.81</v>
      </c>
      <c r="O679" s="242">
        <v>36.880000000000003</v>
      </c>
      <c r="P679" s="241" t="s">
        <v>3345</v>
      </c>
      <c r="Q679" s="241" t="s">
        <v>3347</v>
      </c>
      <c r="R679" s="243" t="s">
        <v>4562</v>
      </c>
      <c r="S679" s="270">
        <f t="shared" ref="S679:S695" si="24">U679</f>
        <v>31413</v>
      </c>
      <c r="T679" s="270"/>
      <c r="U679" s="270">
        <f>IFERROR(VLOOKUP($A679,GeneratingCapabilityList!$E$7:$O$1673,11,FALSE),"ID Not Found")</f>
        <v>31413</v>
      </c>
      <c r="V679" s="271" t="str">
        <f>IFERROR(VLOOKUP($A679,GeneratingCapabilityList!$E$7:$O$1673,6,FALSE),"UNKNOWN")</f>
        <v>COGENERATION</v>
      </c>
      <c r="W679" s="271">
        <f>IFERROR(VLOOKUP($A679,GeneratingCapabilityList!$E$7:$O$1673,3,FALSE),"ID Not Found")</f>
        <v>38</v>
      </c>
      <c r="Y679" s="270"/>
    </row>
    <row r="680" spans="1:25">
      <c r="A680" s="241" t="s">
        <v>1642</v>
      </c>
      <c r="B680" s="241" t="s">
        <v>3361</v>
      </c>
      <c r="C680" s="241" t="s">
        <v>3781</v>
      </c>
      <c r="D680" s="242">
        <v>0</v>
      </c>
      <c r="E680" s="242">
        <v>0.65</v>
      </c>
      <c r="F680" s="242">
        <v>2.15</v>
      </c>
      <c r="G680" s="242">
        <v>1.61</v>
      </c>
      <c r="H680" s="242">
        <v>2.95</v>
      </c>
      <c r="I680" s="242">
        <v>3.72</v>
      </c>
      <c r="J680" s="242">
        <v>4.01</v>
      </c>
      <c r="K680" s="242">
        <v>3.33</v>
      </c>
      <c r="L680" s="242">
        <v>0.88</v>
      </c>
      <c r="M680" s="242">
        <v>0.74</v>
      </c>
      <c r="N680" s="242">
        <v>0</v>
      </c>
      <c r="O680" s="242">
        <v>0</v>
      </c>
      <c r="P680" s="241" t="s">
        <v>3345</v>
      </c>
      <c r="Q680" s="241" t="s">
        <v>3347</v>
      </c>
      <c r="R680" s="243" t="s">
        <v>4562</v>
      </c>
      <c r="S680" s="270">
        <f t="shared" si="24"/>
        <v>32143</v>
      </c>
      <c r="T680" s="270"/>
      <c r="U680" s="270">
        <f>IFERROR(VLOOKUP($A680,GeneratingCapabilityList!$E$7:$O$1673,11,FALSE),"ID Not Found")</f>
        <v>32143</v>
      </c>
      <c r="V680" s="271" t="str">
        <f>IFERROR(VLOOKUP($A680,GeneratingCapabilityList!$E$7:$O$1673,6,FALSE),"UNKNOWN")</f>
        <v>WIND</v>
      </c>
      <c r="W680" s="271">
        <f>IFERROR(VLOOKUP($A680,GeneratingCapabilityList!$E$7:$O$1673,3,FALSE),"ID Not Found")</f>
        <v>38.9</v>
      </c>
      <c r="Y680" s="270"/>
    </row>
    <row r="681" spans="1:25">
      <c r="A681" s="241" t="s">
        <v>1637</v>
      </c>
      <c r="B681" s="241" t="s">
        <v>3361</v>
      </c>
      <c r="C681" s="241" t="s">
        <v>3782</v>
      </c>
      <c r="D681" s="242">
        <v>0</v>
      </c>
      <c r="E681" s="242">
        <v>2.13</v>
      </c>
      <c r="F681" s="242">
        <v>7.44</v>
      </c>
      <c r="G681" s="242">
        <v>5.97</v>
      </c>
      <c r="H681" s="242">
        <v>10.42</v>
      </c>
      <c r="I681" s="242">
        <v>10.79</v>
      </c>
      <c r="J681" s="242">
        <v>12.65</v>
      </c>
      <c r="K681" s="242">
        <v>9.73</v>
      </c>
      <c r="L681" s="242">
        <v>3.16</v>
      </c>
      <c r="M681" s="242">
        <v>2.57</v>
      </c>
      <c r="N681" s="242">
        <v>0</v>
      </c>
      <c r="O681" s="242">
        <v>0</v>
      </c>
      <c r="P681" s="241" t="s">
        <v>3345</v>
      </c>
      <c r="Q681" s="241" t="s">
        <v>3347</v>
      </c>
      <c r="R681" s="243" t="s">
        <v>4562</v>
      </c>
      <c r="S681" s="270">
        <f t="shared" si="24"/>
        <v>32143</v>
      </c>
      <c r="T681" s="270"/>
      <c r="U681" s="270">
        <f>IFERROR(VLOOKUP($A681,GeneratingCapabilityList!$E$7:$O$1673,11,FALSE),"ID Not Found")</f>
        <v>32143</v>
      </c>
      <c r="V681" s="271" t="str">
        <f>IFERROR(VLOOKUP($A681,GeneratingCapabilityList!$E$7:$O$1673,6,FALSE),"UNKNOWN")</f>
        <v>WIND</v>
      </c>
      <c r="W681" s="271">
        <f>IFERROR(VLOOKUP($A681,GeneratingCapabilityList!$E$7:$O$1673,3,FALSE),"ID Not Found")</f>
        <v>138.5</v>
      </c>
      <c r="Y681" s="270"/>
    </row>
    <row r="682" spans="1:25">
      <c r="A682" s="241" t="s">
        <v>1484</v>
      </c>
      <c r="B682" s="241" t="s">
        <v>3361</v>
      </c>
      <c r="C682" s="241" t="s">
        <v>3783</v>
      </c>
      <c r="D682" s="242">
        <v>6.02</v>
      </c>
      <c r="E682" s="242">
        <v>7.03</v>
      </c>
      <c r="F682" s="242">
        <v>10.18</v>
      </c>
      <c r="G682" s="242">
        <v>7.75</v>
      </c>
      <c r="H682" s="242">
        <v>9.58</v>
      </c>
      <c r="I682" s="242">
        <v>9.16</v>
      </c>
      <c r="J682" s="242">
        <v>10.41</v>
      </c>
      <c r="K682" s="242">
        <v>8.16</v>
      </c>
      <c r="L682" s="242">
        <v>6.32</v>
      </c>
      <c r="M682" s="242">
        <v>7.09</v>
      </c>
      <c r="N682" s="242">
        <v>6.91</v>
      </c>
      <c r="O682" s="242">
        <v>5.66</v>
      </c>
      <c r="P682" s="241" t="s">
        <v>3345</v>
      </c>
      <c r="Q682" s="241" t="s">
        <v>3347</v>
      </c>
      <c r="R682" s="243" t="s">
        <v>4562</v>
      </c>
      <c r="S682" s="270">
        <f t="shared" si="24"/>
        <v>31778</v>
      </c>
      <c r="T682" s="270"/>
      <c r="U682" s="270">
        <f>IFERROR(VLOOKUP($A682,GeneratingCapabilityList!$E$7:$O$1673,11,FALSE),"ID Not Found")</f>
        <v>31778</v>
      </c>
      <c r="V682" s="271" t="str">
        <f>IFERROR(VLOOKUP($A682,GeneratingCapabilityList!$E$7:$O$1673,6,FALSE),"UNKNOWN")</f>
        <v>WIND</v>
      </c>
      <c r="W682" s="271">
        <f>IFERROR(VLOOKUP($A682,GeneratingCapabilityList!$E$7:$O$1673,3,FALSE),"ID Not Found")</f>
        <v>80.2</v>
      </c>
      <c r="Y682" s="270"/>
    </row>
    <row r="683" spans="1:25">
      <c r="A683" s="241" t="s">
        <v>2166</v>
      </c>
      <c r="B683" s="241" t="s">
        <v>3324</v>
      </c>
      <c r="C683" s="241" t="s">
        <v>3784</v>
      </c>
      <c r="D683" s="242">
        <v>1.72</v>
      </c>
      <c r="E683" s="242">
        <v>6.79</v>
      </c>
      <c r="F683" s="242">
        <v>10.71</v>
      </c>
      <c r="G683" s="242">
        <v>9.89</v>
      </c>
      <c r="H683" s="242">
        <v>18.62</v>
      </c>
      <c r="I683" s="242">
        <v>23.38</v>
      </c>
      <c r="J683" s="242">
        <v>27.16</v>
      </c>
      <c r="K683" s="242">
        <v>21.05</v>
      </c>
      <c r="L683" s="242">
        <v>5.3</v>
      </c>
      <c r="M683" s="242">
        <v>2.52</v>
      </c>
      <c r="N683" s="242">
        <v>3.83</v>
      </c>
      <c r="O683" s="242">
        <v>3.66</v>
      </c>
      <c r="P683" s="241" t="s">
        <v>3345</v>
      </c>
      <c r="Q683" s="241" t="s">
        <v>3347</v>
      </c>
      <c r="R683" s="243" t="s">
        <v>4562</v>
      </c>
      <c r="S683" s="270">
        <f t="shared" si="24"/>
        <v>34335</v>
      </c>
      <c r="T683" s="270"/>
      <c r="U683" s="270">
        <f>IFERROR(VLOOKUP($A683,GeneratingCapabilityList!$E$7:$O$1673,11,FALSE),"ID Not Found")</f>
        <v>34335</v>
      </c>
      <c r="V683" s="271" t="str">
        <f>IFERROR(VLOOKUP($A683,GeneratingCapabilityList!$E$7:$O$1673,6,FALSE),"UNKNOWN")</f>
        <v>WIND</v>
      </c>
      <c r="W683" s="271">
        <f>IFERROR(VLOOKUP($A683,GeneratingCapabilityList!$E$7:$O$1673,3,FALSE),"ID Not Found")</f>
        <v>102.18</v>
      </c>
      <c r="Y683" s="270"/>
    </row>
    <row r="684" spans="1:25">
      <c r="A684" s="245" t="s">
        <v>4679</v>
      </c>
      <c r="B684" s="245" t="s">
        <v>3324</v>
      </c>
      <c r="C684" s="245" t="s">
        <v>4680</v>
      </c>
      <c r="D684" s="242">
        <v>5.01</v>
      </c>
      <c r="E684" s="242">
        <v>11.57</v>
      </c>
      <c r="F684" s="242">
        <v>24.62</v>
      </c>
      <c r="G684" s="242">
        <v>27.25</v>
      </c>
      <c r="H684" s="242">
        <v>33.89</v>
      </c>
      <c r="I684" s="242">
        <v>36.78</v>
      </c>
      <c r="J684" s="242">
        <v>24.87</v>
      </c>
      <c r="K684" s="242">
        <v>20.92</v>
      </c>
      <c r="L684" s="242">
        <v>8.17</v>
      </c>
      <c r="M684" s="242">
        <v>8.17</v>
      </c>
      <c r="N684" s="242">
        <v>8.51</v>
      </c>
      <c r="O684" s="242">
        <v>5.45</v>
      </c>
      <c r="P684" s="241" t="s">
        <v>3345</v>
      </c>
      <c r="Q684" s="241" t="s">
        <v>3347</v>
      </c>
      <c r="R684" s="243" t="s">
        <v>4562</v>
      </c>
      <c r="S684" s="270">
        <f t="shared" si="24"/>
        <v>41017</v>
      </c>
      <c r="T684" s="270"/>
      <c r="U684" s="270">
        <f>IFERROR(VLOOKUP($A684,GeneratingCapabilityList!$E$7:$O$1673,11,FALSE),"ID Not Found")</f>
        <v>41017</v>
      </c>
      <c r="V684" s="271" t="str">
        <f>IFERROR(VLOOKUP($A684,GeneratingCapabilityList!$E$7:$O$1673,6,FALSE),"UNKNOWN")</f>
        <v>WIND</v>
      </c>
      <c r="W684" s="271">
        <f>IFERROR(VLOOKUP($A684,GeneratingCapabilityList!$E$7:$O$1673,3,FALSE),"ID Not Found")</f>
        <v>127.8</v>
      </c>
      <c r="Y684" s="270"/>
    </row>
    <row r="685" spans="1:25">
      <c r="A685" s="241" t="s">
        <v>2164</v>
      </c>
      <c r="B685" s="241" t="s">
        <v>3324</v>
      </c>
      <c r="C685" s="241" t="s">
        <v>3785</v>
      </c>
      <c r="D685" s="242">
        <v>1.02</v>
      </c>
      <c r="E685" s="242">
        <v>5.35</v>
      </c>
      <c r="F685" s="242">
        <v>4.71</v>
      </c>
      <c r="G685" s="242">
        <v>5.66</v>
      </c>
      <c r="H685" s="242">
        <v>10.79</v>
      </c>
      <c r="I685" s="242">
        <v>16.309999999999999</v>
      </c>
      <c r="J685" s="242">
        <v>22.55</v>
      </c>
      <c r="K685" s="242">
        <v>15.97</v>
      </c>
      <c r="L685" s="242">
        <v>1.93</v>
      </c>
      <c r="M685" s="242">
        <v>1.66</v>
      </c>
      <c r="N685" s="242">
        <v>3.09</v>
      </c>
      <c r="O685" s="242">
        <v>1.51</v>
      </c>
      <c r="P685" s="241" t="s">
        <v>3345</v>
      </c>
      <c r="Q685" s="241" t="s">
        <v>3347</v>
      </c>
      <c r="R685" s="243" t="s">
        <v>4562</v>
      </c>
      <c r="S685" s="270">
        <f t="shared" si="24"/>
        <v>34335</v>
      </c>
      <c r="T685" s="270"/>
      <c r="U685" s="270">
        <f>IFERROR(VLOOKUP($A685,GeneratingCapabilityList!$E$7:$O$1673,11,FALSE),"ID Not Found")</f>
        <v>34335</v>
      </c>
      <c r="V685" s="271" t="str">
        <f>IFERROR(VLOOKUP($A685,GeneratingCapabilityList!$E$7:$O$1673,6,FALSE),"UNKNOWN")</f>
        <v>WIND</v>
      </c>
      <c r="W685" s="271">
        <f>IFERROR(VLOOKUP($A685,GeneratingCapabilityList!$E$7:$O$1673,3,FALSE),"ID Not Found")</f>
        <v>59.6</v>
      </c>
      <c r="Y685" s="270"/>
    </row>
    <row r="686" spans="1:25">
      <c r="A686" s="241" t="s">
        <v>1307</v>
      </c>
      <c r="B686" s="241" t="s">
        <v>3324</v>
      </c>
      <c r="C686" s="241" t="s">
        <v>3786</v>
      </c>
      <c r="D686" s="242">
        <v>0</v>
      </c>
      <c r="E686" s="242">
        <v>0.2</v>
      </c>
      <c r="F686" s="242">
        <v>0.75</v>
      </c>
      <c r="G686" s="242">
        <v>0.52</v>
      </c>
      <c r="H686" s="242">
        <v>1.17</v>
      </c>
      <c r="I686" s="242">
        <v>1.37</v>
      </c>
      <c r="J686" s="242">
        <v>1.58</v>
      </c>
      <c r="K686" s="242">
        <v>1.21</v>
      </c>
      <c r="L686" s="242">
        <v>0.27</v>
      </c>
      <c r="M686" s="242">
        <v>0.27</v>
      </c>
      <c r="N686" s="242">
        <v>0</v>
      </c>
      <c r="O686" s="242">
        <v>0</v>
      </c>
      <c r="P686" s="241" t="s">
        <v>3345</v>
      </c>
      <c r="Q686" s="241" t="s">
        <v>3347</v>
      </c>
      <c r="R686" s="243" t="s">
        <v>4562</v>
      </c>
      <c r="S686" s="270">
        <f t="shared" si="24"/>
        <v>31413</v>
      </c>
      <c r="T686" s="270"/>
      <c r="U686" s="270">
        <f>IFERROR(VLOOKUP($A686,GeneratingCapabilityList!$E$7:$O$1673,11,FALSE),"ID Not Found")</f>
        <v>31413</v>
      </c>
      <c r="V686" s="271" t="str">
        <f>IFERROR(VLOOKUP($A686,GeneratingCapabilityList!$E$7:$O$1673,6,FALSE),"UNKNOWN")</f>
        <v>WIND</v>
      </c>
      <c r="W686" s="271">
        <f>IFERROR(VLOOKUP($A686,GeneratingCapabilityList!$E$7:$O$1673,3,FALSE),"ID Not Found")</f>
        <v>10.9</v>
      </c>
      <c r="Y686" s="270"/>
    </row>
    <row r="687" spans="1:25">
      <c r="A687" s="241" t="s">
        <v>3079</v>
      </c>
      <c r="B687" s="241" t="s">
        <v>3324</v>
      </c>
      <c r="C687" s="241" t="s">
        <v>4681</v>
      </c>
      <c r="D687" s="242">
        <v>1.3</v>
      </c>
      <c r="E687" s="242">
        <v>7.15</v>
      </c>
      <c r="F687" s="242">
        <v>14.21</v>
      </c>
      <c r="G687" s="242">
        <v>14.77</v>
      </c>
      <c r="H687" s="242">
        <v>22.34</v>
      </c>
      <c r="I687" s="242">
        <v>22.8</v>
      </c>
      <c r="J687" s="242">
        <v>17.22</v>
      </c>
      <c r="K687" s="242">
        <v>14.37</v>
      </c>
      <c r="L687" s="242">
        <v>4.37</v>
      </c>
      <c r="M687" s="242">
        <v>4.41</v>
      </c>
      <c r="N687" s="242">
        <v>5.25</v>
      </c>
      <c r="O687" s="242">
        <v>4.13</v>
      </c>
      <c r="P687" s="241" t="s">
        <v>3345</v>
      </c>
      <c r="Q687" s="241" t="s">
        <v>3347</v>
      </c>
      <c r="R687" s="243" t="s">
        <v>4562</v>
      </c>
      <c r="S687" s="270">
        <f t="shared" si="24"/>
        <v>32143</v>
      </c>
      <c r="T687" s="270"/>
      <c r="U687" s="270">
        <f>IFERROR(VLOOKUP($A687,GeneratingCapabilityList!$E$7:$O$1673,11,FALSE),"ID Not Found")</f>
        <v>32143</v>
      </c>
      <c r="V687" s="271" t="str">
        <f>IFERROR(VLOOKUP($A687,GeneratingCapabilityList!$E$7:$O$1673,6,FALSE),"UNKNOWN")</f>
        <v>WIND</v>
      </c>
      <c r="W687" s="271">
        <f>IFERROR(VLOOKUP($A687,GeneratingCapabilityList!$E$7:$O$1673,3,FALSE),"ID Not Found")</f>
        <v>78.2</v>
      </c>
      <c r="Y687" s="270"/>
    </row>
    <row r="688" spans="1:25">
      <c r="A688" s="241" t="s">
        <v>898</v>
      </c>
      <c r="B688" s="241" t="s">
        <v>3361</v>
      </c>
      <c r="C688" s="241" t="s">
        <v>3787</v>
      </c>
      <c r="D688" s="242">
        <v>0</v>
      </c>
      <c r="E688" s="242">
        <v>0</v>
      </c>
      <c r="F688" s="242">
        <v>0</v>
      </c>
      <c r="G688" s="242">
        <v>0</v>
      </c>
      <c r="H688" s="242">
        <v>0</v>
      </c>
      <c r="I688" s="242">
        <v>0</v>
      </c>
      <c r="J688" s="242">
        <v>0</v>
      </c>
      <c r="K688" s="242">
        <v>0</v>
      </c>
      <c r="L688" s="242">
        <v>0</v>
      </c>
      <c r="M688" s="242">
        <v>0</v>
      </c>
      <c r="N688" s="242">
        <v>0</v>
      </c>
      <c r="O688" s="242">
        <v>0</v>
      </c>
      <c r="P688" s="241" t="s">
        <v>3345</v>
      </c>
      <c r="Q688" s="241" t="s">
        <v>3347</v>
      </c>
      <c r="R688" s="243" t="s">
        <v>4562</v>
      </c>
      <c r="S688" s="270">
        <f t="shared" si="24"/>
        <v>30317</v>
      </c>
      <c r="T688" s="270"/>
      <c r="U688" s="270">
        <f>IFERROR(VLOOKUP($A688,GeneratingCapabilityList!$E$7:$O$1673,11,FALSE),"ID Not Found")</f>
        <v>30317</v>
      </c>
      <c r="V688" s="271" t="str">
        <f>IFERROR(VLOOKUP($A688,GeneratingCapabilityList!$E$7:$O$1673,6,FALSE),"UNKNOWN")</f>
        <v>WIND</v>
      </c>
      <c r="W688" s="271">
        <f>IFERROR(VLOOKUP($A688,GeneratingCapabilityList!$E$7:$O$1673,3,FALSE),"ID Not Found")</f>
        <v>1</v>
      </c>
      <c r="Y688" s="270"/>
    </row>
    <row r="689" spans="1:25">
      <c r="A689" s="241" t="s">
        <v>2922</v>
      </c>
      <c r="B689" s="241" t="s">
        <v>3361</v>
      </c>
      <c r="C689" s="241" t="s">
        <v>2923</v>
      </c>
      <c r="D689" s="242">
        <v>0</v>
      </c>
      <c r="E689" s="242">
        <v>0.03</v>
      </c>
      <c r="F689" s="242">
        <v>0.12</v>
      </c>
      <c r="G689" s="242">
        <v>1.24</v>
      </c>
      <c r="H689" s="242">
        <v>1.4</v>
      </c>
      <c r="I689" s="242">
        <v>1.44</v>
      </c>
      <c r="J689" s="242">
        <v>1.74</v>
      </c>
      <c r="K689" s="242">
        <v>1.7</v>
      </c>
      <c r="L689" s="242">
        <v>1.42</v>
      </c>
      <c r="M689" s="242">
        <v>0.98</v>
      </c>
      <c r="N689" s="242">
        <v>0.01</v>
      </c>
      <c r="O689" s="242">
        <v>0</v>
      </c>
      <c r="P689" s="241" t="s">
        <v>3345</v>
      </c>
      <c r="Q689" s="241" t="s">
        <v>3347</v>
      </c>
      <c r="R689" s="243" t="s">
        <v>4561</v>
      </c>
      <c r="S689" s="270">
        <f t="shared" si="24"/>
        <v>40170</v>
      </c>
      <c r="T689" s="270"/>
      <c r="U689" s="270">
        <f>IFERROR(VLOOKUP($A689,GeneratingCapabilityList!$E$7:$O$1673,11,FALSE),"ID Not Found")</f>
        <v>40170</v>
      </c>
      <c r="V689" s="271" t="str">
        <f>IFERROR(VLOOKUP($A689,GeneratingCapabilityList!$E$7:$O$1673,6,FALSE),"UNKNOWN")</f>
        <v>SOLAR</v>
      </c>
      <c r="W689" s="271">
        <f>IFERROR(VLOOKUP($A689,GeneratingCapabilityList!$E$7:$O$1673,3,FALSE),"ID Not Found")</f>
        <v>2.5</v>
      </c>
      <c r="Y689" s="270"/>
    </row>
    <row r="690" spans="1:25">
      <c r="A690" s="241" t="s">
        <v>2522</v>
      </c>
      <c r="B690" s="241" t="s">
        <v>3361</v>
      </c>
      <c r="C690" s="241" t="s">
        <v>4682</v>
      </c>
      <c r="D690" s="242">
        <v>48</v>
      </c>
      <c r="E690" s="242">
        <v>48</v>
      </c>
      <c r="F690" s="242">
        <v>48</v>
      </c>
      <c r="G690" s="242">
        <v>48</v>
      </c>
      <c r="H690" s="242">
        <v>48</v>
      </c>
      <c r="I690" s="242">
        <v>48</v>
      </c>
      <c r="J690" s="242">
        <v>48</v>
      </c>
      <c r="K690" s="242">
        <v>48</v>
      </c>
      <c r="L690" s="242">
        <v>48</v>
      </c>
      <c r="M690" s="242">
        <v>48</v>
      </c>
      <c r="N690" s="242">
        <v>48</v>
      </c>
      <c r="O690" s="242">
        <v>48</v>
      </c>
      <c r="P690" s="241" t="s">
        <v>3345</v>
      </c>
      <c r="Q690" s="241" t="s">
        <v>3347</v>
      </c>
      <c r="R690" s="243" t="s">
        <v>4561</v>
      </c>
      <c r="S690" s="270">
        <f t="shared" si="24"/>
        <v>37428</v>
      </c>
      <c r="T690" s="270"/>
      <c r="U690" s="270">
        <f>IFERROR(VLOOKUP($A690,GeneratingCapabilityList!$E$7:$O$1673,11,FALSE),"ID Not Found")</f>
        <v>37428</v>
      </c>
      <c r="V690" s="271" t="str">
        <f>IFERROR(VLOOKUP($A690,GeneratingCapabilityList!$E$7:$O$1673,6,FALSE),"UNKNOWN")</f>
        <v>PEAKER</v>
      </c>
      <c r="W690" s="271">
        <f>IFERROR(VLOOKUP($A690,GeneratingCapabilityList!$E$7:$O$1673,3,FALSE),"ID Not Found")</f>
        <v>50.61</v>
      </c>
      <c r="Y690" s="270"/>
    </row>
    <row r="691" spans="1:25">
      <c r="A691" s="241" t="s">
        <v>866</v>
      </c>
      <c r="B691" s="241" t="s">
        <v>3327</v>
      </c>
      <c r="C691" s="241" t="s">
        <v>867</v>
      </c>
      <c r="D691" s="242">
        <v>7.94</v>
      </c>
      <c r="E691" s="242">
        <v>7.94</v>
      </c>
      <c r="F691" s="242">
        <v>7.94</v>
      </c>
      <c r="G691" s="242">
        <v>7.94</v>
      </c>
      <c r="H691" s="242">
        <v>7.94</v>
      </c>
      <c r="I691" s="242">
        <v>7.94</v>
      </c>
      <c r="J691" s="242">
        <v>7.94</v>
      </c>
      <c r="K691" s="242">
        <v>7.94</v>
      </c>
      <c r="L691" s="242">
        <v>7.94</v>
      </c>
      <c r="M691" s="242">
        <v>7.94</v>
      </c>
      <c r="N691" s="242">
        <v>7.94</v>
      </c>
      <c r="O691" s="242">
        <v>7.94</v>
      </c>
      <c r="P691" s="241" t="s">
        <v>3352</v>
      </c>
      <c r="Q691" s="241" t="s">
        <v>3347</v>
      </c>
      <c r="R691" s="243" t="s">
        <v>4561</v>
      </c>
      <c r="S691" s="270">
        <f t="shared" si="24"/>
        <v>30317</v>
      </c>
      <c r="T691" s="270"/>
      <c r="U691" s="270">
        <f>IFERROR(VLOOKUP($A691,GeneratingCapabilityList!$E$7:$O$1673,11,FALSE),"ID Not Found")</f>
        <v>30317</v>
      </c>
      <c r="V691" s="271" t="str">
        <f>IFERROR(VLOOKUP($A691,GeneratingCapabilityList!$E$7:$O$1673,6,FALSE),"UNKNOWN")</f>
        <v>HYDRO</v>
      </c>
      <c r="W691" s="271">
        <f>IFERROR(VLOOKUP($A691,GeneratingCapabilityList!$E$7:$O$1673,3,FALSE),"ID Not Found")</f>
        <v>7.94</v>
      </c>
      <c r="Y691" s="270"/>
    </row>
    <row r="692" spans="1:25">
      <c r="A692" s="241" t="s">
        <v>1138</v>
      </c>
      <c r="B692" s="241" t="s">
        <v>3327</v>
      </c>
      <c r="C692" s="241" t="s">
        <v>3788</v>
      </c>
      <c r="D692" s="242">
        <v>2.9</v>
      </c>
      <c r="E692" s="242">
        <v>4.3499999999999996</v>
      </c>
      <c r="F692" s="242">
        <v>4.3099999999999996</v>
      </c>
      <c r="G692" s="242">
        <v>4.3899999999999997</v>
      </c>
      <c r="H692" s="242">
        <v>2.57</v>
      </c>
      <c r="I692" s="242">
        <v>2.37</v>
      </c>
      <c r="J692" s="242">
        <v>3.05</v>
      </c>
      <c r="K692" s="242">
        <v>3.22</v>
      </c>
      <c r="L692" s="242">
        <v>3.84</v>
      </c>
      <c r="M692" s="242">
        <v>4.0199999999999996</v>
      </c>
      <c r="N692" s="242">
        <v>3.99</v>
      </c>
      <c r="O692" s="242">
        <v>4.38</v>
      </c>
      <c r="P692" s="241" t="s">
        <v>3352</v>
      </c>
      <c r="Q692" s="241" t="s">
        <v>3347</v>
      </c>
      <c r="R692" s="243" t="s">
        <v>4562</v>
      </c>
      <c r="S692" s="270">
        <f t="shared" si="24"/>
        <v>31048</v>
      </c>
      <c r="T692" s="270"/>
      <c r="U692" s="270">
        <f>IFERROR(VLOOKUP($A692,GeneratingCapabilityList!$E$7:$O$1673,11,FALSE),"ID Not Found")</f>
        <v>31048</v>
      </c>
      <c r="V692" s="271" t="str">
        <f>IFERROR(VLOOKUP($A692,GeneratingCapabilityList!$E$7:$O$1673,6,FALSE),"UNKNOWN")</f>
        <v>HYDRO</v>
      </c>
      <c r="W692" s="271">
        <f>IFERROR(VLOOKUP($A692,GeneratingCapabilityList!$E$7:$O$1673,3,FALSE),"ID Not Found")</f>
        <v>5.9</v>
      </c>
      <c r="Y692" s="270"/>
    </row>
    <row r="693" spans="1:25">
      <c r="A693" s="241" t="s">
        <v>2391</v>
      </c>
      <c r="B693" s="241" t="s">
        <v>3327</v>
      </c>
      <c r="C693" s="241" t="s">
        <v>2391</v>
      </c>
      <c r="D693" s="242">
        <v>0.93</v>
      </c>
      <c r="E693" s="242">
        <v>1</v>
      </c>
      <c r="F693" s="242">
        <v>0.57999999999999996</v>
      </c>
      <c r="G693" s="242">
        <v>0.7</v>
      </c>
      <c r="H693" s="242">
        <v>0.82</v>
      </c>
      <c r="I693" s="242">
        <v>0.89</v>
      </c>
      <c r="J693" s="242">
        <v>0.84</v>
      </c>
      <c r="K693" s="242">
        <v>0.76</v>
      </c>
      <c r="L693" s="242">
        <v>0.84</v>
      </c>
      <c r="M693" s="242">
        <v>0.74</v>
      </c>
      <c r="N693" s="242">
        <v>0.75</v>
      </c>
      <c r="O693" s="242">
        <v>0.8</v>
      </c>
      <c r="P693" s="241" t="s">
        <v>3352</v>
      </c>
      <c r="Q693" s="241" t="s">
        <v>3347</v>
      </c>
      <c r="R693" s="243" t="s">
        <v>4562</v>
      </c>
      <c r="S693" s="270">
        <f t="shared" si="24"/>
        <v>37110</v>
      </c>
      <c r="T693" s="270"/>
      <c r="U693" s="270">
        <f>IFERROR(VLOOKUP($A693,GeneratingCapabilityList!$E$7:$O$1673,11,FALSE),"ID Not Found")</f>
        <v>37110</v>
      </c>
      <c r="V693" s="271" t="str">
        <f>IFERROR(VLOOKUP($A693,GeneratingCapabilityList!$E$7:$O$1673,6,FALSE),"UNKNOWN")</f>
        <v>BIOMASS</v>
      </c>
      <c r="W693" s="271">
        <f>IFERROR(VLOOKUP($A693,GeneratingCapabilityList!$E$7:$O$1673,3,FALSE),"ID Not Found")</f>
        <v>1.3</v>
      </c>
      <c r="Y693" s="270"/>
    </row>
    <row r="694" spans="1:25">
      <c r="A694" s="241" t="s">
        <v>2676</v>
      </c>
      <c r="B694" s="241" t="s">
        <v>3327</v>
      </c>
      <c r="C694" s="241" t="s">
        <v>3789</v>
      </c>
      <c r="D694" s="242">
        <v>2.1800000000000002</v>
      </c>
      <c r="E694" s="242">
        <v>2.58</v>
      </c>
      <c r="F694" s="242">
        <v>2.4500000000000002</v>
      </c>
      <c r="G694" s="242">
        <v>2.04</v>
      </c>
      <c r="H694" s="242">
        <v>1.59</v>
      </c>
      <c r="I694" s="242">
        <v>2.61</v>
      </c>
      <c r="J694" s="242">
        <v>2.2599999999999998</v>
      </c>
      <c r="K694" s="242">
        <v>1.45</v>
      </c>
      <c r="L694" s="242">
        <v>1.78</v>
      </c>
      <c r="M694" s="242">
        <v>2.27</v>
      </c>
      <c r="N694" s="242">
        <v>2.36</v>
      </c>
      <c r="O694" s="242">
        <v>2.09</v>
      </c>
      <c r="P694" s="241" t="s">
        <v>3352</v>
      </c>
      <c r="Q694" s="241" t="s">
        <v>3347</v>
      </c>
      <c r="R694" s="243" t="s">
        <v>4562</v>
      </c>
      <c r="S694" s="270">
        <f t="shared" si="24"/>
        <v>38103</v>
      </c>
      <c r="T694" s="270"/>
      <c r="U694" s="270">
        <f>IFERROR(VLOOKUP($A694,GeneratingCapabilityList!$E$7:$O$1673,11,FALSE),"ID Not Found")</f>
        <v>38103</v>
      </c>
      <c r="V694" s="271" t="str">
        <f>IFERROR(VLOOKUP($A694,GeneratingCapabilityList!$E$7:$O$1673,6,FALSE),"UNKNOWN")</f>
        <v>BIOMASS</v>
      </c>
      <c r="W694" s="271">
        <f>IFERROR(VLOOKUP($A694,GeneratingCapabilityList!$E$7:$O$1673,3,FALSE),"ID Not Found")</f>
        <v>3.74</v>
      </c>
      <c r="Y694" s="270"/>
    </row>
    <row r="695" spans="1:25">
      <c r="A695" s="241" t="s">
        <v>1797</v>
      </c>
      <c r="B695" s="241" t="s">
        <v>3370</v>
      </c>
      <c r="C695" s="241" t="s">
        <v>3790</v>
      </c>
      <c r="D695" s="242">
        <v>10.61</v>
      </c>
      <c r="E695" s="242">
        <v>12.66</v>
      </c>
      <c r="F695" s="242">
        <v>4.66</v>
      </c>
      <c r="G695" s="242">
        <v>10.15</v>
      </c>
      <c r="H695" s="242">
        <v>12.29</v>
      </c>
      <c r="I695" s="242">
        <v>9.0500000000000007</v>
      </c>
      <c r="J695" s="242">
        <v>11.87</v>
      </c>
      <c r="K695" s="242">
        <v>13.86</v>
      </c>
      <c r="L695" s="242">
        <v>12.84</v>
      </c>
      <c r="M695" s="242">
        <v>15.56</v>
      </c>
      <c r="N695" s="242">
        <v>10.58</v>
      </c>
      <c r="O695" s="242">
        <v>13.06</v>
      </c>
      <c r="P695" s="241" t="s">
        <v>3345</v>
      </c>
      <c r="Q695" s="241" t="s">
        <v>3347</v>
      </c>
      <c r="R695" s="243" t="s">
        <v>4562</v>
      </c>
      <c r="S695" s="270">
        <f t="shared" si="24"/>
        <v>32539</v>
      </c>
      <c r="T695" s="270"/>
      <c r="U695" s="270">
        <f>IFERROR(VLOOKUP($A695,GeneratingCapabilityList!$E$7:$O$1673,11,FALSE),"ID Not Found")</f>
        <v>32539</v>
      </c>
      <c r="V695" s="271" t="str">
        <f>IFERROR(VLOOKUP($A695,GeneratingCapabilityList!$E$7:$O$1673,6,FALSE),"UNKNOWN")</f>
        <v>COGENERATION</v>
      </c>
      <c r="W695" s="271">
        <f>IFERROR(VLOOKUP($A695,GeneratingCapabilityList!$E$7:$O$1673,3,FALSE),"ID Not Found")</f>
        <v>39.700000000000003</v>
      </c>
      <c r="Y695" s="270"/>
    </row>
    <row r="696" spans="1:25">
      <c r="A696" s="241" t="s">
        <v>3317</v>
      </c>
      <c r="B696" s="241" t="s">
        <v>3327</v>
      </c>
      <c r="C696" s="241" t="s">
        <v>3791</v>
      </c>
      <c r="D696" s="242">
        <v>5.75</v>
      </c>
      <c r="E696" s="242">
        <v>5.75</v>
      </c>
      <c r="F696" s="242">
        <v>5.75</v>
      </c>
      <c r="G696" s="242">
        <v>5.75</v>
      </c>
      <c r="H696" s="242">
        <v>5.75</v>
      </c>
      <c r="I696" s="242">
        <v>5.75</v>
      </c>
      <c r="J696" s="242">
        <v>5.75</v>
      </c>
      <c r="K696" s="242">
        <v>5.75</v>
      </c>
      <c r="L696" s="242">
        <v>5.75</v>
      </c>
      <c r="M696" s="242">
        <v>5.75</v>
      </c>
      <c r="N696" s="242">
        <v>5.75</v>
      </c>
      <c r="O696" s="242">
        <v>5.75</v>
      </c>
      <c r="P696" s="241" t="s">
        <v>3352</v>
      </c>
      <c r="Q696" s="241" t="s">
        <v>3347</v>
      </c>
      <c r="R696" s="243" t="s">
        <v>4561</v>
      </c>
      <c r="S696" s="270">
        <f>Scenarios!$B$55</f>
        <v>36526</v>
      </c>
      <c r="T696" s="270" t="s">
        <v>4798</v>
      </c>
      <c r="U696" s="270" t="str">
        <f>IFERROR(VLOOKUP($A696,GeneratingCapabilityList!$E$7:$O$1673,11,FALSE),"ID Not Found")</f>
        <v>UNK</v>
      </c>
      <c r="V696" s="271" t="str">
        <f>IFERROR(VLOOKUP($A696,GeneratingCapabilityList!$E$7:$O$1673,6,FALSE),"UNKNOWN")</f>
        <v>PEAKER</v>
      </c>
      <c r="W696" s="271">
        <f>IFERROR(VLOOKUP($A696,GeneratingCapabilityList!$E$7:$O$1673,3,FALSE),"ID Not Found")</f>
        <v>5.75</v>
      </c>
      <c r="Y696" s="270"/>
    </row>
    <row r="697" spans="1:25">
      <c r="A697" s="241" t="s">
        <v>3319</v>
      </c>
      <c r="B697" s="241" t="s">
        <v>3327</v>
      </c>
      <c r="C697" s="241" t="s">
        <v>3792</v>
      </c>
      <c r="D697" s="242">
        <v>5.75</v>
      </c>
      <c r="E697" s="242">
        <v>5.75</v>
      </c>
      <c r="F697" s="242">
        <v>5.75</v>
      </c>
      <c r="G697" s="242">
        <v>5.75</v>
      </c>
      <c r="H697" s="242">
        <v>5.75</v>
      </c>
      <c r="I697" s="242">
        <v>5.75</v>
      </c>
      <c r="J697" s="242">
        <v>5.75</v>
      </c>
      <c r="K697" s="242">
        <v>5.75</v>
      </c>
      <c r="L697" s="242">
        <v>5.75</v>
      </c>
      <c r="M697" s="242">
        <v>5.75</v>
      </c>
      <c r="N697" s="242">
        <v>5.75</v>
      </c>
      <c r="O697" s="242">
        <v>5.75</v>
      </c>
      <c r="P697" s="241" t="s">
        <v>3352</v>
      </c>
      <c r="Q697" s="241" t="s">
        <v>3347</v>
      </c>
      <c r="R697" s="243" t="s">
        <v>4561</v>
      </c>
      <c r="S697" s="270">
        <f>Scenarios!$B$55</f>
        <v>36526</v>
      </c>
      <c r="T697" s="270" t="s">
        <v>4798</v>
      </c>
      <c r="U697" s="270" t="str">
        <f>IFERROR(VLOOKUP($A697,GeneratingCapabilityList!$E$7:$O$1673,11,FALSE),"ID Not Found")</f>
        <v>UNK</v>
      </c>
      <c r="V697" s="271" t="str">
        <f>IFERROR(VLOOKUP($A697,GeneratingCapabilityList!$E$7:$O$1673,6,FALSE),"UNKNOWN")</f>
        <v>PEAKER</v>
      </c>
      <c r="W697" s="271">
        <f>IFERROR(VLOOKUP($A697,GeneratingCapabilityList!$E$7:$O$1673,3,FALSE),"ID Not Found")</f>
        <v>5.75</v>
      </c>
      <c r="Y697" s="270"/>
    </row>
    <row r="698" spans="1:25">
      <c r="A698" s="241" t="s">
        <v>2759</v>
      </c>
      <c r="B698" s="241" t="s">
        <v>3327</v>
      </c>
      <c r="C698" s="241" t="s">
        <v>3793</v>
      </c>
      <c r="D698" s="242">
        <v>134</v>
      </c>
      <c r="E698" s="242">
        <v>134</v>
      </c>
      <c r="F698" s="242">
        <v>134</v>
      </c>
      <c r="G698" s="242">
        <v>134</v>
      </c>
      <c r="H698" s="242">
        <v>134</v>
      </c>
      <c r="I698" s="242">
        <v>134</v>
      </c>
      <c r="J698" s="242">
        <v>134</v>
      </c>
      <c r="K698" s="242">
        <v>134</v>
      </c>
      <c r="L698" s="242">
        <v>134</v>
      </c>
      <c r="M698" s="242">
        <v>134</v>
      </c>
      <c r="N698" s="242">
        <v>134</v>
      </c>
      <c r="O698" s="242">
        <v>134</v>
      </c>
      <c r="P698" s="241" t="s">
        <v>3352</v>
      </c>
      <c r="Q698" s="241" t="s">
        <v>3347</v>
      </c>
      <c r="R698" s="243" t="s">
        <v>4561</v>
      </c>
      <c r="S698" s="270">
        <f t="shared" ref="S698:S743" si="25">U698</f>
        <v>38642</v>
      </c>
      <c r="T698" s="270"/>
      <c r="U698" s="270">
        <f>IFERROR(VLOOKUP($A698,GeneratingCapabilityList!$E$7:$O$1673,11,FALSE),"ID Not Found")</f>
        <v>38642</v>
      </c>
      <c r="V698" s="271" t="str">
        <f>IFERROR(VLOOKUP($A698,GeneratingCapabilityList!$E$7:$O$1673,6,FALSE),"UNKNOWN")</f>
        <v>THERMAL</v>
      </c>
      <c r="W698" s="271">
        <f>IFERROR(VLOOKUP($A698,GeneratingCapabilityList!$E$7:$O$1673,3,FALSE),"ID Not Found")</f>
        <v>134</v>
      </c>
      <c r="Y698" s="270"/>
    </row>
    <row r="699" spans="1:25">
      <c r="A699" s="241" t="s">
        <v>74</v>
      </c>
      <c r="B699" s="241" t="s">
        <v>3328</v>
      </c>
      <c r="C699" s="241" t="s">
        <v>3794</v>
      </c>
      <c r="D699" s="242">
        <v>9.8800000000000008</v>
      </c>
      <c r="E699" s="242">
        <v>17.420000000000002</v>
      </c>
      <c r="F699" s="242">
        <v>24.17</v>
      </c>
      <c r="G699" s="242">
        <v>31.96</v>
      </c>
      <c r="H699" s="242">
        <v>25.83</v>
      </c>
      <c r="I699" s="242">
        <v>23.8</v>
      </c>
      <c r="J699" s="242">
        <v>22</v>
      </c>
      <c r="K699" s="242">
        <v>26.68</v>
      </c>
      <c r="L699" s="242">
        <v>12.33</v>
      </c>
      <c r="M699" s="242">
        <v>14.82</v>
      </c>
      <c r="N699" s="242">
        <v>11.88</v>
      </c>
      <c r="O699" s="242">
        <v>5.0199999999999996</v>
      </c>
      <c r="P699" s="241" t="s">
        <v>3352</v>
      </c>
      <c r="Q699" s="241" t="s">
        <v>3347</v>
      </c>
      <c r="R699" s="243" t="s">
        <v>4562</v>
      </c>
      <c r="S699" s="270">
        <f t="shared" si="25"/>
        <v>2558</v>
      </c>
      <c r="T699" s="270"/>
      <c r="U699" s="270">
        <f>IFERROR(VLOOKUP($A699,GeneratingCapabilityList!$E$7:$O$1673,11,FALSE),"ID Not Found")</f>
        <v>2558</v>
      </c>
      <c r="V699" s="271" t="str">
        <f>IFERROR(VLOOKUP($A699,GeneratingCapabilityList!$E$7:$O$1673,6,FALSE),"UNKNOWN")</f>
        <v>HYDRO</v>
      </c>
      <c r="W699" s="271">
        <f>IFERROR(VLOOKUP($A699,GeneratingCapabilityList!$E$7:$O$1673,3,FALSE),"ID Not Found")</f>
        <v>36.799999999999997</v>
      </c>
      <c r="Y699" s="270"/>
    </row>
    <row r="700" spans="1:25">
      <c r="A700" s="241" t="s">
        <v>4535</v>
      </c>
      <c r="B700" s="241" t="s">
        <v>3328</v>
      </c>
      <c r="C700" s="241" t="s">
        <v>4536</v>
      </c>
      <c r="D700" s="242">
        <v>49</v>
      </c>
      <c r="E700" s="242">
        <v>49</v>
      </c>
      <c r="F700" s="242">
        <v>49</v>
      </c>
      <c r="G700" s="242">
        <v>49</v>
      </c>
      <c r="H700" s="242">
        <v>49</v>
      </c>
      <c r="I700" s="242">
        <v>49</v>
      </c>
      <c r="J700" s="242">
        <v>49</v>
      </c>
      <c r="K700" s="242">
        <v>49</v>
      </c>
      <c r="L700" s="242">
        <v>49</v>
      </c>
      <c r="M700" s="242">
        <v>49</v>
      </c>
      <c r="N700" s="242">
        <v>49</v>
      </c>
      <c r="O700" s="242">
        <v>49</v>
      </c>
      <c r="P700" s="241" t="s">
        <v>3352</v>
      </c>
      <c r="Q700" s="245" t="s">
        <v>3347</v>
      </c>
      <c r="R700" s="243" t="s">
        <v>4561</v>
      </c>
      <c r="S700" s="270">
        <f t="shared" si="25"/>
        <v>41290</v>
      </c>
      <c r="T700" s="270"/>
      <c r="U700" s="270">
        <f>IFERROR(VLOOKUP($A700,GeneratingCapabilityList!$E$7:$O$1673,11,FALSE),"ID Not Found")</f>
        <v>41290</v>
      </c>
      <c r="V700" s="271" t="str">
        <f>IFERROR(VLOOKUP($A700,GeneratingCapabilityList!$E$7:$O$1673,6,FALSE),"UNKNOWN")</f>
        <v>THERMAL</v>
      </c>
      <c r="W700" s="271">
        <f>IFERROR(VLOOKUP($A700,GeneratingCapabilityList!$E$7:$O$1673,3,FALSE),"ID Not Found")</f>
        <v>49</v>
      </c>
      <c r="Y700" s="270"/>
    </row>
    <row r="701" spans="1:25">
      <c r="A701" s="241" t="s">
        <v>1783</v>
      </c>
      <c r="B701" s="241" t="s">
        <v>3328</v>
      </c>
      <c r="C701" s="241" t="s">
        <v>3795</v>
      </c>
      <c r="D701" s="242">
        <v>3.56</v>
      </c>
      <c r="E701" s="242">
        <v>3.09</v>
      </c>
      <c r="F701" s="242">
        <v>2.4700000000000002</v>
      </c>
      <c r="G701" s="242">
        <v>4.95</v>
      </c>
      <c r="H701" s="242">
        <v>8.5399999999999991</v>
      </c>
      <c r="I701" s="242">
        <v>10.039999999999999</v>
      </c>
      <c r="J701" s="242">
        <v>9.56</v>
      </c>
      <c r="K701" s="242">
        <v>6.91</v>
      </c>
      <c r="L701" s="242">
        <v>2.94</v>
      </c>
      <c r="M701" s="242">
        <v>2.56</v>
      </c>
      <c r="N701" s="242">
        <v>0.55000000000000004</v>
      </c>
      <c r="O701" s="242">
        <v>1.54</v>
      </c>
      <c r="P701" s="241" t="s">
        <v>3352</v>
      </c>
      <c r="Q701" s="241" t="s">
        <v>3347</v>
      </c>
      <c r="R701" s="243" t="s">
        <v>4562</v>
      </c>
      <c r="S701" s="270">
        <f t="shared" si="25"/>
        <v>32509</v>
      </c>
      <c r="T701" s="270"/>
      <c r="U701" s="270">
        <f>IFERROR(VLOOKUP($A701,GeneratingCapabilityList!$E$7:$O$1673,11,FALSE),"ID Not Found")</f>
        <v>32509</v>
      </c>
      <c r="V701" s="271" t="str">
        <f>IFERROR(VLOOKUP($A701,GeneratingCapabilityList!$E$7:$O$1673,6,FALSE),"UNKNOWN")</f>
        <v>HYDRO</v>
      </c>
      <c r="W701" s="271">
        <f>IFERROR(VLOOKUP($A701,GeneratingCapabilityList!$E$7:$O$1673,3,FALSE),"ID Not Found")</f>
        <v>18.600000000000001</v>
      </c>
      <c r="Y701" s="270"/>
    </row>
    <row r="702" spans="1:25">
      <c r="A702" s="241" t="s">
        <v>1883</v>
      </c>
      <c r="B702" s="241" t="s">
        <v>3328</v>
      </c>
      <c r="C702" s="241" t="s">
        <v>1884</v>
      </c>
      <c r="D702" s="242">
        <v>35.33</v>
      </c>
      <c r="E702" s="242">
        <v>35.21</v>
      </c>
      <c r="F702" s="242">
        <v>25.16</v>
      </c>
      <c r="G702" s="242">
        <v>30.41</v>
      </c>
      <c r="H702" s="242">
        <v>23.55</v>
      </c>
      <c r="I702" s="242">
        <v>33.21</v>
      </c>
      <c r="J702" s="242">
        <v>33.92</v>
      </c>
      <c r="K702" s="242">
        <v>34.130000000000003</v>
      </c>
      <c r="L702" s="242">
        <v>31.59</v>
      </c>
      <c r="M702" s="242">
        <v>23.57</v>
      </c>
      <c r="N702" s="242">
        <v>23.71</v>
      </c>
      <c r="O702" s="242">
        <v>23.89</v>
      </c>
      <c r="P702" s="241" t="s">
        <v>3352</v>
      </c>
      <c r="Q702" s="241" t="s">
        <v>3347</v>
      </c>
      <c r="R702" s="243" t="s">
        <v>4562</v>
      </c>
      <c r="S702" s="270">
        <f t="shared" si="25"/>
        <v>32814</v>
      </c>
      <c r="T702" s="270"/>
      <c r="U702" s="270">
        <f>IFERROR(VLOOKUP($A702,GeneratingCapabilityList!$E$7:$O$1673,11,FALSE),"ID Not Found")</f>
        <v>32814</v>
      </c>
      <c r="V702" s="271" t="str">
        <f>IFERROR(VLOOKUP($A702,GeneratingCapabilityList!$E$7:$O$1673,6,FALSE),"UNKNOWN")</f>
        <v>COGENERATION</v>
      </c>
      <c r="W702" s="271">
        <f>IFERROR(VLOOKUP($A702,GeneratingCapabilityList!$E$7:$O$1673,3,FALSE),"ID Not Found")</f>
        <v>38</v>
      </c>
      <c r="Y702" s="270"/>
    </row>
    <row r="703" spans="1:25">
      <c r="A703" s="241" t="s">
        <v>1153</v>
      </c>
      <c r="B703" s="241" t="s">
        <v>3328</v>
      </c>
      <c r="C703" s="241" t="s">
        <v>1154</v>
      </c>
      <c r="D703" s="242">
        <v>6.43</v>
      </c>
      <c r="E703" s="242">
        <v>6.62</v>
      </c>
      <c r="F703" s="242">
        <v>6.7</v>
      </c>
      <c r="G703" s="242">
        <v>6.66</v>
      </c>
      <c r="H703" s="242">
        <v>1.99</v>
      </c>
      <c r="I703" s="242">
        <v>4.8600000000000003</v>
      </c>
      <c r="J703" s="242">
        <v>6.57</v>
      </c>
      <c r="K703" s="242">
        <v>6.6</v>
      </c>
      <c r="L703" s="242">
        <v>7</v>
      </c>
      <c r="M703" s="242">
        <v>6.77</v>
      </c>
      <c r="N703" s="242">
        <v>1.3</v>
      </c>
      <c r="O703" s="242">
        <v>1.76</v>
      </c>
      <c r="P703" s="241" t="s">
        <v>3352</v>
      </c>
      <c r="Q703" s="241" t="s">
        <v>3347</v>
      </c>
      <c r="R703" s="243" t="s">
        <v>4562</v>
      </c>
      <c r="S703" s="270">
        <f t="shared" si="25"/>
        <v>31048</v>
      </c>
      <c r="T703" s="270"/>
      <c r="U703" s="270">
        <f>IFERROR(VLOOKUP($A703,GeneratingCapabilityList!$E$7:$O$1673,11,FALSE),"ID Not Found")</f>
        <v>31048</v>
      </c>
      <c r="V703" s="271" t="str">
        <f>IFERROR(VLOOKUP($A703,GeneratingCapabilityList!$E$7:$O$1673,6,FALSE),"UNKNOWN")</f>
        <v>BIOMASS</v>
      </c>
      <c r="W703" s="271">
        <f>IFERROR(VLOOKUP($A703,GeneratingCapabilityList!$E$7:$O$1673,3,FALSE),"ID Not Found")</f>
        <v>7</v>
      </c>
      <c r="Y703" s="270"/>
    </row>
    <row r="704" spans="1:25">
      <c r="A704" s="241" t="s">
        <v>371</v>
      </c>
      <c r="B704" s="241" t="s">
        <v>3361</v>
      </c>
      <c r="C704" s="241" t="s">
        <v>3796</v>
      </c>
      <c r="D704" s="242">
        <v>0</v>
      </c>
      <c r="E704" s="242">
        <v>0</v>
      </c>
      <c r="F704" s="242">
        <v>0</v>
      </c>
      <c r="G704" s="242">
        <v>0</v>
      </c>
      <c r="H704" s="242">
        <v>0</v>
      </c>
      <c r="I704" s="242">
        <v>0</v>
      </c>
      <c r="J704" s="242">
        <v>0</v>
      </c>
      <c r="K704" s="242">
        <v>0</v>
      </c>
      <c r="L704" s="242">
        <v>0</v>
      </c>
      <c r="M704" s="242">
        <v>0</v>
      </c>
      <c r="N704" s="242">
        <v>0</v>
      </c>
      <c r="O704" s="242">
        <v>0</v>
      </c>
      <c r="P704" s="241" t="s">
        <v>3352</v>
      </c>
      <c r="Q704" s="241" t="s">
        <v>3347</v>
      </c>
      <c r="R704" s="243" t="s">
        <v>4562</v>
      </c>
      <c r="S704" s="270">
        <f t="shared" si="25"/>
        <v>19725</v>
      </c>
      <c r="T704" s="270"/>
      <c r="U704" s="270">
        <f>IFERROR(VLOOKUP($A704,GeneratingCapabilityList!$E$7:$O$1673,11,FALSE),"ID Not Found")</f>
        <v>19725</v>
      </c>
      <c r="V704" s="271" t="str">
        <f>IFERROR(VLOOKUP($A704,GeneratingCapabilityList!$E$7:$O$1673,6,FALSE),"UNKNOWN")</f>
        <v>VARIOUS</v>
      </c>
      <c r="W704" s="271">
        <f>IFERROR(VLOOKUP($A704,GeneratingCapabilityList!$E$7:$O$1673,3,FALSE),"ID Not Found")</f>
        <v>0.4</v>
      </c>
      <c r="Y704" s="270"/>
    </row>
    <row r="705" spans="1:25">
      <c r="A705" s="241" t="s">
        <v>1140</v>
      </c>
      <c r="B705" s="241" t="s">
        <v>3327</v>
      </c>
      <c r="C705" s="241" t="s">
        <v>3797</v>
      </c>
      <c r="D705" s="242">
        <v>4.0999999999999996</v>
      </c>
      <c r="E705" s="242">
        <v>4.0999999999999996</v>
      </c>
      <c r="F705" s="242">
        <v>4.0999999999999996</v>
      </c>
      <c r="G705" s="242">
        <v>4.0999999999999996</v>
      </c>
      <c r="H705" s="242">
        <v>4.0999999999999996</v>
      </c>
      <c r="I705" s="242">
        <v>4.0999999999999996</v>
      </c>
      <c r="J705" s="242">
        <v>4.0999999999999996</v>
      </c>
      <c r="K705" s="242">
        <v>4.0999999999999996</v>
      </c>
      <c r="L705" s="242">
        <v>4.0999999999999996</v>
      </c>
      <c r="M705" s="242">
        <v>4.0999999999999996</v>
      </c>
      <c r="N705" s="242">
        <v>4.0999999999999996</v>
      </c>
      <c r="O705" s="242">
        <v>4.0999999999999996</v>
      </c>
      <c r="P705" s="241" t="s">
        <v>3352</v>
      </c>
      <c r="Q705" s="241" t="s">
        <v>3347</v>
      </c>
      <c r="R705" s="243" t="s">
        <v>4561</v>
      </c>
      <c r="S705" s="270">
        <f t="shared" si="25"/>
        <v>31048</v>
      </c>
      <c r="T705" s="270"/>
      <c r="U705" s="270">
        <f>IFERROR(VLOOKUP($A705,GeneratingCapabilityList!$E$7:$O$1673,11,FALSE),"ID Not Found")</f>
        <v>31048</v>
      </c>
      <c r="V705" s="271" t="str">
        <f>IFERROR(VLOOKUP($A705,GeneratingCapabilityList!$E$7:$O$1673,6,FALSE),"UNKNOWN")</f>
        <v>HYDRO</v>
      </c>
      <c r="W705" s="271">
        <f>IFERROR(VLOOKUP($A705,GeneratingCapabilityList!$E$7:$O$1673,3,FALSE),"ID Not Found")</f>
        <v>4.0999999999999996</v>
      </c>
      <c r="Y705" s="270"/>
    </row>
    <row r="706" spans="1:25">
      <c r="A706" s="244" t="s">
        <v>777</v>
      </c>
      <c r="B706" s="245" t="s">
        <v>3327</v>
      </c>
      <c r="C706" s="245" t="s">
        <v>3798</v>
      </c>
      <c r="D706" s="281">
        <v>0.75091827956989265</v>
      </c>
      <c r="E706" s="281">
        <v>0.722454642857143</v>
      </c>
      <c r="F706" s="281">
        <v>0.51663935483870971</v>
      </c>
      <c r="G706" s="281">
        <v>1.2259769999999999</v>
      </c>
      <c r="H706" s="281">
        <v>1.2810338709677422</v>
      </c>
      <c r="I706" s="281">
        <v>1.7803536666666664</v>
      </c>
      <c r="J706" s="281">
        <v>2.2682735483870959</v>
      </c>
      <c r="K706" s="281">
        <v>1.6215551612903221</v>
      </c>
      <c r="L706" s="281">
        <v>0.7823406666666668</v>
      </c>
      <c r="M706" s="281">
        <v>1.0996929032258069</v>
      </c>
      <c r="N706" s="281">
        <v>1.9323834176245211</v>
      </c>
      <c r="O706" s="281">
        <v>2.2349425985663074</v>
      </c>
      <c r="P706" s="245" t="s">
        <v>3352</v>
      </c>
      <c r="Q706" s="245" t="s">
        <v>3347</v>
      </c>
      <c r="R706" s="246" t="s">
        <v>4561</v>
      </c>
      <c r="S706" s="270">
        <f t="shared" si="25"/>
        <v>29587</v>
      </c>
      <c r="T706" s="270"/>
      <c r="U706" s="270">
        <f>IFERROR(VLOOKUP($A706,GeneratingCapabilityList!$E$7:$O$1673,11,FALSE),"ID Not Found")</f>
        <v>29587</v>
      </c>
      <c r="V706" s="271" t="str">
        <f>IFERROR(VLOOKUP($A706,GeneratingCapabilityList!$E$7:$O$1673,6,FALSE),"UNKNOWN")</f>
        <v>HYDRO</v>
      </c>
      <c r="W706" s="271">
        <f>IFERROR(VLOOKUP($A706,GeneratingCapabilityList!$E$7:$O$1673,3,FALSE),"ID Not Found")</f>
        <v>5.0999999999999996</v>
      </c>
      <c r="Y706" s="270"/>
    </row>
    <row r="707" spans="1:25">
      <c r="A707" s="241" t="s">
        <v>1174</v>
      </c>
      <c r="B707" s="241" t="s">
        <v>3361</v>
      </c>
      <c r="C707" s="241" t="s">
        <v>3799</v>
      </c>
      <c r="D707" s="242">
        <v>15.16</v>
      </c>
      <c r="E707" s="242">
        <v>22.24</v>
      </c>
      <c r="F707" s="242">
        <v>51.21</v>
      </c>
      <c r="G707" s="242">
        <v>72.06</v>
      </c>
      <c r="H707" s="242">
        <v>79.819999999999993</v>
      </c>
      <c r="I707" s="242">
        <v>63.07</v>
      </c>
      <c r="J707" s="242">
        <v>25.09</v>
      </c>
      <c r="K707" s="242">
        <v>27.2</v>
      </c>
      <c r="L707" s="242">
        <v>9.5299999999999994</v>
      </c>
      <c r="M707" s="242">
        <v>16.36</v>
      </c>
      <c r="N707" s="242">
        <v>21.79</v>
      </c>
      <c r="O707" s="242">
        <v>15.61</v>
      </c>
      <c r="P707" s="241" t="s">
        <v>3352</v>
      </c>
      <c r="Q707" s="241" t="s">
        <v>3347</v>
      </c>
      <c r="R707" s="243" t="s">
        <v>4562</v>
      </c>
      <c r="S707" s="270">
        <f t="shared" si="25"/>
        <v>31048</v>
      </c>
      <c r="T707" s="270"/>
      <c r="U707" s="270">
        <f>IFERROR(VLOOKUP($A707,GeneratingCapabilityList!$E$7:$O$1673,11,FALSE),"ID Not Found")</f>
        <v>31048</v>
      </c>
      <c r="V707" s="271" t="str">
        <f>IFERROR(VLOOKUP($A707,GeneratingCapabilityList!$E$7:$O$1673,6,FALSE),"UNKNOWN")</f>
        <v>WIND</v>
      </c>
      <c r="W707" s="271">
        <f>IFERROR(VLOOKUP($A707,GeneratingCapabilityList!$E$7:$O$1673,3,FALSE),"ID Not Found")</f>
        <v>316.39999999999998</v>
      </c>
      <c r="Y707" s="270"/>
    </row>
    <row r="708" spans="1:25">
      <c r="A708" s="241" t="s">
        <v>2706</v>
      </c>
      <c r="B708" s="241" t="s">
        <v>3361</v>
      </c>
      <c r="C708" s="241" t="s">
        <v>3800</v>
      </c>
      <c r="D708" s="242">
        <v>1.69</v>
      </c>
      <c r="E708" s="242">
        <v>4.38</v>
      </c>
      <c r="F708" s="242">
        <v>6.89</v>
      </c>
      <c r="G708" s="242">
        <v>12.87</v>
      </c>
      <c r="H708" s="242">
        <v>14.43</v>
      </c>
      <c r="I708" s="242">
        <v>14.22</v>
      </c>
      <c r="J708" s="242">
        <v>7.11</v>
      </c>
      <c r="K708" s="242">
        <v>7.52</v>
      </c>
      <c r="L708" s="242">
        <v>3.49</v>
      </c>
      <c r="M708" s="242">
        <v>2.7</v>
      </c>
      <c r="N708" s="242">
        <v>4.1500000000000004</v>
      </c>
      <c r="O708" s="242">
        <v>2.79</v>
      </c>
      <c r="P708" s="241" t="s">
        <v>3352</v>
      </c>
      <c r="Q708" s="241" t="s">
        <v>3347</v>
      </c>
      <c r="R708" s="243" t="s">
        <v>4562</v>
      </c>
      <c r="S708" s="270">
        <f t="shared" si="25"/>
        <v>38442</v>
      </c>
      <c r="T708" s="270"/>
      <c r="U708" s="270">
        <f>IFERROR(VLOOKUP($A708,GeneratingCapabilityList!$E$7:$O$1673,11,FALSE),"ID Not Found")</f>
        <v>38442</v>
      </c>
      <c r="V708" s="271" t="str">
        <f>IFERROR(VLOOKUP($A708,GeneratingCapabilityList!$E$7:$O$1673,6,FALSE),"UNKNOWN")</f>
        <v>WIND</v>
      </c>
      <c r="W708" s="271">
        <f>IFERROR(VLOOKUP($A708,GeneratingCapabilityList!$E$7:$O$1673,3,FALSE),"ID Not Found")</f>
        <v>60</v>
      </c>
      <c r="Y708" s="270"/>
    </row>
    <row r="709" spans="1:25">
      <c r="A709" s="241" t="s">
        <v>2984</v>
      </c>
      <c r="B709" s="241" t="s">
        <v>3327</v>
      </c>
      <c r="C709" s="241" t="s">
        <v>4683</v>
      </c>
      <c r="D709" s="249" t="s">
        <v>4573</v>
      </c>
      <c r="E709" s="249" t="s">
        <v>4573</v>
      </c>
      <c r="F709" s="249" t="s">
        <v>4573</v>
      </c>
      <c r="G709" s="249" t="s">
        <v>4573</v>
      </c>
      <c r="H709" s="249" t="s">
        <v>4573</v>
      </c>
      <c r="I709" s="249" t="s">
        <v>4573</v>
      </c>
      <c r="J709" s="249" t="s">
        <v>4573</v>
      </c>
      <c r="K709" s="249" t="s">
        <v>4573</v>
      </c>
      <c r="L709" s="249" t="s">
        <v>4573</v>
      </c>
      <c r="M709" s="249" t="s">
        <v>4573</v>
      </c>
      <c r="N709" s="249" t="s">
        <v>4573</v>
      </c>
      <c r="O709" s="249" t="s">
        <v>4573</v>
      </c>
      <c r="P709" s="241" t="s">
        <v>3352</v>
      </c>
      <c r="Q709" s="241" t="s">
        <v>3385</v>
      </c>
      <c r="R709" s="246" t="s">
        <v>4562</v>
      </c>
      <c r="S709" s="270">
        <f t="shared" si="25"/>
        <v>40603</v>
      </c>
      <c r="T709" s="270"/>
      <c r="U709" s="270">
        <f>IFERROR(VLOOKUP($A709,GeneratingCapabilityList!$E$7:$O$1673,11,FALSE),"ID Not Found")</f>
        <v>40603</v>
      </c>
      <c r="V709" s="271" t="str">
        <f>IFERROR(VLOOKUP($A709,GeneratingCapabilityList!$E$7:$O$1673,6,FALSE),"UNKNOWN")</f>
        <v>SOLAR</v>
      </c>
      <c r="W709" s="271">
        <f>IFERROR(VLOOKUP($A709,GeneratingCapabilityList!$E$7:$O$1673,3,FALSE),"ID Not Found")</f>
        <v>1</v>
      </c>
      <c r="Y709" s="270"/>
    </row>
    <row r="710" spans="1:25">
      <c r="A710" s="241" t="s">
        <v>900</v>
      </c>
      <c r="B710" s="241" t="s">
        <v>3327</v>
      </c>
      <c r="C710" s="241" t="s">
        <v>3801</v>
      </c>
      <c r="D710" s="242">
        <v>0.03</v>
      </c>
      <c r="E710" s="242">
        <v>0.04</v>
      </c>
      <c r="F710" s="242">
        <v>0.02</v>
      </c>
      <c r="G710" s="242">
        <v>0.04</v>
      </c>
      <c r="H710" s="242">
        <v>0.13</v>
      </c>
      <c r="I710" s="242">
        <v>0.17</v>
      </c>
      <c r="J710" s="242">
        <v>0.19</v>
      </c>
      <c r="K710" s="242">
        <v>0.18</v>
      </c>
      <c r="L710" s="242">
        <v>0.17</v>
      </c>
      <c r="M710" s="242">
        <v>0.12</v>
      </c>
      <c r="N710" s="242">
        <v>0.06</v>
      </c>
      <c r="O710" s="242">
        <v>0.03</v>
      </c>
      <c r="P710" s="241" t="s">
        <v>3352</v>
      </c>
      <c r="Q710" s="241" t="s">
        <v>3347</v>
      </c>
      <c r="R710" s="243" t="s">
        <v>4562</v>
      </c>
      <c r="S710" s="270">
        <f t="shared" si="25"/>
        <v>30317</v>
      </c>
      <c r="T710" s="270"/>
      <c r="U710" s="270">
        <f>IFERROR(VLOOKUP($A710,GeneratingCapabilityList!$E$7:$O$1673,11,FALSE),"ID Not Found")</f>
        <v>30317</v>
      </c>
      <c r="V710" s="271" t="str">
        <f>IFERROR(VLOOKUP($A710,GeneratingCapabilityList!$E$7:$O$1673,6,FALSE),"UNKNOWN")</f>
        <v>VARIOUS</v>
      </c>
      <c r="W710" s="271">
        <f>IFERROR(VLOOKUP($A710,GeneratingCapabilityList!$E$7:$O$1673,3,FALSE),"ID Not Found")</f>
        <v>0.6</v>
      </c>
      <c r="Y710" s="270"/>
    </row>
    <row r="711" spans="1:25">
      <c r="A711" s="241" t="s">
        <v>813</v>
      </c>
      <c r="B711" s="241" t="s">
        <v>3373</v>
      </c>
      <c r="C711" s="241" t="s">
        <v>814</v>
      </c>
      <c r="D711" s="242">
        <v>0</v>
      </c>
      <c r="E711" s="242">
        <v>0</v>
      </c>
      <c r="F711" s="242">
        <v>0.1</v>
      </c>
      <c r="G711" s="242">
        <v>0.25</v>
      </c>
      <c r="H711" s="242">
        <v>1.07</v>
      </c>
      <c r="I711" s="242">
        <v>0.82</v>
      </c>
      <c r="J711" s="242">
        <v>1.49</v>
      </c>
      <c r="K711" s="242">
        <v>1.4</v>
      </c>
      <c r="L711" s="242">
        <v>0.85</v>
      </c>
      <c r="M711" s="242">
        <v>0.25</v>
      </c>
      <c r="N711" s="242">
        <v>0</v>
      </c>
      <c r="O711" s="242">
        <v>0</v>
      </c>
      <c r="P711" s="241" t="s">
        <v>3345</v>
      </c>
      <c r="Q711" s="241" t="s">
        <v>3347</v>
      </c>
      <c r="R711" s="243" t="s">
        <v>4562</v>
      </c>
      <c r="S711" s="270">
        <f t="shared" si="25"/>
        <v>30057</v>
      </c>
      <c r="T711" s="270"/>
      <c r="U711" s="270">
        <f>IFERROR(VLOOKUP($A711,GeneratingCapabilityList!$E$7:$O$1673,11,FALSE),"ID Not Found")</f>
        <v>30057</v>
      </c>
      <c r="V711" s="271" t="str">
        <f>IFERROR(VLOOKUP($A711,GeneratingCapabilityList!$E$7:$O$1673,6,FALSE),"UNKNOWN")</f>
        <v>HYDRO</v>
      </c>
      <c r="W711" s="271">
        <f>IFERROR(VLOOKUP($A711,GeneratingCapabilityList!$E$7:$O$1673,3,FALSE),"ID Not Found")</f>
        <v>2.85</v>
      </c>
      <c r="Y711" s="270"/>
    </row>
    <row r="712" spans="1:25">
      <c r="A712" s="241" t="s">
        <v>761</v>
      </c>
      <c r="B712" s="241" t="s">
        <v>3361</v>
      </c>
      <c r="C712" s="241" t="s">
        <v>3802</v>
      </c>
      <c r="D712" s="242">
        <v>4.51</v>
      </c>
      <c r="E712" s="242">
        <v>5.14</v>
      </c>
      <c r="F712" s="242">
        <v>6.8</v>
      </c>
      <c r="G712" s="242">
        <v>6.52</v>
      </c>
      <c r="H712" s="242">
        <v>6.81</v>
      </c>
      <c r="I712" s="242">
        <v>6.41</v>
      </c>
      <c r="J712" s="242">
        <v>5.7</v>
      </c>
      <c r="K712" s="242">
        <v>4.3600000000000003</v>
      </c>
      <c r="L712" s="242">
        <v>3.08</v>
      </c>
      <c r="M712" s="242">
        <v>3.56</v>
      </c>
      <c r="N712" s="242">
        <v>3.89</v>
      </c>
      <c r="O712" s="242">
        <v>5.78</v>
      </c>
      <c r="P712" s="241" t="s">
        <v>3345</v>
      </c>
      <c r="Q712" s="241" t="s">
        <v>3347</v>
      </c>
      <c r="R712" s="243" t="s">
        <v>4561</v>
      </c>
      <c r="S712" s="270">
        <f t="shared" si="25"/>
        <v>29221</v>
      </c>
      <c r="T712" s="270"/>
      <c r="U712" s="270">
        <f>IFERROR(VLOOKUP($A712,GeneratingCapabilityList!$E$7:$O$1673,11,FALSE),"ID Not Found")</f>
        <v>29221</v>
      </c>
      <c r="V712" s="271" t="str">
        <f>IFERROR(VLOOKUP($A712,GeneratingCapabilityList!$E$7:$O$1673,6,FALSE),"UNKNOWN")</f>
        <v>HYDRO</v>
      </c>
      <c r="W712" s="271">
        <f>IFERROR(VLOOKUP($A712,GeneratingCapabilityList!$E$7:$O$1673,3,FALSE),"ID Not Found")</f>
        <v>9.1</v>
      </c>
      <c r="Y712" s="270"/>
    </row>
    <row r="713" spans="1:25">
      <c r="A713" s="241" t="s">
        <v>775</v>
      </c>
      <c r="B713" s="241" t="s">
        <v>3361</v>
      </c>
      <c r="C713" s="241" t="s">
        <v>3803</v>
      </c>
      <c r="D713" s="242">
        <v>0.54</v>
      </c>
      <c r="E713" s="242">
        <v>0.56999999999999995</v>
      </c>
      <c r="F713" s="242">
        <v>0.65</v>
      </c>
      <c r="G713" s="242">
        <v>0.85</v>
      </c>
      <c r="H713" s="242">
        <v>0.87</v>
      </c>
      <c r="I713" s="242">
        <v>0.81</v>
      </c>
      <c r="J713" s="242">
        <v>0.6</v>
      </c>
      <c r="K713" s="242">
        <v>0.46</v>
      </c>
      <c r="L713" s="242">
        <v>0.35</v>
      </c>
      <c r="M713" s="242">
        <v>0.48</v>
      </c>
      <c r="N713" s="242">
        <v>0.46</v>
      </c>
      <c r="O713" s="242">
        <v>0.61</v>
      </c>
      <c r="P713" s="241" t="s">
        <v>3345</v>
      </c>
      <c r="Q713" s="241" t="s">
        <v>3347</v>
      </c>
      <c r="R713" s="243" t="s">
        <v>4561</v>
      </c>
      <c r="S713" s="270">
        <f t="shared" si="25"/>
        <v>29587</v>
      </c>
      <c r="T713" s="270"/>
      <c r="U713" s="270">
        <f>IFERROR(VLOOKUP($A713,GeneratingCapabilityList!$E$7:$O$1673,11,FALSE),"ID Not Found")</f>
        <v>29587</v>
      </c>
      <c r="V713" s="271" t="str">
        <f>IFERROR(VLOOKUP($A713,GeneratingCapabilityList!$E$7:$O$1673,6,FALSE),"UNKNOWN")</f>
        <v>HYDRO</v>
      </c>
      <c r="W713" s="271">
        <f>IFERROR(VLOOKUP($A713,GeneratingCapabilityList!$E$7:$O$1673,3,FALSE),"ID Not Found")</f>
        <v>1</v>
      </c>
      <c r="Y713" s="270"/>
    </row>
    <row r="714" spans="1:25">
      <c r="A714" s="241" t="s">
        <v>3312</v>
      </c>
      <c r="B714" s="241" t="s">
        <v>3361</v>
      </c>
      <c r="C714" s="241" t="s">
        <v>3312</v>
      </c>
      <c r="D714" s="242">
        <v>0.56999999999999995</v>
      </c>
      <c r="E714" s="242">
        <v>0.56999999999999995</v>
      </c>
      <c r="F714" s="242">
        <v>1.02</v>
      </c>
      <c r="G714" s="242">
        <v>1.29</v>
      </c>
      <c r="H714" s="242">
        <v>1.51</v>
      </c>
      <c r="I714" s="242">
        <v>1.83</v>
      </c>
      <c r="J714" s="242">
        <v>1.47</v>
      </c>
      <c r="K714" s="242">
        <v>0.6</v>
      </c>
      <c r="L714" s="242">
        <v>0.39</v>
      </c>
      <c r="M714" s="242">
        <v>0.41</v>
      </c>
      <c r="N714" s="242">
        <v>0.47</v>
      </c>
      <c r="O714" s="242">
        <v>0.89</v>
      </c>
      <c r="P714" s="241" t="s">
        <v>3345</v>
      </c>
      <c r="Q714" s="241" t="s">
        <v>3347</v>
      </c>
      <c r="R714" s="243" t="s">
        <v>4562</v>
      </c>
      <c r="S714" s="270">
        <f t="shared" si="25"/>
        <v>30097</v>
      </c>
      <c r="T714" s="270"/>
      <c r="U714" s="270">
        <f>IFERROR(VLOOKUP($A714,GeneratingCapabilityList!$E$7:$O$1673,11,FALSE),"ID Not Found")</f>
        <v>30097</v>
      </c>
      <c r="V714" s="271" t="str">
        <f>IFERROR(VLOOKUP($A714,GeneratingCapabilityList!$E$7:$O$1673,6,FALSE),"UNKNOWN")</f>
        <v>HYDRO</v>
      </c>
      <c r="W714" s="271">
        <f>IFERROR(VLOOKUP($A714,GeneratingCapabilityList!$E$7:$O$1673,3,FALSE),"ID Not Found")</f>
        <v>2.9</v>
      </c>
      <c r="Y714" s="270"/>
    </row>
    <row r="715" spans="1:25">
      <c r="A715" s="241" t="s">
        <v>1820</v>
      </c>
      <c r="B715" s="241" t="s">
        <v>3361</v>
      </c>
      <c r="C715" s="241" t="s">
        <v>1821</v>
      </c>
      <c r="D715" s="242">
        <v>24.67</v>
      </c>
      <c r="E715" s="242">
        <v>24.14</v>
      </c>
      <c r="F715" s="242">
        <v>16.28</v>
      </c>
      <c r="G715" s="242">
        <v>21.19</v>
      </c>
      <c r="H715" s="242">
        <v>24.78</v>
      </c>
      <c r="I715" s="242">
        <v>25.54</v>
      </c>
      <c r="J715" s="242">
        <v>24.69</v>
      </c>
      <c r="K715" s="242">
        <v>25.07</v>
      </c>
      <c r="L715" s="242">
        <v>25.29</v>
      </c>
      <c r="M715" s="242">
        <v>21.34</v>
      </c>
      <c r="N715" s="242">
        <v>24.57</v>
      </c>
      <c r="O715" s="242">
        <v>22.62</v>
      </c>
      <c r="P715" s="241" t="s">
        <v>3345</v>
      </c>
      <c r="Q715" s="241" t="s">
        <v>3347</v>
      </c>
      <c r="R715" s="243" t="s">
        <v>4562</v>
      </c>
      <c r="S715" s="270">
        <f t="shared" si="25"/>
        <v>32591</v>
      </c>
      <c r="T715" s="270"/>
      <c r="U715" s="270">
        <f>IFERROR(VLOOKUP($A715,GeneratingCapabilityList!$E$7:$O$1673,11,FALSE),"ID Not Found")</f>
        <v>32591</v>
      </c>
      <c r="V715" s="271" t="str">
        <f>IFERROR(VLOOKUP($A715,GeneratingCapabilityList!$E$7:$O$1673,6,FALSE),"UNKNOWN")</f>
        <v>BIOMASS</v>
      </c>
      <c r="W715" s="271">
        <f>IFERROR(VLOOKUP($A715,GeneratingCapabilityList!$E$7:$O$1673,3,FALSE),"ID Not Found")</f>
        <v>32</v>
      </c>
      <c r="Y715" s="270"/>
    </row>
    <row r="716" spans="1:25">
      <c r="A716" s="241" t="s">
        <v>4524</v>
      </c>
      <c r="B716" s="241" t="s">
        <v>3327</v>
      </c>
      <c r="C716" s="241" t="s">
        <v>4525</v>
      </c>
      <c r="D716" s="242">
        <v>96</v>
      </c>
      <c r="E716" s="242">
        <v>96</v>
      </c>
      <c r="F716" s="242">
        <v>96</v>
      </c>
      <c r="G716" s="242">
        <v>96</v>
      </c>
      <c r="H716" s="242">
        <v>96</v>
      </c>
      <c r="I716" s="242">
        <v>96</v>
      </c>
      <c r="J716" s="242">
        <v>96</v>
      </c>
      <c r="K716" s="242">
        <v>96</v>
      </c>
      <c r="L716" s="242">
        <v>96</v>
      </c>
      <c r="M716" s="242">
        <v>96</v>
      </c>
      <c r="N716" s="242">
        <v>96</v>
      </c>
      <c r="O716" s="242">
        <v>96</v>
      </c>
      <c r="P716" s="241" t="s">
        <v>3352</v>
      </c>
      <c r="Q716" s="241" t="s">
        <v>3347</v>
      </c>
      <c r="R716" s="243" t="s">
        <v>4561</v>
      </c>
      <c r="S716" s="270">
        <f t="shared" si="25"/>
        <v>41354</v>
      </c>
      <c r="T716" s="270"/>
      <c r="U716" s="270">
        <f>IFERROR(VLOOKUP($A716,GeneratingCapabilityList!$E$7:$O$1673,11,FALSE),"ID Not Found")</f>
        <v>41354</v>
      </c>
      <c r="V716" s="271" t="str">
        <f>IFERROR(VLOOKUP($A716,GeneratingCapabilityList!$E$7:$O$1673,6,FALSE),"UNKNOWN")</f>
        <v>THERMAL</v>
      </c>
      <c r="W716" s="271">
        <f>IFERROR(VLOOKUP($A716,GeneratingCapabilityList!$E$7:$O$1673,3,FALSE),"ID Not Found")</f>
        <v>96</v>
      </c>
      <c r="Y716" s="270"/>
    </row>
    <row r="717" spans="1:25">
      <c r="A717" s="241" t="s">
        <v>4527</v>
      </c>
      <c r="B717" s="241" t="s">
        <v>3327</v>
      </c>
      <c r="C717" s="241" t="s">
        <v>4528</v>
      </c>
      <c r="D717" s="242">
        <v>96</v>
      </c>
      <c r="E717" s="242">
        <v>96</v>
      </c>
      <c r="F717" s="242">
        <v>96</v>
      </c>
      <c r="G717" s="242">
        <v>96</v>
      </c>
      <c r="H717" s="242">
        <v>96</v>
      </c>
      <c r="I717" s="242">
        <v>96</v>
      </c>
      <c r="J717" s="242">
        <v>96</v>
      </c>
      <c r="K717" s="242">
        <v>96</v>
      </c>
      <c r="L717" s="242">
        <v>96</v>
      </c>
      <c r="M717" s="242">
        <v>96</v>
      </c>
      <c r="N717" s="242">
        <v>96</v>
      </c>
      <c r="O717" s="242">
        <v>96</v>
      </c>
      <c r="P717" s="241" t="s">
        <v>3352</v>
      </c>
      <c r="Q717" s="241" t="s">
        <v>3347</v>
      </c>
      <c r="R717" s="243" t="s">
        <v>4561</v>
      </c>
      <c r="S717" s="270">
        <f t="shared" si="25"/>
        <v>41354</v>
      </c>
      <c r="T717" s="270"/>
      <c r="U717" s="270">
        <f>IFERROR(VLOOKUP($A717,GeneratingCapabilityList!$E$7:$O$1673,11,FALSE),"ID Not Found")</f>
        <v>41354</v>
      </c>
      <c r="V717" s="271" t="str">
        <f>IFERROR(VLOOKUP($A717,GeneratingCapabilityList!$E$7:$O$1673,6,FALSE),"UNKNOWN")</f>
        <v>THERMAL</v>
      </c>
      <c r="W717" s="271">
        <f>IFERROR(VLOOKUP($A717,GeneratingCapabilityList!$E$7:$O$1673,3,FALSE),"ID Not Found")</f>
        <v>96</v>
      </c>
      <c r="Y717" s="270"/>
    </row>
    <row r="718" spans="1:25">
      <c r="A718" s="241" t="s">
        <v>4529</v>
      </c>
      <c r="B718" s="241" t="s">
        <v>3327</v>
      </c>
      <c r="C718" s="241" t="s">
        <v>4530</v>
      </c>
      <c r="D718" s="242">
        <v>96</v>
      </c>
      <c r="E718" s="242">
        <v>96</v>
      </c>
      <c r="F718" s="242">
        <v>96</v>
      </c>
      <c r="G718" s="242">
        <v>96</v>
      </c>
      <c r="H718" s="242">
        <v>96</v>
      </c>
      <c r="I718" s="242">
        <v>96</v>
      </c>
      <c r="J718" s="242">
        <v>96</v>
      </c>
      <c r="K718" s="242">
        <v>96</v>
      </c>
      <c r="L718" s="242">
        <v>96</v>
      </c>
      <c r="M718" s="242">
        <v>96</v>
      </c>
      <c r="N718" s="242">
        <v>96</v>
      </c>
      <c r="O718" s="242">
        <v>96</v>
      </c>
      <c r="P718" s="241" t="s">
        <v>3352</v>
      </c>
      <c r="Q718" s="241" t="s">
        <v>3347</v>
      </c>
      <c r="R718" s="243" t="s">
        <v>4561</v>
      </c>
      <c r="S718" s="270">
        <f t="shared" si="25"/>
        <v>41354</v>
      </c>
      <c r="T718" s="270"/>
      <c r="U718" s="270">
        <f>IFERROR(VLOOKUP($A718,GeneratingCapabilityList!$E$7:$O$1673,11,FALSE),"ID Not Found")</f>
        <v>41354</v>
      </c>
      <c r="V718" s="271" t="str">
        <f>IFERROR(VLOOKUP($A718,GeneratingCapabilityList!$E$7:$O$1673,6,FALSE),"UNKNOWN")</f>
        <v>THERMAL</v>
      </c>
      <c r="W718" s="271">
        <f>IFERROR(VLOOKUP($A718,GeneratingCapabilityList!$E$7:$O$1673,3,FALSE),"ID Not Found")</f>
        <v>96</v>
      </c>
      <c r="Y718" s="270"/>
    </row>
    <row r="719" spans="1:25">
      <c r="A719" s="241" t="s">
        <v>4531</v>
      </c>
      <c r="B719" s="241" t="s">
        <v>3327</v>
      </c>
      <c r="C719" s="241" t="s">
        <v>4532</v>
      </c>
      <c r="D719" s="242">
        <v>96</v>
      </c>
      <c r="E719" s="242">
        <v>96</v>
      </c>
      <c r="F719" s="242">
        <v>96</v>
      </c>
      <c r="G719" s="242">
        <v>96</v>
      </c>
      <c r="H719" s="242">
        <v>96</v>
      </c>
      <c r="I719" s="242">
        <v>96</v>
      </c>
      <c r="J719" s="242">
        <v>96</v>
      </c>
      <c r="K719" s="242">
        <v>96</v>
      </c>
      <c r="L719" s="242">
        <v>96</v>
      </c>
      <c r="M719" s="242">
        <v>96</v>
      </c>
      <c r="N719" s="242">
        <v>96</v>
      </c>
      <c r="O719" s="242">
        <v>96</v>
      </c>
      <c r="P719" s="241" t="s">
        <v>3352</v>
      </c>
      <c r="Q719" s="241" t="s">
        <v>3347</v>
      </c>
      <c r="R719" s="243" t="s">
        <v>4561</v>
      </c>
      <c r="S719" s="270">
        <f t="shared" si="25"/>
        <v>41362</v>
      </c>
      <c r="T719" s="270"/>
      <c r="U719" s="270">
        <f>IFERROR(VLOOKUP($A719,GeneratingCapabilityList!$E$7:$O$1673,11,FALSE),"ID Not Found")</f>
        <v>41362</v>
      </c>
      <c r="V719" s="271" t="str">
        <f>IFERROR(VLOOKUP($A719,GeneratingCapabilityList!$E$7:$O$1673,6,FALSE),"UNKNOWN")</f>
        <v>THERMAL</v>
      </c>
      <c r="W719" s="271">
        <f>IFERROR(VLOOKUP($A719,GeneratingCapabilityList!$E$7:$O$1673,3,FALSE),"ID Not Found")</f>
        <v>96</v>
      </c>
      <c r="Y719" s="270"/>
    </row>
    <row r="720" spans="1:25">
      <c r="A720" s="241" t="s">
        <v>4533</v>
      </c>
      <c r="B720" s="241" t="s">
        <v>3327</v>
      </c>
      <c r="C720" s="241" t="s">
        <v>4534</v>
      </c>
      <c r="D720" s="242">
        <v>96.65</v>
      </c>
      <c r="E720" s="242">
        <v>96.65</v>
      </c>
      <c r="F720" s="242">
        <v>96.65</v>
      </c>
      <c r="G720" s="242">
        <v>96.65</v>
      </c>
      <c r="H720" s="242">
        <v>96.65</v>
      </c>
      <c r="I720" s="242">
        <v>96.65</v>
      </c>
      <c r="J720" s="242">
        <v>96.65</v>
      </c>
      <c r="K720" s="242">
        <v>96.65</v>
      </c>
      <c r="L720" s="242">
        <v>96.65</v>
      </c>
      <c r="M720" s="242">
        <v>96.65</v>
      </c>
      <c r="N720" s="242">
        <v>96.65</v>
      </c>
      <c r="O720" s="242">
        <v>96.65</v>
      </c>
      <c r="P720" s="241" t="s">
        <v>3352</v>
      </c>
      <c r="Q720" s="241" t="s">
        <v>3347</v>
      </c>
      <c r="R720" s="243" t="s">
        <v>4561</v>
      </c>
      <c r="S720" s="270">
        <f t="shared" si="25"/>
        <v>41394</v>
      </c>
      <c r="T720" s="270"/>
      <c r="U720" s="270">
        <f>IFERROR(VLOOKUP($A720,GeneratingCapabilityList!$E$7:$O$1673,11,FALSE),"ID Not Found")</f>
        <v>41394</v>
      </c>
      <c r="V720" s="271" t="str">
        <f>IFERROR(VLOOKUP($A720,GeneratingCapabilityList!$E$7:$O$1673,6,FALSE),"UNKNOWN")</f>
        <v>THERMAL</v>
      </c>
      <c r="W720" s="271">
        <f>IFERROR(VLOOKUP($A720,GeneratingCapabilityList!$E$7:$O$1673,3,FALSE),"ID Not Found")</f>
        <v>100</v>
      </c>
      <c r="Y720" s="270"/>
    </row>
    <row r="721" spans="1:26">
      <c r="A721" s="241" t="s">
        <v>1309</v>
      </c>
      <c r="B721" s="241" t="s">
        <v>3327</v>
      </c>
      <c r="C721" s="241" t="s">
        <v>3804</v>
      </c>
      <c r="D721" s="242">
        <v>46.69</v>
      </c>
      <c r="E721" s="242">
        <v>47.25</v>
      </c>
      <c r="F721" s="242">
        <v>45.84</v>
      </c>
      <c r="G721" s="242">
        <v>46.5</v>
      </c>
      <c r="H721" s="242">
        <v>41.93</v>
      </c>
      <c r="I721" s="242">
        <v>47.74</v>
      </c>
      <c r="J721" s="242">
        <v>47.45</v>
      </c>
      <c r="K721" s="242">
        <v>48.03</v>
      </c>
      <c r="L721" s="242">
        <v>47.72</v>
      </c>
      <c r="M721" s="242">
        <v>45.69</v>
      </c>
      <c r="N721" s="242">
        <v>45.58</v>
      </c>
      <c r="O721" s="242">
        <v>44.43</v>
      </c>
      <c r="P721" s="241" t="s">
        <v>3352</v>
      </c>
      <c r="Q721" s="241" t="s">
        <v>3347</v>
      </c>
      <c r="R721" s="243" t="s">
        <v>4562</v>
      </c>
      <c r="S721" s="270">
        <f t="shared" si="25"/>
        <v>31413</v>
      </c>
      <c r="T721" s="270"/>
      <c r="U721" s="270">
        <f>IFERROR(VLOOKUP($A721,GeneratingCapabilityList!$E$7:$O$1673,11,FALSE),"ID Not Found")</f>
        <v>31413</v>
      </c>
      <c r="V721" s="271" t="str">
        <f>IFERROR(VLOOKUP($A721,GeneratingCapabilityList!$E$7:$O$1673,6,FALSE),"UNKNOWN")</f>
        <v>BIOMASS</v>
      </c>
      <c r="W721" s="271">
        <f>IFERROR(VLOOKUP($A721,GeneratingCapabilityList!$E$7:$O$1673,3,FALSE),"ID Not Found")</f>
        <v>53.22</v>
      </c>
      <c r="Y721" s="270"/>
    </row>
    <row r="722" spans="1:26">
      <c r="A722" s="241" t="s">
        <v>2217</v>
      </c>
      <c r="B722" s="241" t="s">
        <v>3327</v>
      </c>
      <c r="C722" s="241" t="s">
        <v>2217</v>
      </c>
      <c r="D722" s="242">
        <v>3.25</v>
      </c>
      <c r="E722" s="242">
        <v>2.92</v>
      </c>
      <c r="F722" s="242">
        <v>3.03</v>
      </c>
      <c r="G722" s="242">
        <v>3.15</v>
      </c>
      <c r="H722" s="242">
        <v>3.37</v>
      </c>
      <c r="I722" s="242">
        <v>2.21</v>
      </c>
      <c r="J722" s="242">
        <v>2.1800000000000002</v>
      </c>
      <c r="K722" s="242">
        <v>2.16</v>
      </c>
      <c r="L722" s="242">
        <v>2.11</v>
      </c>
      <c r="M722" s="242">
        <v>1.94</v>
      </c>
      <c r="N722" s="242">
        <v>2.09</v>
      </c>
      <c r="O722" s="242">
        <v>2.02</v>
      </c>
      <c r="P722" s="241" t="s">
        <v>3352</v>
      </c>
      <c r="Q722" s="241" t="s">
        <v>3347</v>
      </c>
      <c r="R722" s="243" t="s">
        <v>4562</v>
      </c>
      <c r="S722" s="270">
        <f t="shared" si="25"/>
        <v>35343</v>
      </c>
      <c r="T722" s="270"/>
      <c r="U722" s="270">
        <f>IFERROR(VLOOKUP($A722,GeneratingCapabilityList!$E$7:$O$1673,11,FALSE),"ID Not Found")</f>
        <v>35343</v>
      </c>
      <c r="V722" s="271" t="str">
        <f>IFERROR(VLOOKUP($A722,GeneratingCapabilityList!$E$7:$O$1673,6,FALSE),"UNKNOWN")</f>
        <v>BIOMASS</v>
      </c>
      <c r="W722" s="271">
        <f>IFERROR(VLOOKUP($A722,GeneratingCapabilityList!$E$7:$O$1673,3,FALSE),"ID Not Found")</f>
        <v>4.5</v>
      </c>
      <c r="Y722" s="270"/>
    </row>
    <row r="723" spans="1:26">
      <c r="A723" s="241" t="s">
        <v>2221</v>
      </c>
      <c r="B723" s="241" t="s">
        <v>3327</v>
      </c>
      <c r="C723" s="241" t="s">
        <v>2221</v>
      </c>
      <c r="D723" s="242">
        <v>4.09</v>
      </c>
      <c r="E723" s="242">
        <v>4.34</v>
      </c>
      <c r="F723" s="242">
        <v>4.47</v>
      </c>
      <c r="G723" s="242">
        <v>4.07</v>
      </c>
      <c r="H723" s="242">
        <v>4.4800000000000004</v>
      </c>
      <c r="I723" s="242">
        <v>4.41</v>
      </c>
      <c r="J723" s="242">
        <v>4.26</v>
      </c>
      <c r="K723" s="242">
        <v>4.42</v>
      </c>
      <c r="L723" s="242">
        <v>4.3099999999999996</v>
      </c>
      <c r="M723" s="242">
        <v>4.22</v>
      </c>
      <c r="N723" s="242">
        <v>4.16</v>
      </c>
      <c r="O723" s="242">
        <v>4.1900000000000004</v>
      </c>
      <c r="P723" s="241" t="s">
        <v>3352</v>
      </c>
      <c r="Q723" s="241" t="s">
        <v>3347</v>
      </c>
      <c r="R723" s="243" t="s">
        <v>4562</v>
      </c>
      <c r="S723" s="270">
        <f t="shared" si="25"/>
        <v>35343</v>
      </c>
      <c r="T723" s="270"/>
      <c r="U723" s="270">
        <f>IFERROR(VLOOKUP($A723,GeneratingCapabilityList!$E$7:$O$1673,11,FALSE),"ID Not Found")</f>
        <v>35343</v>
      </c>
      <c r="V723" s="271" t="str">
        <f>IFERROR(VLOOKUP($A723,GeneratingCapabilityList!$E$7:$O$1673,6,FALSE),"UNKNOWN")</f>
        <v>BIOMASS</v>
      </c>
      <c r="W723" s="271">
        <f>IFERROR(VLOOKUP($A723,GeneratingCapabilityList!$E$7:$O$1673,3,FALSE),"ID Not Found")</f>
        <v>5.7</v>
      </c>
      <c r="Y723" s="270"/>
    </row>
    <row r="724" spans="1:26">
      <c r="A724" s="245" t="s">
        <v>800</v>
      </c>
      <c r="B724" s="245" t="s">
        <v>3328</v>
      </c>
      <c r="C724" s="245" t="s">
        <v>3805</v>
      </c>
      <c r="D724" s="249">
        <v>76</v>
      </c>
      <c r="E724" s="249">
        <v>74.984130859375</v>
      </c>
      <c r="F724" s="249">
        <v>56.573650360107422</v>
      </c>
      <c r="G724" s="249">
        <v>76</v>
      </c>
      <c r="H724" s="249">
        <v>76</v>
      </c>
      <c r="I724" s="249">
        <v>76</v>
      </c>
      <c r="J724" s="249">
        <v>76</v>
      </c>
      <c r="K724" s="249">
        <v>76</v>
      </c>
      <c r="L724" s="249">
        <v>66.189498901367188</v>
      </c>
      <c r="M724" s="249">
        <v>56.573650360107422</v>
      </c>
      <c r="N724" s="249">
        <v>76</v>
      </c>
      <c r="O724" s="249">
        <v>76</v>
      </c>
      <c r="P724" s="245" t="s">
        <v>3352</v>
      </c>
      <c r="Q724" s="245" t="s">
        <v>3347</v>
      </c>
      <c r="R724" s="246" t="s">
        <v>4561</v>
      </c>
      <c r="S724" s="270">
        <f t="shared" si="25"/>
        <v>29952</v>
      </c>
      <c r="T724" s="270"/>
      <c r="U724" s="270">
        <f>IFERROR(VLOOKUP($A724,GeneratingCapabilityList!$E$7:$O$1673,11,FALSE),"ID Not Found")</f>
        <v>29952</v>
      </c>
      <c r="V724" s="271" t="str">
        <f>IFERROR(VLOOKUP($A724,GeneratingCapabilityList!$E$7:$O$1673,6,FALSE),"UNKNOWN")</f>
        <v>HYDRO</v>
      </c>
      <c r="W724" s="271">
        <f>IFERROR(VLOOKUP($A724,GeneratingCapabilityList!$E$7:$O$1673,3,FALSE),"ID Not Found")</f>
        <v>76</v>
      </c>
      <c r="Y724" s="270"/>
    </row>
    <row r="725" spans="1:26">
      <c r="A725" s="247" t="s">
        <v>4684</v>
      </c>
      <c r="B725" s="247" t="s">
        <v>3349</v>
      </c>
      <c r="C725" s="880" t="s">
        <v>4685</v>
      </c>
      <c r="D725" s="257" t="s">
        <v>4573</v>
      </c>
      <c r="E725" s="257" t="s">
        <v>4573</v>
      </c>
      <c r="F725" s="257" t="s">
        <v>4573</v>
      </c>
      <c r="G725" s="257" t="s">
        <v>4573</v>
      </c>
      <c r="H725" s="257" t="s">
        <v>4573</v>
      </c>
      <c r="I725" s="257" t="s">
        <v>4573</v>
      </c>
      <c r="J725" s="257" t="s">
        <v>4573</v>
      </c>
      <c r="K725" s="257" t="s">
        <v>4573</v>
      </c>
      <c r="L725" s="257" t="s">
        <v>4573</v>
      </c>
      <c r="M725" s="257" t="s">
        <v>4573</v>
      </c>
      <c r="N725" s="257" t="s">
        <v>4573</v>
      </c>
      <c r="O725" s="257" t="s">
        <v>4573</v>
      </c>
      <c r="P725" s="245" t="s">
        <v>3345</v>
      </c>
      <c r="Q725" s="248" t="s">
        <v>3385</v>
      </c>
      <c r="R725" s="246" t="s">
        <v>4562</v>
      </c>
      <c r="S725" s="270">
        <f t="shared" si="25"/>
        <v>41500</v>
      </c>
      <c r="T725" s="270"/>
      <c r="U725" s="270">
        <f>IFERROR(VLOOKUP($A725,GeneratingCapabilityList!$E$7:$O$1673,11,FALSE),"ID Not Found")</f>
        <v>41500</v>
      </c>
      <c r="V725" s="271" t="str">
        <f>IFERROR(VLOOKUP($A725,GeneratingCapabilityList!$E$7:$O$1673,6,FALSE),"UNKNOWN")</f>
        <v>SOLAR</v>
      </c>
      <c r="W725" s="271">
        <f>IFERROR(VLOOKUP($A725,GeneratingCapabilityList!$E$7:$O$1673,3,FALSE),"ID Not Found")</f>
        <v>20</v>
      </c>
      <c r="Y725" s="270"/>
      <c r="Z725" s="271" t="b">
        <f>TRUE</f>
        <v>1</v>
      </c>
    </row>
    <row r="726" spans="1:26">
      <c r="A726" s="241" t="s">
        <v>1751</v>
      </c>
      <c r="B726" s="241" t="s">
        <v>3346</v>
      </c>
      <c r="C726" s="241" t="s">
        <v>3806</v>
      </c>
      <c r="D726" s="242">
        <v>25</v>
      </c>
      <c r="E726" s="242">
        <v>25</v>
      </c>
      <c r="F726" s="242">
        <v>25</v>
      </c>
      <c r="G726" s="242">
        <v>25</v>
      </c>
      <c r="H726" s="242">
        <v>25</v>
      </c>
      <c r="I726" s="242">
        <v>25</v>
      </c>
      <c r="J726" s="242">
        <v>25</v>
      </c>
      <c r="K726" s="242">
        <v>25</v>
      </c>
      <c r="L726" s="242">
        <v>25</v>
      </c>
      <c r="M726" s="242">
        <v>25</v>
      </c>
      <c r="N726" s="242">
        <v>25</v>
      </c>
      <c r="O726" s="242">
        <v>25</v>
      </c>
      <c r="P726" s="241" t="s">
        <v>3345</v>
      </c>
      <c r="Q726" s="241" t="s">
        <v>3347</v>
      </c>
      <c r="R726" s="243" t="s">
        <v>4561</v>
      </c>
      <c r="S726" s="270">
        <f t="shared" si="25"/>
        <v>32488</v>
      </c>
      <c r="T726" s="270"/>
      <c r="U726" s="270">
        <f>IFERROR(VLOOKUP($A726,GeneratingCapabilityList!$E$7:$O$1673,11,FALSE),"ID Not Found")</f>
        <v>32488</v>
      </c>
      <c r="V726" s="271" t="str">
        <f>IFERROR(VLOOKUP($A726,GeneratingCapabilityList!$E$7:$O$1673,6,FALSE),"UNKNOWN")</f>
        <v>GEOTHERMAL</v>
      </c>
      <c r="W726" s="271">
        <f>IFERROR(VLOOKUP($A726,GeneratingCapabilityList!$E$7:$O$1673,3,FALSE),"ID Not Found")</f>
        <v>32.6</v>
      </c>
      <c r="Y726" s="270"/>
    </row>
    <row r="727" spans="1:26">
      <c r="A727" s="241" t="s">
        <v>469</v>
      </c>
      <c r="B727" s="241" t="s">
        <v>3375</v>
      </c>
      <c r="C727" s="241" t="s">
        <v>3807</v>
      </c>
      <c r="D727" s="242">
        <v>55</v>
      </c>
      <c r="E727" s="242">
        <v>55</v>
      </c>
      <c r="F727" s="242">
        <v>55</v>
      </c>
      <c r="G727" s="242">
        <v>55</v>
      </c>
      <c r="H727" s="242">
        <v>55</v>
      </c>
      <c r="I727" s="242">
        <v>55</v>
      </c>
      <c r="J727" s="242">
        <v>55</v>
      </c>
      <c r="K727" s="242">
        <v>55</v>
      </c>
      <c r="L727" s="242">
        <v>55</v>
      </c>
      <c r="M727" s="242">
        <v>55</v>
      </c>
      <c r="N727" s="242">
        <v>55</v>
      </c>
      <c r="O727" s="242">
        <v>55</v>
      </c>
      <c r="P727" s="241" t="s">
        <v>3345</v>
      </c>
      <c r="Q727" s="241" t="s">
        <v>3347</v>
      </c>
      <c r="R727" s="243" t="s">
        <v>4561</v>
      </c>
      <c r="S727" s="270">
        <f t="shared" si="25"/>
        <v>23012</v>
      </c>
      <c r="T727" s="270"/>
      <c r="U727" s="270">
        <f>IFERROR(VLOOKUP($A727,GeneratingCapabilityList!$E$7:$O$1673,11,FALSE),"ID Not Found")</f>
        <v>23012</v>
      </c>
      <c r="V727" s="271" t="str">
        <f>IFERROR(VLOOKUP($A727,GeneratingCapabilityList!$E$7:$O$1673,6,FALSE),"UNKNOWN")</f>
        <v>HYDRO</v>
      </c>
      <c r="W727" s="271">
        <f>IFERROR(VLOOKUP($A727,GeneratingCapabilityList!$E$7:$O$1673,3,FALSE),"ID Not Found")</f>
        <v>60</v>
      </c>
      <c r="Y727" s="270"/>
    </row>
    <row r="728" spans="1:26">
      <c r="A728" s="241" t="s">
        <v>341</v>
      </c>
      <c r="B728" s="241" t="s">
        <v>3361</v>
      </c>
      <c r="C728" s="241" t="s">
        <v>3808</v>
      </c>
      <c r="D728" s="242">
        <v>14</v>
      </c>
      <c r="E728" s="242">
        <v>14</v>
      </c>
      <c r="F728" s="242">
        <v>14</v>
      </c>
      <c r="G728" s="242">
        <v>14</v>
      </c>
      <c r="H728" s="242">
        <v>14</v>
      </c>
      <c r="I728" s="242">
        <v>14</v>
      </c>
      <c r="J728" s="242">
        <v>14</v>
      </c>
      <c r="K728" s="242">
        <v>14</v>
      </c>
      <c r="L728" s="242">
        <v>14</v>
      </c>
      <c r="M728" s="242">
        <v>14</v>
      </c>
      <c r="N728" s="242">
        <v>14</v>
      </c>
      <c r="O728" s="242">
        <v>14</v>
      </c>
      <c r="P728" s="241" t="s">
        <v>3345</v>
      </c>
      <c r="Q728" s="241" t="s">
        <v>3347</v>
      </c>
      <c r="R728" s="243" t="s">
        <v>4561</v>
      </c>
      <c r="S728" s="270">
        <f t="shared" si="25"/>
        <v>17533</v>
      </c>
      <c r="T728" s="270"/>
      <c r="U728" s="270">
        <f>IFERROR(VLOOKUP($A728,GeneratingCapabilityList!$E$7:$O$1673,11,FALSE),"ID Not Found")</f>
        <v>17533</v>
      </c>
      <c r="V728" s="271" t="str">
        <f>IFERROR(VLOOKUP($A728,GeneratingCapabilityList!$E$7:$O$1673,6,FALSE),"UNKNOWN")</f>
        <v>HYDRO</v>
      </c>
      <c r="W728" s="271">
        <f>IFERROR(VLOOKUP($A728,GeneratingCapabilityList!$E$7:$O$1673,3,FALSE),"ID Not Found")</f>
        <v>14</v>
      </c>
      <c r="Y728" s="270"/>
    </row>
    <row r="729" spans="1:26">
      <c r="A729" s="241" t="s">
        <v>4473</v>
      </c>
      <c r="B729" s="245" t="s">
        <v>3349</v>
      </c>
      <c r="C729" s="241" t="s">
        <v>4474</v>
      </c>
      <c r="D729" s="249" t="s">
        <v>4573</v>
      </c>
      <c r="E729" s="249" t="s">
        <v>4573</v>
      </c>
      <c r="F729" s="249" t="s">
        <v>4573</v>
      </c>
      <c r="G729" s="249" t="s">
        <v>4573</v>
      </c>
      <c r="H729" s="249" t="s">
        <v>4573</v>
      </c>
      <c r="I729" s="249" t="s">
        <v>4573</v>
      </c>
      <c r="J729" s="249" t="s">
        <v>4573</v>
      </c>
      <c r="K729" s="249" t="s">
        <v>4573</v>
      </c>
      <c r="L729" s="249" t="s">
        <v>4573</v>
      </c>
      <c r="M729" s="249" t="s">
        <v>4573</v>
      </c>
      <c r="N729" s="249" t="s">
        <v>4573</v>
      </c>
      <c r="O729" s="249" t="s">
        <v>4573</v>
      </c>
      <c r="P729" s="245" t="s">
        <v>3345</v>
      </c>
      <c r="Q729" s="245" t="s">
        <v>3385</v>
      </c>
      <c r="R729" s="243" t="s">
        <v>4562</v>
      </c>
      <c r="S729" s="270">
        <f t="shared" si="25"/>
        <v>41264</v>
      </c>
      <c r="T729" s="270"/>
      <c r="U729" s="270">
        <f>IFERROR(VLOOKUP($A729,GeneratingCapabilityList!$E$7:$O$1673,11,FALSE),"ID Not Found")</f>
        <v>41264</v>
      </c>
      <c r="V729" s="271" t="str">
        <f>IFERROR(VLOOKUP($A729,GeneratingCapabilityList!$E$7:$O$1673,6,FALSE),"UNKNOWN")</f>
        <v>SOLAR</v>
      </c>
      <c r="W729" s="271">
        <f>IFERROR(VLOOKUP($A729,GeneratingCapabilityList!$E$7:$O$1673,3,FALSE),"ID Not Found")</f>
        <v>1.5</v>
      </c>
      <c r="Y729" s="270"/>
    </row>
    <row r="730" spans="1:26">
      <c r="A730" s="241" t="s">
        <v>2879</v>
      </c>
      <c r="B730" s="241" t="s">
        <v>3375</v>
      </c>
      <c r="C730" s="241" t="s">
        <v>3809</v>
      </c>
      <c r="D730" s="242">
        <v>1.17</v>
      </c>
      <c r="E730" s="242">
        <v>1.1000000000000001</v>
      </c>
      <c r="F730" s="242">
        <v>1</v>
      </c>
      <c r="G730" s="242">
        <v>1.1100000000000001</v>
      </c>
      <c r="H730" s="242">
        <v>1.1299999999999999</v>
      </c>
      <c r="I730" s="242">
        <v>1.02</v>
      </c>
      <c r="J730" s="242">
        <v>1.1299999999999999</v>
      </c>
      <c r="K730" s="242">
        <v>1.1399999999999999</v>
      </c>
      <c r="L730" s="242">
        <v>0.98</v>
      </c>
      <c r="M730" s="242">
        <v>1.17</v>
      </c>
      <c r="N730" s="242">
        <v>1.25</v>
      </c>
      <c r="O730" s="242">
        <v>1.29</v>
      </c>
      <c r="P730" s="241" t="s">
        <v>3345</v>
      </c>
      <c r="Q730" s="241" t="s">
        <v>3347</v>
      </c>
      <c r="R730" s="243" t="s">
        <v>4562</v>
      </c>
      <c r="S730" s="270">
        <f t="shared" si="25"/>
        <v>39821</v>
      </c>
      <c r="T730" s="270"/>
      <c r="U730" s="270">
        <f>IFERROR(VLOOKUP($A730,GeneratingCapabilityList!$E$7:$O$1673,11,FALSE),"ID Not Found")</f>
        <v>39821</v>
      </c>
      <c r="V730" s="271" t="str">
        <f>IFERROR(VLOOKUP($A730,GeneratingCapabilityList!$E$7:$O$1673,6,FALSE),"UNKNOWN")</f>
        <v>BIOMASS</v>
      </c>
      <c r="W730" s="271">
        <f>IFERROR(VLOOKUP($A730,GeneratingCapabilityList!$E$7:$O$1673,3,FALSE),"ID Not Found")</f>
        <v>1.5</v>
      </c>
      <c r="Y730" s="270"/>
    </row>
    <row r="731" spans="1:26">
      <c r="A731" s="241" t="s">
        <v>2553</v>
      </c>
      <c r="B731" s="241" t="s">
        <v>3327</v>
      </c>
      <c r="C731" s="241" t="s">
        <v>2554</v>
      </c>
      <c r="D731" s="242">
        <v>2.19</v>
      </c>
      <c r="E731" s="242">
        <v>6.88</v>
      </c>
      <c r="F731" s="242">
        <v>21.92</v>
      </c>
      <c r="G731" s="242">
        <v>13.86</v>
      </c>
      <c r="H731" s="242">
        <v>25.5</v>
      </c>
      <c r="I731" s="242">
        <v>34.65</v>
      </c>
      <c r="J731" s="242">
        <v>13.47</v>
      </c>
      <c r="K731" s="242">
        <v>9.83</v>
      </c>
      <c r="L731" s="242">
        <v>3.28</v>
      </c>
      <c r="M731" s="242">
        <v>4.18</v>
      </c>
      <c r="N731" s="242">
        <v>4.49</v>
      </c>
      <c r="O731" s="242">
        <v>3</v>
      </c>
      <c r="P731" s="241" t="s">
        <v>3352</v>
      </c>
      <c r="Q731" s="241" t="s">
        <v>3347</v>
      </c>
      <c r="R731" s="243" t="s">
        <v>4562</v>
      </c>
      <c r="S731" s="270">
        <f t="shared" si="25"/>
        <v>37499</v>
      </c>
      <c r="T731" s="270"/>
      <c r="U731" s="270">
        <f>IFERROR(VLOOKUP($A731,GeneratingCapabilityList!$E$7:$O$1673,11,FALSE),"ID Not Found")</f>
        <v>37499</v>
      </c>
      <c r="V731" s="271" t="str">
        <f>IFERROR(VLOOKUP($A731,GeneratingCapabilityList!$E$7:$O$1673,6,FALSE),"UNKNOWN")</f>
        <v>WIND</v>
      </c>
      <c r="W731" s="271">
        <f>IFERROR(VLOOKUP($A731,GeneratingCapabilityList!$E$7:$O$1673,3,FALSE),"ID Not Found")</f>
        <v>61.5</v>
      </c>
      <c r="Y731" s="270"/>
    </row>
    <row r="732" spans="1:26">
      <c r="A732" s="241" t="s">
        <v>157</v>
      </c>
      <c r="B732" s="241" t="s">
        <v>3375</v>
      </c>
      <c r="C732" s="241" t="s">
        <v>3810</v>
      </c>
      <c r="D732" s="242">
        <v>8.59</v>
      </c>
      <c r="E732" s="242">
        <v>9.1199999999999992</v>
      </c>
      <c r="F732" s="242">
        <v>8.16</v>
      </c>
      <c r="G732" s="242">
        <v>8.15</v>
      </c>
      <c r="H732" s="242">
        <v>11.17</v>
      </c>
      <c r="I732" s="242">
        <v>10.78</v>
      </c>
      <c r="J732" s="242">
        <v>10.75</v>
      </c>
      <c r="K732" s="242">
        <v>11.44</v>
      </c>
      <c r="L732" s="242">
        <v>11.94</v>
      </c>
      <c r="M732" s="242">
        <v>6.24</v>
      </c>
      <c r="N732" s="242">
        <v>6.24</v>
      </c>
      <c r="O732" s="242">
        <v>7.08</v>
      </c>
      <c r="P732" s="241" t="s">
        <v>3345</v>
      </c>
      <c r="Q732" s="241" t="s">
        <v>3347</v>
      </c>
      <c r="R732" s="243" t="s">
        <v>4561</v>
      </c>
      <c r="S732" s="270">
        <f t="shared" si="25"/>
        <v>6211</v>
      </c>
      <c r="T732" s="270"/>
      <c r="U732" s="270">
        <f>IFERROR(VLOOKUP($A732,GeneratingCapabilityList!$E$7:$O$1673,11,FALSE),"ID Not Found")</f>
        <v>6211</v>
      </c>
      <c r="V732" s="271" t="str">
        <f>IFERROR(VLOOKUP($A732,GeneratingCapabilityList!$E$7:$O$1673,6,FALSE),"UNKNOWN")</f>
        <v>HYDRO</v>
      </c>
      <c r="W732" s="271">
        <f>IFERROR(VLOOKUP($A732,GeneratingCapabilityList!$E$7:$O$1673,3,FALSE),"ID Not Found")</f>
        <v>14.5</v>
      </c>
      <c r="Y732" s="270"/>
    </row>
    <row r="733" spans="1:26">
      <c r="A733" s="241" t="s">
        <v>1289</v>
      </c>
      <c r="B733" s="241" t="s">
        <v>3375</v>
      </c>
      <c r="C733" s="241" t="s">
        <v>3811</v>
      </c>
      <c r="D733" s="242">
        <v>0.83</v>
      </c>
      <c r="E733" s="242">
        <v>0.8</v>
      </c>
      <c r="F733" s="242">
        <v>0.81</v>
      </c>
      <c r="G733" s="242">
        <v>0.77</v>
      </c>
      <c r="H733" s="242">
        <v>0.88</v>
      </c>
      <c r="I733" s="242">
        <v>0.51</v>
      </c>
      <c r="J733" s="242">
        <v>0.43</v>
      </c>
      <c r="K733" s="242">
        <v>0.11</v>
      </c>
      <c r="L733" s="242">
        <v>0</v>
      </c>
      <c r="M733" s="242">
        <v>0</v>
      </c>
      <c r="N733" s="242">
        <v>0.03</v>
      </c>
      <c r="O733" s="242">
        <v>0.02</v>
      </c>
      <c r="P733" s="241" t="s">
        <v>3345</v>
      </c>
      <c r="Q733" s="241" t="s">
        <v>3347</v>
      </c>
      <c r="R733" s="243" t="s">
        <v>4561</v>
      </c>
      <c r="S733" s="270">
        <f t="shared" si="25"/>
        <v>31413</v>
      </c>
      <c r="T733" s="270"/>
      <c r="U733" s="270">
        <f>IFERROR(VLOOKUP($A733,GeneratingCapabilityList!$E$7:$O$1673,11,FALSE),"ID Not Found")</f>
        <v>31413</v>
      </c>
      <c r="V733" s="271" t="str">
        <f>IFERROR(VLOOKUP($A733,GeneratingCapabilityList!$E$7:$O$1673,6,FALSE),"UNKNOWN")</f>
        <v>HYDRO</v>
      </c>
      <c r="W733" s="271">
        <f>IFERROR(VLOOKUP($A733,GeneratingCapabilityList!$E$7:$O$1673,3,FALSE),"ID Not Found")</f>
        <v>3.2</v>
      </c>
      <c r="Y733" s="270"/>
    </row>
    <row r="734" spans="1:26">
      <c r="A734" s="241" t="s">
        <v>96</v>
      </c>
      <c r="B734" s="241" t="s">
        <v>3349</v>
      </c>
      <c r="C734" s="241" t="s">
        <v>3812</v>
      </c>
      <c r="D734" s="242">
        <v>18.399999999999999</v>
      </c>
      <c r="E734" s="242">
        <v>18.399999999999999</v>
      </c>
      <c r="F734" s="242">
        <v>18.399999999999999</v>
      </c>
      <c r="G734" s="242">
        <v>18.399999999999999</v>
      </c>
      <c r="H734" s="242">
        <v>18.399999999999999</v>
      </c>
      <c r="I734" s="242">
        <v>18.399999999999999</v>
      </c>
      <c r="J734" s="242">
        <v>18.399999999999999</v>
      </c>
      <c r="K734" s="242">
        <v>18.399999999999999</v>
      </c>
      <c r="L734" s="242">
        <v>18.399999999999999</v>
      </c>
      <c r="M734" s="242">
        <v>18.399999999999999</v>
      </c>
      <c r="N734" s="242">
        <v>18.399999999999999</v>
      </c>
      <c r="O734" s="242">
        <v>18.399999999999999</v>
      </c>
      <c r="P734" s="241" t="s">
        <v>3345</v>
      </c>
      <c r="Q734" s="241" t="s">
        <v>3347</v>
      </c>
      <c r="R734" s="243" t="s">
        <v>4561</v>
      </c>
      <c r="S734" s="270">
        <f t="shared" si="25"/>
        <v>3654</v>
      </c>
      <c r="T734" s="270"/>
      <c r="U734" s="270">
        <f>IFERROR(VLOOKUP($A734,GeneratingCapabilityList!$E$7:$O$1673,11,FALSE),"ID Not Found")</f>
        <v>3654</v>
      </c>
      <c r="V734" s="271" t="str">
        <f>IFERROR(VLOOKUP($A734,GeneratingCapabilityList!$E$7:$O$1673,6,FALSE),"UNKNOWN")</f>
        <v>HYDRO</v>
      </c>
      <c r="W734" s="271">
        <f>IFERROR(VLOOKUP($A734,GeneratingCapabilityList!$E$7:$O$1673,3,FALSE),"ID Not Found")</f>
        <v>18.399999999999999</v>
      </c>
      <c r="Y734" s="270"/>
    </row>
    <row r="735" spans="1:26">
      <c r="A735" s="241" t="s">
        <v>1027</v>
      </c>
      <c r="B735" s="241" t="s">
        <v>3384</v>
      </c>
      <c r="C735" s="241" t="s">
        <v>3813</v>
      </c>
      <c r="D735" s="242">
        <v>0.23</v>
      </c>
      <c r="E735" s="242">
        <v>0.28000000000000003</v>
      </c>
      <c r="F735" s="242">
        <v>0.27</v>
      </c>
      <c r="G735" s="242">
        <v>0.28999999999999998</v>
      </c>
      <c r="H735" s="242">
        <v>0.27</v>
      </c>
      <c r="I735" s="242">
        <v>0.18</v>
      </c>
      <c r="J735" s="242">
        <v>0.06</v>
      </c>
      <c r="K735" s="242">
        <v>0.02</v>
      </c>
      <c r="L735" s="242">
        <v>0.01</v>
      </c>
      <c r="M735" s="242">
        <v>0.03</v>
      </c>
      <c r="N735" s="242">
        <v>0.08</v>
      </c>
      <c r="O735" s="242">
        <v>0.14000000000000001</v>
      </c>
      <c r="P735" s="241" t="s">
        <v>3345</v>
      </c>
      <c r="Q735" s="241" t="s">
        <v>3347</v>
      </c>
      <c r="R735" s="243" t="s">
        <v>4562</v>
      </c>
      <c r="S735" s="270">
        <f t="shared" si="25"/>
        <v>30690</v>
      </c>
      <c r="T735" s="270"/>
      <c r="U735" s="270">
        <f>IFERROR(VLOOKUP($A735,GeneratingCapabilityList!$E$7:$O$1673,11,FALSE),"ID Not Found")</f>
        <v>30690</v>
      </c>
      <c r="V735" s="271" t="str">
        <f>IFERROR(VLOOKUP($A735,GeneratingCapabilityList!$E$7:$O$1673,6,FALSE),"UNKNOWN")</f>
        <v>HYDRO</v>
      </c>
      <c r="W735" s="271">
        <f>IFERROR(VLOOKUP($A735,GeneratingCapabilityList!$E$7:$O$1673,3,FALSE),"ID Not Found")</f>
        <v>0.36</v>
      </c>
      <c r="Y735" s="270"/>
    </row>
    <row r="736" spans="1:26">
      <c r="A736" s="241" t="s">
        <v>974</v>
      </c>
      <c r="B736" s="241" t="s">
        <v>3324</v>
      </c>
      <c r="C736" s="241" t="s">
        <v>975</v>
      </c>
      <c r="D736" s="242">
        <v>0.42</v>
      </c>
      <c r="E736" s="242">
        <v>1.91</v>
      </c>
      <c r="F736" s="242">
        <v>3.36</v>
      </c>
      <c r="G736" s="242">
        <v>3.35</v>
      </c>
      <c r="H736" s="242">
        <v>6</v>
      </c>
      <c r="I736" s="242">
        <v>5.4</v>
      </c>
      <c r="J736" s="242">
        <v>4.96</v>
      </c>
      <c r="K736" s="242">
        <v>3.28</v>
      </c>
      <c r="L736" s="242">
        <v>1.31</v>
      </c>
      <c r="M736" s="242">
        <v>1.18</v>
      </c>
      <c r="N736" s="242">
        <v>1.48</v>
      </c>
      <c r="O736" s="242">
        <v>0.56999999999999995</v>
      </c>
      <c r="P736" s="241" t="s">
        <v>3345</v>
      </c>
      <c r="Q736" s="241" t="s">
        <v>3347</v>
      </c>
      <c r="R736" s="243" t="s">
        <v>4562</v>
      </c>
      <c r="S736" s="270">
        <f t="shared" si="25"/>
        <v>30674</v>
      </c>
      <c r="T736" s="270"/>
      <c r="U736" s="270">
        <f>IFERROR(VLOOKUP($A736,GeneratingCapabilityList!$E$7:$O$1673,11,FALSE),"ID Not Found")</f>
        <v>30674</v>
      </c>
      <c r="V736" s="271" t="str">
        <f>IFERROR(VLOOKUP($A736,GeneratingCapabilityList!$E$7:$O$1673,6,FALSE),"UNKNOWN")</f>
        <v>WIND</v>
      </c>
      <c r="W736" s="271">
        <f>IFERROR(VLOOKUP($A736,GeneratingCapabilityList!$E$7:$O$1673,3,FALSE),"ID Not Found")</f>
        <v>38</v>
      </c>
      <c r="Y736" s="270"/>
    </row>
    <row r="737" spans="1:25">
      <c r="A737" s="241" t="s">
        <v>3064</v>
      </c>
      <c r="B737" s="241" t="s">
        <v>3361</v>
      </c>
      <c r="C737" s="241" t="s">
        <v>4686</v>
      </c>
      <c r="D737" s="242">
        <v>6.38</v>
      </c>
      <c r="E737" s="242">
        <v>10.34</v>
      </c>
      <c r="F737" s="242">
        <v>25.45</v>
      </c>
      <c r="G737" s="242">
        <v>29.5</v>
      </c>
      <c r="H737" s="242">
        <v>37.369999999999997</v>
      </c>
      <c r="I737" s="242">
        <v>42.17</v>
      </c>
      <c r="J737" s="242">
        <v>32.799999999999997</v>
      </c>
      <c r="K737" s="242">
        <v>19.98</v>
      </c>
      <c r="L737" s="242">
        <v>6.19</v>
      </c>
      <c r="M737" s="242">
        <v>7.9</v>
      </c>
      <c r="N737" s="242">
        <v>9.31</v>
      </c>
      <c r="O737" s="242">
        <v>5.69</v>
      </c>
      <c r="P737" s="241" t="s">
        <v>3352</v>
      </c>
      <c r="Q737" s="245" t="s">
        <v>3347</v>
      </c>
      <c r="R737" s="243" t="s">
        <v>4562</v>
      </c>
      <c r="S737" s="270">
        <f t="shared" si="25"/>
        <v>40936</v>
      </c>
      <c r="T737" s="270"/>
      <c r="U737" s="270">
        <f>IFERROR(VLOOKUP($A737,GeneratingCapabilityList!$E$7:$O$1673,11,FALSE),"ID Not Found")</f>
        <v>40936</v>
      </c>
      <c r="V737" s="271" t="str">
        <f>IFERROR(VLOOKUP($A737,GeneratingCapabilityList!$E$7:$O$1673,6,FALSE),"UNKNOWN")</f>
        <v>WIND</v>
      </c>
      <c r="W737" s="271">
        <f>IFERROR(VLOOKUP($A737,GeneratingCapabilityList!$E$7:$O$1673,3,FALSE),"ID Not Found")</f>
        <v>120</v>
      </c>
      <c r="Y737" s="270"/>
    </row>
    <row r="738" spans="1:25">
      <c r="A738" s="241" t="s">
        <v>2593</v>
      </c>
      <c r="B738" s="241" t="s">
        <v>3361</v>
      </c>
      <c r="C738" s="241" t="s">
        <v>3814</v>
      </c>
      <c r="D738" s="242">
        <v>46.9</v>
      </c>
      <c r="E738" s="242">
        <v>46.9</v>
      </c>
      <c r="F738" s="242">
        <v>46.9</v>
      </c>
      <c r="G738" s="242">
        <v>46.9</v>
      </c>
      <c r="H738" s="242">
        <v>46</v>
      </c>
      <c r="I738" s="242">
        <v>46</v>
      </c>
      <c r="J738" s="242">
        <v>46</v>
      </c>
      <c r="K738" s="242">
        <v>46</v>
      </c>
      <c r="L738" s="242">
        <v>46</v>
      </c>
      <c r="M738" s="242">
        <v>46.9</v>
      </c>
      <c r="N738" s="242">
        <v>46.9</v>
      </c>
      <c r="O738" s="242">
        <v>46.9</v>
      </c>
      <c r="P738" s="241" t="s">
        <v>3345</v>
      </c>
      <c r="Q738" s="241" t="s">
        <v>3347</v>
      </c>
      <c r="R738" s="243" t="s">
        <v>4561</v>
      </c>
      <c r="S738" s="270">
        <f t="shared" si="25"/>
        <v>37702</v>
      </c>
      <c r="T738" s="270"/>
      <c r="U738" s="270">
        <f>IFERROR(VLOOKUP($A738,GeneratingCapabilityList!$E$7:$O$1673,11,FALSE),"ID Not Found")</f>
        <v>37702</v>
      </c>
      <c r="V738" s="271" t="str">
        <f>IFERROR(VLOOKUP($A738,GeneratingCapabilityList!$E$7:$O$1673,6,FALSE),"UNKNOWN")</f>
        <v>PEAKER</v>
      </c>
      <c r="W738" s="271">
        <f>IFERROR(VLOOKUP($A738,GeneratingCapabilityList!$E$7:$O$1673,3,FALSE),"ID Not Found")</f>
        <v>46.9</v>
      </c>
      <c r="Y738" s="270"/>
    </row>
    <row r="739" spans="1:25">
      <c r="A739" s="241" t="s">
        <v>3302</v>
      </c>
      <c r="B739" s="241" t="s">
        <v>3349</v>
      </c>
      <c r="C739" s="241" t="s">
        <v>3303</v>
      </c>
      <c r="D739" s="242">
        <v>0</v>
      </c>
      <c r="E739" s="242">
        <v>0</v>
      </c>
      <c r="F739" s="242">
        <v>0</v>
      </c>
      <c r="G739" s="242">
        <v>0</v>
      </c>
      <c r="H739" s="242">
        <v>0.21</v>
      </c>
      <c r="I739" s="242">
        <v>0.19</v>
      </c>
      <c r="J739" s="242">
        <v>0.54</v>
      </c>
      <c r="K739" s="242">
        <v>0.46</v>
      </c>
      <c r="L739" s="242">
        <v>0.17</v>
      </c>
      <c r="M739" s="242">
        <v>0</v>
      </c>
      <c r="N739" s="242">
        <v>0</v>
      </c>
      <c r="O739" s="242">
        <v>0</v>
      </c>
      <c r="P739" s="241" t="s">
        <v>3345</v>
      </c>
      <c r="Q739" s="241" t="s">
        <v>3347</v>
      </c>
      <c r="R739" s="243" t="s">
        <v>4562</v>
      </c>
      <c r="S739" s="270">
        <f t="shared" si="25"/>
        <v>31444</v>
      </c>
      <c r="T739" s="270"/>
      <c r="U739" s="270">
        <f>IFERROR(VLOOKUP($A739,GeneratingCapabilityList!$E$7:$O$1673,11,FALSE),"ID Not Found")</f>
        <v>31444</v>
      </c>
      <c r="V739" s="271" t="str">
        <f>IFERROR(VLOOKUP($A739,GeneratingCapabilityList!$E$7:$O$1673,6,FALSE),"UNKNOWN")</f>
        <v>HYDRO</v>
      </c>
      <c r="W739" s="271">
        <f>IFERROR(VLOOKUP($A739,GeneratingCapabilityList!$E$7:$O$1673,3,FALSE),"ID Not Found")</f>
        <v>2.5</v>
      </c>
      <c r="Y739" s="270"/>
    </row>
    <row r="740" spans="1:25">
      <c r="A740" s="241" t="s">
        <v>1597</v>
      </c>
      <c r="B740" s="241" t="s">
        <v>3361</v>
      </c>
      <c r="C740" s="241" t="s">
        <v>3815</v>
      </c>
      <c r="D740" s="242">
        <v>48.31</v>
      </c>
      <c r="E740" s="242">
        <v>48.09</v>
      </c>
      <c r="F740" s="242">
        <v>45.32</v>
      </c>
      <c r="G740" s="242">
        <v>45.87</v>
      </c>
      <c r="H740" s="242">
        <v>35.35</v>
      </c>
      <c r="I740" s="242">
        <v>49.39</v>
      </c>
      <c r="J740" s="242">
        <v>49.21</v>
      </c>
      <c r="K740" s="242">
        <v>48.99</v>
      </c>
      <c r="L740" s="242">
        <v>45.45</v>
      </c>
      <c r="M740" s="242">
        <v>48.09</v>
      </c>
      <c r="N740" s="242">
        <v>48.5</v>
      </c>
      <c r="O740" s="242">
        <v>46.56</v>
      </c>
      <c r="P740" s="241" t="s">
        <v>3345</v>
      </c>
      <c r="Q740" s="241" t="s">
        <v>3347</v>
      </c>
      <c r="R740" s="243" t="s">
        <v>4562</v>
      </c>
      <c r="S740" s="270">
        <f t="shared" si="25"/>
        <v>32080</v>
      </c>
      <c r="T740" s="270"/>
      <c r="U740" s="270">
        <f>IFERROR(VLOOKUP($A740,GeneratingCapabilityList!$E$7:$O$1673,11,FALSE),"ID Not Found")</f>
        <v>32080</v>
      </c>
      <c r="V740" s="271" t="str">
        <f>IFERROR(VLOOKUP($A740,GeneratingCapabilityList!$E$7:$O$1673,6,FALSE),"UNKNOWN")</f>
        <v>BIOMASS</v>
      </c>
      <c r="W740" s="271">
        <f>IFERROR(VLOOKUP($A740,GeneratingCapabilityList!$E$7:$O$1673,3,FALSE),"ID Not Found")</f>
        <v>63</v>
      </c>
      <c r="Y740" s="270"/>
    </row>
    <row r="741" spans="1:25">
      <c r="A741" s="241" t="s">
        <v>2052</v>
      </c>
      <c r="B741" s="241" t="s">
        <v>3375</v>
      </c>
      <c r="C741" s="241" t="s">
        <v>3816</v>
      </c>
      <c r="D741" s="242">
        <v>20.6</v>
      </c>
      <c r="E741" s="242">
        <v>20.79</v>
      </c>
      <c r="F741" s="242">
        <v>17.64</v>
      </c>
      <c r="G741" s="242">
        <v>21.72</v>
      </c>
      <c r="H741" s="242">
        <v>20.43</v>
      </c>
      <c r="I741" s="242">
        <v>35.619999999999997</v>
      </c>
      <c r="J741" s="242">
        <v>32.54</v>
      </c>
      <c r="K741" s="242">
        <v>29.78</v>
      </c>
      <c r="L741" s="242">
        <v>28</v>
      </c>
      <c r="M741" s="242">
        <v>19.899999999999999</v>
      </c>
      <c r="N741" s="242">
        <v>15.57</v>
      </c>
      <c r="O741" s="242">
        <v>16.989999999999998</v>
      </c>
      <c r="P741" s="241" t="s">
        <v>3345</v>
      </c>
      <c r="Q741" s="241" t="s">
        <v>3347</v>
      </c>
      <c r="R741" s="243" t="s">
        <v>4562</v>
      </c>
      <c r="S741" s="270">
        <f t="shared" si="25"/>
        <v>33234</v>
      </c>
      <c r="T741" s="270"/>
      <c r="U741" s="270">
        <f>IFERROR(VLOOKUP($A741,GeneratingCapabilityList!$E$7:$O$1673,11,FALSE),"ID Not Found")</f>
        <v>33234</v>
      </c>
      <c r="V741" s="271" t="str">
        <f>IFERROR(VLOOKUP($A741,GeneratingCapabilityList!$E$7:$O$1673,6,FALSE),"UNKNOWN")</f>
        <v>COGENERATION</v>
      </c>
      <c r="W741" s="271">
        <f>IFERROR(VLOOKUP($A741,GeneratingCapabilityList!$E$7:$O$1673,3,FALSE),"ID Not Found")</f>
        <v>49.97</v>
      </c>
      <c r="Y741" s="270"/>
    </row>
    <row r="742" spans="1:25">
      <c r="A742" s="241" t="s">
        <v>2545</v>
      </c>
      <c r="B742" s="241" t="s">
        <v>3375</v>
      </c>
      <c r="C742" s="241" t="s">
        <v>3817</v>
      </c>
      <c r="D742" s="242">
        <v>46</v>
      </c>
      <c r="E742" s="242">
        <v>46</v>
      </c>
      <c r="F742" s="242">
        <v>46</v>
      </c>
      <c r="G742" s="242">
        <v>46</v>
      </c>
      <c r="H742" s="242">
        <v>46</v>
      </c>
      <c r="I742" s="242">
        <v>46</v>
      </c>
      <c r="J742" s="242">
        <v>46</v>
      </c>
      <c r="K742" s="242">
        <v>46</v>
      </c>
      <c r="L742" s="242">
        <v>46</v>
      </c>
      <c r="M742" s="242">
        <v>46</v>
      </c>
      <c r="N742" s="242">
        <v>46</v>
      </c>
      <c r="O742" s="242">
        <v>46</v>
      </c>
      <c r="P742" s="241" t="s">
        <v>3345</v>
      </c>
      <c r="Q742" s="241" t="s">
        <v>3347</v>
      </c>
      <c r="R742" s="243" t="s">
        <v>4561</v>
      </c>
      <c r="S742" s="270">
        <f t="shared" si="25"/>
        <v>37463</v>
      </c>
      <c r="T742" s="270"/>
      <c r="U742" s="270">
        <f>IFERROR(VLOOKUP($A742,GeneratingCapabilityList!$E$7:$O$1673,11,FALSE),"ID Not Found")</f>
        <v>37463</v>
      </c>
      <c r="V742" s="271" t="str">
        <f>IFERROR(VLOOKUP($A742,GeneratingCapabilityList!$E$7:$O$1673,6,FALSE),"UNKNOWN")</f>
        <v>PEAKER</v>
      </c>
      <c r="W742" s="271">
        <f>IFERROR(VLOOKUP($A742,GeneratingCapabilityList!$E$7:$O$1673,3,FALSE),"ID Not Found")</f>
        <v>46</v>
      </c>
      <c r="Y742" s="270"/>
    </row>
    <row r="743" spans="1:25">
      <c r="A743" s="244" t="s">
        <v>1255</v>
      </c>
      <c r="B743" s="245" t="s">
        <v>3324</v>
      </c>
      <c r="C743" s="245" t="s">
        <v>3818</v>
      </c>
      <c r="D743" s="281">
        <v>0.22351465265114381</v>
      </c>
      <c r="E743" s="281">
        <v>0.27197860541145996</v>
      </c>
      <c r="F743" s="281">
        <v>0.86224368556839315</v>
      </c>
      <c r="G743" s="281">
        <v>0.67784249726703749</v>
      </c>
      <c r="H743" s="281">
        <v>1.1882436495393132</v>
      </c>
      <c r="I743" s="281">
        <v>2.4669540068908891</v>
      </c>
      <c r="J743" s="281">
        <v>2.6689981648139813</v>
      </c>
      <c r="K743" s="281">
        <v>1.9794174359299805</v>
      </c>
      <c r="L743" s="281">
        <v>0.98789483052194316</v>
      </c>
      <c r="M743" s="281">
        <v>0.75712102672549608</v>
      </c>
      <c r="N743" s="281">
        <v>6.5962738172815755E-2</v>
      </c>
      <c r="O743" s="281">
        <v>0.18537327449173924</v>
      </c>
      <c r="P743" s="245" t="s">
        <v>3345</v>
      </c>
      <c r="Q743" s="245" t="s">
        <v>3347</v>
      </c>
      <c r="R743" s="246" t="s">
        <v>4562</v>
      </c>
      <c r="S743" s="270">
        <f t="shared" si="25"/>
        <v>31411</v>
      </c>
      <c r="T743" s="270"/>
      <c r="U743" s="270">
        <f>IFERROR(VLOOKUP($A743,GeneratingCapabilityList!$E$7:$O$1673,11,FALSE),"ID Not Found")</f>
        <v>31411</v>
      </c>
      <c r="V743" s="271" t="str">
        <f>IFERROR(VLOOKUP($A743,GeneratingCapabilityList!$E$7:$O$1673,6,FALSE),"UNKNOWN")</f>
        <v>WIND</v>
      </c>
      <c r="W743" s="271">
        <f>IFERROR(VLOOKUP($A743,GeneratingCapabilityList!$E$7:$O$1673,3,FALSE),"ID Not Found")</f>
        <v>17.100000000000001</v>
      </c>
      <c r="Y743" s="270"/>
    </row>
    <row r="744" spans="1:25">
      <c r="A744" s="832"/>
      <c r="B744" s="832"/>
      <c r="C744" s="832"/>
      <c r="D744" s="833"/>
      <c r="E744" s="833"/>
      <c r="F744" s="833"/>
      <c r="G744" s="833"/>
      <c r="H744" s="833"/>
      <c r="I744" s="833"/>
      <c r="J744" s="833"/>
      <c r="K744" s="282">
        <f>SUM(K2:K743)</f>
        <v>51877.629392117407</v>
      </c>
      <c r="L744" s="833"/>
      <c r="M744" s="833"/>
      <c r="N744" s="833"/>
      <c r="O744" s="833"/>
      <c r="P744" s="832"/>
      <c r="Q744" s="832"/>
      <c r="R744" s="826"/>
    </row>
    <row r="745" spans="1:25">
      <c r="A745" s="834"/>
      <c r="B745" s="834"/>
      <c r="C745" s="834"/>
      <c r="D745" s="829"/>
      <c r="E745" s="829"/>
      <c r="F745" s="829"/>
      <c r="G745" s="829"/>
      <c r="H745" s="829"/>
      <c r="I745" s="829"/>
      <c r="J745" s="829"/>
      <c r="K745" s="829"/>
      <c r="L745" s="829"/>
      <c r="M745" s="829"/>
      <c r="N745" s="829"/>
      <c r="O745" s="829"/>
      <c r="P745" s="826"/>
      <c r="Q745" s="826"/>
      <c r="R745" s="826"/>
    </row>
    <row r="746" spans="1:25">
      <c r="A746" s="826"/>
      <c r="B746" s="826"/>
      <c r="C746" s="826"/>
      <c r="D746" s="829"/>
      <c r="E746" s="829"/>
      <c r="F746" s="829"/>
      <c r="G746" s="829"/>
      <c r="H746" s="829"/>
      <c r="I746" s="829"/>
      <c r="J746" s="829"/>
      <c r="K746" s="829"/>
      <c r="L746" s="829"/>
      <c r="M746" s="829"/>
      <c r="N746" s="829"/>
      <c r="O746" s="829"/>
      <c r="P746" s="826"/>
      <c r="Q746" s="826"/>
      <c r="R746" s="826"/>
    </row>
    <row r="747" spans="1:25">
      <c r="A747" s="826"/>
      <c r="B747" s="826"/>
      <c r="C747" s="826"/>
      <c r="D747" s="829"/>
      <c r="E747" s="829"/>
      <c r="F747" s="829"/>
      <c r="G747" s="829"/>
      <c r="H747" s="829"/>
      <c r="I747" s="829"/>
      <c r="J747" s="829"/>
      <c r="K747" s="829"/>
      <c r="L747" s="829"/>
      <c r="M747" s="829"/>
      <c r="N747" s="829"/>
      <c r="O747" s="829"/>
      <c r="P747" s="826"/>
      <c r="Q747" s="826"/>
      <c r="R747" s="826"/>
    </row>
    <row r="748" spans="1:25">
      <c r="A748" s="826"/>
      <c r="B748" s="826"/>
      <c r="C748" s="826"/>
      <c r="D748" s="829"/>
      <c r="E748" s="829"/>
      <c r="F748" s="829"/>
      <c r="G748" s="829"/>
      <c r="H748" s="829"/>
      <c r="I748" s="829"/>
      <c r="J748" s="829"/>
      <c r="K748" s="829"/>
      <c r="L748" s="829"/>
      <c r="M748" s="829"/>
      <c r="N748" s="829"/>
      <c r="O748" s="829"/>
      <c r="P748" s="826"/>
      <c r="Q748" s="826"/>
      <c r="R748" s="826"/>
    </row>
    <row r="749" spans="1:25">
      <c r="A749" s="826"/>
      <c r="B749" s="826"/>
      <c r="C749" s="826"/>
      <c r="D749" s="829"/>
      <c r="E749" s="829"/>
      <c r="F749" s="829"/>
      <c r="G749" s="829"/>
      <c r="H749" s="829"/>
      <c r="I749" s="829"/>
      <c r="J749" s="829"/>
      <c r="K749" s="829"/>
      <c r="L749" s="829"/>
      <c r="M749" s="829"/>
      <c r="N749" s="829"/>
      <c r="O749" s="829"/>
      <c r="P749" s="826"/>
      <c r="Q749" s="826"/>
      <c r="R749" s="826"/>
    </row>
    <row r="750" spans="1:25">
      <c r="A750" s="826"/>
      <c r="B750" s="826"/>
      <c r="C750" s="826"/>
      <c r="D750" s="829"/>
      <c r="E750" s="829"/>
      <c r="F750" s="829"/>
      <c r="G750" s="829"/>
      <c r="H750" s="829"/>
      <c r="I750" s="829"/>
      <c r="J750" s="829"/>
      <c r="K750" s="829"/>
      <c r="L750" s="829"/>
      <c r="M750" s="829"/>
      <c r="N750" s="829"/>
      <c r="O750" s="829"/>
      <c r="P750" s="826"/>
      <c r="Q750" s="826"/>
      <c r="R750" s="826"/>
    </row>
    <row r="751" spans="1:25">
      <c r="A751" s="826"/>
      <c r="B751" s="826"/>
      <c r="C751" s="826"/>
      <c r="D751" s="829"/>
      <c r="E751" s="829"/>
      <c r="F751" s="829"/>
      <c r="G751" s="829"/>
      <c r="H751" s="829"/>
      <c r="I751" s="829"/>
      <c r="J751" s="829"/>
      <c r="K751" s="829"/>
      <c r="L751" s="829"/>
      <c r="M751" s="829"/>
      <c r="N751" s="829"/>
      <c r="O751" s="829"/>
      <c r="P751" s="826"/>
      <c r="Q751" s="826"/>
      <c r="R751" s="826"/>
    </row>
    <row r="752" spans="1:25">
      <c r="A752" s="826"/>
      <c r="B752" s="826"/>
      <c r="C752" s="826"/>
      <c r="D752" s="829"/>
      <c r="E752" s="829"/>
      <c r="F752" s="829"/>
      <c r="G752" s="829"/>
      <c r="H752" s="829"/>
      <c r="I752" s="829"/>
      <c r="J752" s="829"/>
      <c r="K752" s="829"/>
      <c r="L752" s="829"/>
      <c r="M752" s="829"/>
      <c r="N752" s="829"/>
      <c r="O752" s="829"/>
      <c r="P752" s="826"/>
      <c r="Q752" s="826"/>
      <c r="R752" s="826"/>
    </row>
    <row r="753" spans="1:18">
      <c r="A753" s="826"/>
      <c r="B753" s="826"/>
      <c r="C753" s="826"/>
      <c r="D753" s="829"/>
      <c r="E753" s="829"/>
      <c r="F753" s="829"/>
      <c r="G753" s="829"/>
      <c r="H753" s="829"/>
      <c r="I753" s="829"/>
      <c r="J753" s="829"/>
      <c r="K753" s="829"/>
      <c r="L753" s="829"/>
      <c r="M753" s="829"/>
      <c r="N753" s="829"/>
      <c r="O753" s="829"/>
      <c r="P753" s="826"/>
      <c r="Q753" s="826"/>
      <c r="R753" s="826"/>
    </row>
  </sheetData>
  <autoFilter ref="A1:AA744"/>
  <pageMargins left="0.7" right="0.7" top="0.75" bottom="0.75" header="0.3" footer="0.3"/>
  <pageSetup scale="50" fitToHeight="0" orientation="landscape" r:id="rId1"/>
  <headerFooter>
    <oddHeader>&amp;L&amp;G&amp;C&amp;"Arial,Bold"&amp;14Final 2014 Net Qualifying Capacity List</oddHeader>
    <oddFooter>&amp;LCalifornia ISO Public Document&amp;RPage &amp;P of &amp;N</oddFooter>
  </headerFooter>
  <legacyDrawing r:id="rId2"/>
  <legacyDrawingHF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2:T188"/>
  <sheetViews>
    <sheetView topLeftCell="A105" zoomScale="80" zoomScaleNormal="80" zoomScalePageLayoutView="80" workbookViewId="0">
      <selection activeCell="M118" sqref="M118"/>
    </sheetView>
  </sheetViews>
  <sheetFormatPr defaultColWidth="8.85546875" defaultRowHeight="11.25"/>
  <cols>
    <col min="1" max="1" width="4.28515625" style="285" customWidth="1"/>
    <col min="2" max="2" width="43.140625" style="286" customWidth="1"/>
    <col min="3" max="3" width="21.85546875" style="284" customWidth="1"/>
    <col min="4" max="4" width="17.85546875" style="284" customWidth="1"/>
    <col min="5" max="5" width="17.7109375" style="284" customWidth="1"/>
    <col min="6" max="6" width="19.7109375" style="284" customWidth="1"/>
    <col min="7" max="7" width="16.85546875" style="284" customWidth="1"/>
    <col min="8" max="8" width="14" style="284" customWidth="1"/>
    <col min="9" max="9" width="16.85546875" style="284" customWidth="1"/>
    <col min="10" max="10" width="9.85546875" style="284" customWidth="1"/>
    <col min="11" max="11" width="20.28515625" style="284" customWidth="1"/>
    <col min="12" max="12" width="29.140625" style="284" customWidth="1"/>
    <col min="13" max="13" width="20.85546875" style="284" customWidth="1"/>
    <col min="14" max="14" width="20.28515625" style="284" bestFit="1" customWidth="1"/>
    <col min="15" max="15" width="18.7109375" style="284" customWidth="1"/>
    <col min="16" max="16" width="10.85546875" style="284" customWidth="1"/>
    <col min="17" max="17" width="19.140625" style="284" customWidth="1"/>
    <col min="18" max="18" width="17.7109375" style="284" bestFit="1" customWidth="1"/>
    <col min="19" max="19" width="22.7109375" style="284" bestFit="1" customWidth="1"/>
    <col min="20" max="20" width="22.85546875" style="284" bestFit="1" customWidth="1"/>
    <col min="21" max="256" width="11.42578125" style="284" customWidth="1"/>
    <col min="257" max="257" width="4.28515625" style="284" customWidth="1"/>
    <col min="258" max="258" width="43.140625" style="284" customWidth="1"/>
    <col min="259" max="259" width="21.85546875" style="284" customWidth="1"/>
    <col min="260" max="260" width="17.85546875" style="284" customWidth="1"/>
    <col min="261" max="261" width="17.7109375" style="284" customWidth="1"/>
    <col min="262" max="262" width="19.7109375" style="284" customWidth="1"/>
    <col min="263" max="263" width="16.85546875" style="284" customWidth="1"/>
    <col min="264" max="264" width="14" style="284" customWidth="1"/>
    <col min="265" max="265" width="16.85546875" style="284" customWidth="1"/>
    <col min="266" max="266" width="9.85546875" style="284" customWidth="1"/>
    <col min="267" max="267" width="20.28515625" style="284" customWidth="1"/>
    <col min="268" max="268" width="14.28515625" style="284" customWidth="1"/>
    <col min="269" max="269" width="20.85546875" style="284" customWidth="1"/>
    <col min="270" max="270" width="20.28515625" style="284" bestFit="1" customWidth="1"/>
    <col min="271" max="271" width="18.7109375" style="284" customWidth="1"/>
    <col min="272" max="272" width="10.85546875" style="284" customWidth="1"/>
    <col min="273" max="273" width="19.140625" style="284" customWidth="1"/>
    <col min="274" max="274" width="17.7109375" style="284" bestFit="1" customWidth="1"/>
    <col min="275" max="275" width="22.7109375" style="284" bestFit="1" customWidth="1"/>
    <col min="276" max="276" width="22.85546875" style="284" bestFit="1" customWidth="1"/>
    <col min="277" max="512" width="11.42578125" style="284" customWidth="1"/>
    <col min="513" max="513" width="4.28515625" style="284" customWidth="1"/>
    <col min="514" max="514" width="43.140625" style="284" customWidth="1"/>
    <col min="515" max="515" width="21.85546875" style="284" customWidth="1"/>
    <col min="516" max="516" width="17.85546875" style="284" customWidth="1"/>
    <col min="517" max="517" width="17.7109375" style="284" customWidth="1"/>
    <col min="518" max="518" width="19.7109375" style="284" customWidth="1"/>
    <col min="519" max="519" width="16.85546875" style="284" customWidth="1"/>
    <col min="520" max="520" width="14" style="284" customWidth="1"/>
    <col min="521" max="521" width="16.85546875" style="284" customWidth="1"/>
    <col min="522" max="522" width="9.85546875" style="284" customWidth="1"/>
    <col min="523" max="523" width="20.28515625" style="284" customWidth="1"/>
    <col min="524" max="524" width="14.28515625" style="284" customWidth="1"/>
    <col min="525" max="525" width="20.85546875" style="284" customWidth="1"/>
    <col min="526" max="526" width="20.28515625" style="284" bestFit="1" customWidth="1"/>
    <col min="527" max="527" width="18.7109375" style="284" customWidth="1"/>
    <col min="528" max="528" width="10.85546875" style="284" customWidth="1"/>
    <col min="529" max="529" width="19.140625" style="284" customWidth="1"/>
    <col min="530" max="530" width="17.7109375" style="284" bestFit="1" customWidth="1"/>
    <col min="531" max="531" width="22.7109375" style="284" bestFit="1" customWidth="1"/>
    <col min="532" max="532" width="22.85546875" style="284" bestFit="1" customWidth="1"/>
    <col min="533" max="768" width="11.42578125" style="284" customWidth="1"/>
    <col min="769" max="769" width="4.28515625" style="284" customWidth="1"/>
    <col min="770" max="770" width="43.140625" style="284" customWidth="1"/>
    <col min="771" max="771" width="21.85546875" style="284" customWidth="1"/>
    <col min="772" max="772" width="17.85546875" style="284" customWidth="1"/>
    <col min="773" max="773" width="17.7109375" style="284" customWidth="1"/>
    <col min="774" max="774" width="19.7109375" style="284" customWidth="1"/>
    <col min="775" max="775" width="16.85546875" style="284" customWidth="1"/>
    <col min="776" max="776" width="14" style="284" customWidth="1"/>
    <col min="777" max="777" width="16.85546875" style="284" customWidth="1"/>
    <col min="778" max="778" width="9.85546875" style="284" customWidth="1"/>
    <col min="779" max="779" width="20.28515625" style="284" customWidth="1"/>
    <col min="780" max="780" width="14.28515625" style="284" customWidth="1"/>
    <col min="781" max="781" width="20.85546875" style="284" customWidth="1"/>
    <col min="782" max="782" width="20.28515625" style="284" bestFit="1" customWidth="1"/>
    <col min="783" max="783" width="18.7109375" style="284" customWidth="1"/>
    <col min="784" max="784" width="10.85546875" style="284" customWidth="1"/>
    <col min="785" max="785" width="19.140625" style="284" customWidth="1"/>
    <col min="786" max="786" width="17.7109375" style="284" bestFit="1" customWidth="1"/>
    <col min="787" max="787" width="22.7109375" style="284" bestFit="1" customWidth="1"/>
    <col min="788" max="788" width="22.85546875" style="284" bestFit="1" customWidth="1"/>
    <col min="789" max="1024" width="11.42578125" style="284" customWidth="1"/>
    <col min="1025" max="1025" width="4.28515625" style="284" customWidth="1"/>
    <col min="1026" max="1026" width="43.140625" style="284" customWidth="1"/>
    <col min="1027" max="1027" width="21.85546875" style="284" customWidth="1"/>
    <col min="1028" max="1028" width="17.85546875" style="284" customWidth="1"/>
    <col min="1029" max="1029" width="17.7109375" style="284" customWidth="1"/>
    <col min="1030" max="1030" width="19.7109375" style="284" customWidth="1"/>
    <col min="1031" max="1031" width="16.85546875" style="284" customWidth="1"/>
    <col min="1032" max="1032" width="14" style="284" customWidth="1"/>
    <col min="1033" max="1033" width="16.85546875" style="284" customWidth="1"/>
    <col min="1034" max="1034" width="9.85546875" style="284" customWidth="1"/>
    <col min="1035" max="1035" width="20.28515625" style="284" customWidth="1"/>
    <col min="1036" max="1036" width="14.28515625" style="284" customWidth="1"/>
    <col min="1037" max="1037" width="20.85546875" style="284" customWidth="1"/>
    <col min="1038" max="1038" width="20.28515625" style="284" bestFit="1" customWidth="1"/>
    <col min="1039" max="1039" width="18.7109375" style="284" customWidth="1"/>
    <col min="1040" max="1040" width="10.85546875" style="284" customWidth="1"/>
    <col min="1041" max="1041" width="19.140625" style="284" customWidth="1"/>
    <col min="1042" max="1042" width="17.7109375" style="284" bestFit="1" customWidth="1"/>
    <col min="1043" max="1043" width="22.7109375" style="284" bestFit="1" customWidth="1"/>
    <col min="1044" max="1044" width="22.85546875" style="284" bestFit="1" customWidth="1"/>
    <col min="1045" max="1280" width="11.42578125" style="284" customWidth="1"/>
    <col min="1281" max="1281" width="4.28515625" style="284" customWidth="1"/>
    <col min="1282" max="1282" width="43.140625" style="284" customWidth="1"/>
    <col min="1283" max="1283" width="21.85546875" style="284" customWidth="1"/>
    <col min="1284" max="1284" width="17.85546875" style="284" customWidth="1"/>
    <col min="1285" max="1285" width="17.7109375" style="284" customWidth="1"/>
    <col min="1286" max="1286" width="19.7109375" style="284" customWidth="1"/>
    <col min="1287" max="1287" width="16.85546875" style="284" customWidth="1"/>
    <col min="1288" max="1288" width="14" style="284" customWidth="1"/>
    <col min="1289" max="1289" width="16.85546875" style="284" customWidth="1"/>
    <col min="1290" max="1290" width="9.85546875" style="284" customWidth="1"/>
    <col min="1291" max="1291" width="20.28515625" style="284" customWidth="1"/>
    <col min="1292" max="1292" width="14.28515625" style="284" customWidth="1"/>
    <col min="1293" max="1293" width="20.85546875" style="284" customWidth="1"/>
    <col min="1294" max="1294" width="20.28515625" style="284" bestFit="1" customWidth="1"/>
    <col min="1295" max="1295" width="18.7109375" style="284" customWidth="1"/>
    <col min="1296" max="1296" width="10.85546875" style="284" customWidth="1"/>
    <col min="1297" max="1297" width="19.140625" style="284" customWidth="1"/>
    <col min="1298" max="1298" width="17.7109375" style="284" bestFit="1" customWidth="1"/>
    <col min="1299" max="1299" width="22.7109375" style="284" bestFit="1" customWidth="1"/>
    <col min="1300" max="1300" width="22.85546875" style="284" bestFit="1" customWidth="1"/>
    <col min="1301" max="1536" width="11.42578125" style="284" customWidth="1"/>
    <col min="1537" max="1537" width="4.28515625" style="284" customWidth="1"/>
    <col min="1538" max="1538" width="43.140625" style="284" customWidth="1"/>
    <col min="1539" max="1539" width="21.85546875" style="284" customWidth="1"/>
    <col min="1540" max="1540" width="17.85546875" style="284" customWidth="1"/>
    <col min="1541" max="1541" width="17.7109375" style="284" customWidth="1"/>
    <col min="1542" max="1542" width="19.7109375" style="284" customWidth="1"/>
    <col min="1543" max="1543" width="16.85546875" style="284" customWidth="1"/>
    <col min="1544" max="1544" width="14" style="284" customWidth="1"/>
    <col min="1545" max="1545" width="16.85546875" style="284" customWidth="1"/>
    <col min="1546" max="1546" width="9.85546875" style="284" customWidth="1"/>
    <col min="1547" max="1547" width="20.28515625" style="284" customWidth="1"/>
    <col min="1548" max="1548" width="14.28515625" style="284" customWidth="1"/>
    <col min="1549" max="1549" width="20.85546875" style="284" customWidth="1"/>
    <col min="1550" max="1550" width="20.28515625" style="284" bestFit="1" customWidth="1"/>
    <col min="1551" max="1551" width="18.7109375" style="284" customWidth="1"/>
    <col min="1552" max="1552" width="10.85546875" style="284" customWidth="1"/>
    <col min="1553" max="1553" width="19.140625" style="284" customWidth="1"/>
    <col min="1554" max="1554" width="17.7109375" style="284" bestFit="1" customWidth="1"/>
    <col min="1555" max="1555" width="22.7109375" style="284" bestFit="1" customWidth="1"/>
    <col min="1556" max="1556" width="22.85546875" style="284" bestFit="1" customWidth="1"/>
    <col min="1557" max="1792" width="11.42578125" style="284" customWidth="1"/>
    <col min="1793" max="1793" width="4.28515625" style="284" customWidth="1"/>
    <col min="1794" max="1794" width="43.140625" style="284" customWidth="1"/>
    <col min="1795" max="1795" width="21.85546875" style="284" customWidth="1"/>
    <col min="1796" max="1796" width="17.85546875" style="284" customWidth="1"/>
    <col min="1797" max="1797" width="17.7109375" style="284" customWidth="1"/>
    <col min="1798" max="1798" width="19.7109375" style="284" customWidth="1"/>
    <col min="1799" max="1799" width="16.85546875" style="284" customWidth="1"/>
    <col min="1800" max="1800" width="14" style="284" customWidth="1"/>
    <col min="1801" max="1801" width="16.85546875" style="284" customWidth="1"/>
    <col min="1802" max="1802" width="9.85546875" style="284" customWidth="1"/>
    <col min="1803" max="1803" width="20.28515625" style="284" customWidth="1"/>
    <col min="1804" max="1804" width="14.28515625" style="284" customWidth="1"/>
    <col min="1805" max="1805" width="20.85546875" style="284" customWidth="1"/>
    <col min="1806" max="1806" width="20.28515625" style="284" bestFit="1" customWidth="1"/>
    <col min="1807" max="1807" width="18.7109375" style="284" customWidth="1"/>
    <col min="1808" max="1808" width="10.85546875" style="284" customWidth="1"/>
    <col min="1809" max="1809" width="19.140625" style="284" customWidth="1"/>
    <col min="1810" max="1810" width="17.7109375" style="284" bestFit="1" customWidth="1"/>
    <col min="1811" max="1811" width="22.7109375" style="284" bestFit="1" customWidth="1"/>
    <col min="1812" max="1812" width="22.85546875" style="284" bestFit="1" customWidth="1"/>
    <col min="1813" max="2048" width="11.42578125" style="284" customWidth="1"/>
    <col min="2049" max="2049" width="4.28515625" style="284" customWidth="1"/>
    <col min="2050" max="2050" width="43.140625" style="284" customWidth="1"/>
    <col min="2051" max="2051" width="21.85546875" style="284" customWidth="1"/>
    <col min="2052" max="2052" width="17.85546875" style="284" customWidth="1"/>
    <col min="2053" max="2053" width="17.7109375" style="284" customWidth="1"/>
    <col min="2054" max="2054" width="19.7109375" style="284" customWidth="1"/>
    <col min="2055" max="2055" width="16.85546875" style="284" customWidth="1"/>
    <col min="2056" max="2056" width="14" style="284" customWidth="1"/>
    <col min="2057" max="2057" width="16.85546875" style="284" customWidth="1"/>
    <col min="2058" max="2058" width="9.85546875" style="284" customWidth="1"/>
    <col min="2059" max="2059" width="20.28515625" style="284" customWidth="1"/>
    <col min="2060" max="2060" width="14.28515625" style="284" customWidth="1"/>
    <col min="2061" max="2061" width="20.85546875" style="284" customWidth="1"/>
    <col min="2062" max="2062" width="20.28515625" style="284" bestFit="1" customWidth="1"/>
    <col min="2063" max="2063" width="18.7109375" style="284" customWidth="1"/>
    <col min="2064" max="2064" width="10.85546875" style="284" customWidth="1"/>
    <col min="2065" max="2065" width="19.140625" style="284" customWidth="1"/>
    <col min="2066" max="2066" width="17.7109375" style="284" bestFit="1" customWidth="1"/>
    <col min="2067" max="2067" width="22.7109375" style="284" bestFit="1" customWidth="1"/>
    <col min="2068" max="2068" width="22.85546875" style="284" bestFit="1" customWidth="1"/>
    <col min="2069" max="2304" width="11.42578125" style="284" customWidth="1"/>
    <col min="2305" max="2305" width="4.28515625" style="284" customWidth="1"/>
    <col min="2306" max="2306" width="43.140625" style="284" customWidth="1"/>
    <col min="2307" max="2307" width="21.85546875" style="284" customWidth="1"/>
    <col min="2308" max="2308" width="17.85546875" style="284" customWidth="1"/>
    <col min="2309" max="2309" width="17.7109375" style="284" customWidth="1"/>
    <col min="2310" max="2310" width="19.7109375" style="284" customWidth="1"/>
    <col min="2311" max="2311" width="16.85546875" style="284" customWidth="1"/>
    <col min="2312" max="2312" width="14" style="284" customWidth="1"/>
    <col min="2313" max="2313" width="16.85546875" style="284" customWidth="1"/>
    <col min="2314" max="2314" width="9.85546875" style="284" customWidth="1"/>
    <col min="2315" max="2315" width="20.28515625" style="284" customWidth="1"/>
    <col min="2316" max="2316" width="14.28515625" style="284" customWidth="1"/>
    <col min="2317" max="2317" width="20.85546875" style="284" customWidth="1"/>
    <col min="2318" max="2318" width="20.28515625" style="284" bestFit="1" customWidth="1"/>
    <col min="2319" max="2319" width="18.7109375" style="284" customWidth="1"/>
    <col min="2320" max="2320" width="10.85546875" style="284" customWidth="1"/>
    <col min="2321" max="2321" width="19.140625" style="284" customWidth="1"/>
    <col min="2322" max="2322" width="17.7109375" style="284" bestFit="1" customWidth="1"/>
    <col min="2323" max="2323" width="22.7109375" style="284" bestFit="1" customWidth="1"/>
    <col min="2324" max="2324" width="22.85546875" style="284" bestFit="1" customWidth="1"/>
    <col min="2325" max="2560" width="11.42578125" style="284" customWidth="1"/>
    <col min="2561" max="2561" width="4.28515625" style="284" customWidth="1"/>
    <col min="2562" max="2562" width="43.140625" style="284" customWidth="1"/>
    <col min="2563" max="2563" width="21.85546875" style="284" customWidth="1"/>
    <col min="2564" max="2564" width="17.85546875" style="284" customWidth="1"/>
    <col min="2565" max="2565" width="17.7109375" style="284" customWidth="1"/>
    <col min="2566" max="2566" width="19.7109375" style="284" customWidth="1"/>
    <col min="2567" max="2567" width="16.85546875" style="284" customWidth="1"/>
    <col min="2568" max="2568" width="14" style="284" customWidth="1"/>
    <col min="2569" max="2569" width="16.85546875" style="284" customWidth="1"/>
    <col min="2570" max="2570" width="9.85546875" style="284" customWidth="1"/>
    <col min="2571" max="2571" width="20.28515625" style="284" customWidth="1"/>
    <col min="2572" max="2572" width="14.28515625" style="284" customWidth="1"/>
    <col min="2573" max="2573" width="20.85546875" style="284" customWidth="1"/>
    <col min="2574" max="2574" width="20.28515625" style="284" bestFit="1" customWidth="1"/>
    <col min="2575" max="2575" width="18.7109375" style="284" customWidth="1"/>
    <col min="2576" max="2576" width="10.85546875" style="284" customWidth="1"/>
    <col min="2577" max="2577" width="19.140625" style="284" customWidth="1"/>
    <col min="2578" max="2578" width="17.7109375" style="284" bestFit="1" customWidth="1"/>
    <col min="2579" max="2579" width="22.7109375" style="284" bestFit="1" customWidth="1"/>
    <col min="2580" max="2580" width="22.85546875" style="284" bestFit="1" customWidth="1"/>
    <col min="2581" max="2816" width="11.42578125" style="284" customWidth="1"/>
    <col min="2817" max="2817" width="4.28515625" style="284" customWidth="1"/>
    <col min="2818" max="2818" width="43.140625" style="284" customWidth="1"/>
    <col min="2819" max="2819" width="21.85546875" style="284" customWidth="1"/>
    <col min="2820" max="2820" width="17.85546875" style="284" customWidth="1"/>
    <col min="2821" max="2821" width="17.7109375" style="284" customWidth="1"/>
    <col min="2822" max="2822" width="19.7109375" style="284" customWidth="1"/>
    <col min="2823" max="2823" width="16.85546875" style="284" customWidth="1"/>
    <col min="2824" max="2824" width="14" style="284" customWidth="1"/>
    <col min="2825" max="2825" width="16.85546875" style="284" customWidth="1"/>
    <col min="2826" max="2826" width="9.85546875" style="284" customWidth="1"/>
    <col min="2827" max="2827" width="20.28515625" style="284" customWidth="1"/>
    <col min="2828" max="2828" width="14.28515625" style="284" customWidth="1"/>
    <col min="2829" max="2829" width="20.85546875" style="284" customWidth="1"/>
    <col min="2830" max="2830" width="20.28515625" style="284" bestFit="1" customWidth="1"/>
    <col min="2831" max="2831" width="18.7109375" style="284" customWidth="1"/>
    <col min="2832" max="2832" width="10.85546875" style="284" customWidth="1"/>
    <col min="2833" max="2833" width="19.140625" style="284" customWidth="1"/>
    <col min="2834" max="2834" width="17.7109375" style="284" bestFit="1" customWidth="1"/>
    <col min="2835" max="2835" width="22.7109375" style="284" bestFit="1" customWidth="1"/>
    <col min="2836" max="2836" width="22.85546875" style="284" bestFit="1" customWidth="1"/>
    <col min="2837" max="3072" width="11.42578125" style="284" customWidth="1"/>
    <col min="3073" max="3073" width="4.28515625" style="284" customWidth="1"/>
    <col min="3074" max="3074" width="43.140625" style="284" customWidth="1"/>
    <col min="3075" max="3075" width="21.85546875" style="284" customWidth="1"/>
    <col min="3076" max="3076" width="17.85546875" style="284" customWidth="1"/>
    <col min="3077" max="3077" width="17.7109375" style="284" customWidth="1"/>
    <col min="3078" max="3078" width="19.7109375" style="284" customWidth="1"/>
    <col min="3079" max="3079" width="16.85546875" style="284" customWidth="1"/>
    <col min="3080" max="3080" width="14" style="284" customWidth="1"/>
    <col min="3081" max="3081" width="16.85546875" style="284" customWidth="1"/>
    <col min="3082" max="3082" width="9.85546875" style="284" customWidth="1"/>
    <col min="3083" max="3083" width="20.28515625" style="284" customWidth="1"/>
    <col min="3084" max="3084" width="14.28515625" style="284" customWidth="1"/>
    <col min="3085" max="3085" width="20.85546875" style="284" customWidth="1"/>
    <col min="3086" max="3086" width="20.28515625" style="284" bestFit="1" customWidth="1"/>
    <col min="3087" max="3087" width="18.7109375" style="284" customWidth="1"/>
    <col min="3088" max="3088" width="10.85546875" style="284" customWidth="1"/>
    <col min="3089" max="3089" width="19.140625" style="284" customWidth="1"/>
    <col min="3090" max="3090" width="17.7109375" style="284" bestFit="1" customWidth="1"/>
    <col min="3091" max="3091" width="22.7109375" style="284" bestFit="1" customWidth="1"/>
    <col min="3092" max="3092" width="22.85546875" style="284" bestFit="1" customWidth="1"/>
    <col min="3093" max="3328" width="11.42578125" style="284" customWidth="1"/>
    <col min="3329" max="3329" width="4.28515625" style="284" customWidth="1"/>
    <col min="3330" max="3330" width="43.140625" style="284" customWidth="1"/>
    <col min="3331" max="3331" width="21.85546875" style="284" customWidth="1"/>
    <col min="3332" max="3332" width="17.85546875" style="284" customWidth="1"/>
    <col min="3333" max="3333" width="17.7109375" style="284" customWidth="1"/>
    <col min="3334" max="3334" width="19.7109375" style="284" customWidth="1"/>
    <col min="3335" max="3335" width="16.85546875" style="284" customWidth="1"/>
    <col min="3336" max="3336" width="14" style="284" customWidth="1"/>
    <col min="3337" max="3337" width="16.85546875" style="284" customWidth="1"/>
    <col min="3338" max="3338" width="9.85546875" style="284" customWidth="1"/>
    <col min="3339" max="3339" width="20.28515625" style="284" customWidth="1"/>
    <col min="3340" max="3340" width="14.28515625" style="284" customWidth="1"/>
    <col min="3341" max="3341" width="20.85546875" style="284" customWidth="1"/>
    <col min="3342" max="3342" width="20.28515625" style="284" bestFit="1" customWidth="1"/>
    <col min="3343" max="3343" width="18.7109375" style="284" customWidth="1"/>
    <col min="3344" max="3344" width="10.85546875" style="284" customWidth="1"/>
    <col min="3345" max="3345" width="19.140625" style="284" customWidth="1"/>
    <col min="3346" max="3346" width="17.7109375" style="284" bestFit="1" customWidth="1"/>
    <col min="3347" max="3347" width="22.7109375" style="284" bestFit="1" customWidth="1"/>
    <col min="3348" max="3348" width="22.85546875" style="284" bestFit="1" customWidth="1"/>
    <col min="3349" max="3584" width="11.42578125" style="284" customWidth="1"/>
    <col min="3585" max="3585" width="4.28515625" style="284" customWidth="1"/>
    <col min="3586" max="3586" width="43.140625" style="284" customWidth="1"/>
    <col min="3587" max="3587" width="21.85546875" style="284" customWidth="1"/>
    <col min="3588" max="3588" width="17.85546875" style="284" customWidth="1"/>
    <col min="3589" max="3589" width="17.7109375" style="284" customWidth="1"/>
    <col min="3590" max="3590" width="19.7109375" style="284" customWidth="1"/>
    <col min="3591" max="3591" width="16.85546875" style="284" customWidth="1"/>
    <col min="3592" max="3592" width="14" style="284" customWidth="1"/>
    <col min="3593" max="3593" width="16.85546875" style="284" customWidth="1"/>
    <col min="3594" max="3594" width="9.85546875" style="284" customWidth="1"/>
    <col min="3595" max="3595" width="20.28515625" style="284" customWidth="1"/>
    <col min="3596" max="3596" width="14.28515625" style="284" customWidth="1"/>
    <col min="3597" max="3597" width="20.85546875" style="284" customWidth="1"/>
    <col min="3598" max="3598" width="20.28515625" style="284" bestFit="1" customWidth="1"/>
    <col min="3599" max="3599" width="18.7109375" style="284" customWidth="1"/>
    <col min="3600" max="3600" width="10.85546875" style="284" customWidth="1"/>
    <col min="3601" max="3601" width="19.140625" style="284" customWidth="1"/>
    <col min="3602" max="3602" width="17.7109375" style="284" bestFit="1" customWidth="1"/>
    <col min="3603" max="3603" width="22.7109375" style="284" bestFit="1" customWidth="1"/>
    <col min="3604" max="3604" width="22.85546875" style="284" bestFit="1" customWidth="1"/>
    <col min="3605" max="3840" width="11.42578125" style="284" customWidth="1"/>
    <col min="3841" max="3841" width="4.28515625" style="284" customWidth="1"/>
    <col min="3842" max="3842" width="43.140625" style="284" customWidth="1"/>
    <col min="3843" max="3843" width="21.85546875" style="284" customWidth="1"/>
    <col min="3844" max="3844" width="17.85546875" style="284" customWidth="1"/>
    <col min="3845" max="3845" width="17.7109375" style="284" customWidth="1"/>
    <col min="3846" max="3846" width="19.7109375" style="284" customWidth="1"/>
    <col min="3847" max="3847" width="16.85546875" style="284" customWidth="1"/>
    <col min="3848" max="3848" width="14" style="284" customWidth="1"/>
    <col min="3849" max="3849" width="16.85546875" style="284" customWidth="1"/>
    <col min="3850" max="3850" width="9.85546875" style="284" customWidth="1"/>
    <col min="3851" max="3851" width="20.28515625" style="284" customWidth="1"/>
    <col min="3852" max="3852" width="14.28515625" style="284" customWidth="1"/>
    <col min="3853" max="3853" width="20.85546875" style="284" customWidth="1"/>
    <col min="3854" max="3854" width="20.28515625" style="284" bestFit="1" customWidth="1"/>
    <col min="3855" max="3855" width="18.7109375" style="284" customWidth="1"/>
    <col min="3856" max="3856" width="10.85546875" style="284" customWidth="1"/>
    <col min="3857" max="3857" width="19.140625" style="284" customWidth="1"/>
    <col min="3858" max="3858" width="17.7109375" style="284" bestFit="1" customWidth="1"/>
    <col min="3859" max="3859" width="22.7109375" style="284" bestFit="1" customWidth="1"/>
    <col min="3860" max="3860" width="22.85546875" style="284" bestFit="1" customWidth="1"/>
    <col min="3861" max="4096" width="11.42578125" style="284" customWidth="1"/>
    <col min="4097" max="4097" width="4.28515625" style="284" customWidth="1"/>
    <col min="4098" max="4098" width="43.140625" style="284" customWidth="1"/>
    <col min="4099" max="4099" width="21.85546875" style="284" customWidth="1"/>
    <col min="4100" max="4100" width="17.85546875" style="284" customWidth="1"/>
    <col min="4101" max="4101" width="17.7109375" style="284" customWidth="1"/>
    <col min="4102" max="4102" width="19.7109375" style="284" customWidth="1"/>
    <col min="4103" max="4103" width="16.85546875" style="284" customWidth="1"/>
    <col min="4104" max="4104" width="14" style="284" customWidth="1"/>
    <col min="4105" max="4105" width="16.85546875" style="284" customWidth="1"/>
    <col min="4106" max="4106" width="9.85546875" style="284" customWidth="1"/>
    <col min="4107" max="4107" width="20.28515625" style="284" customWidth="1"/>
    <col min="4108" max="4108" width="14.28515625" style="284" customWidth="1"/>
    <col min="4109" max="4109" width="20.85546875" style="284" customWidth="1"/>
    <col min="4110" max="4110" width="20.28515625" style="284" bestFit="1" customWidth="1"/>
    <col min="4111" max="4111" width="18.7109375" style="284" customWidth="1"/>
    <col min="4112" max="4112" width="10.85546875" style="284" customWidth="1"/>
    <col min="4113" max="4113" width="19.140625" style="284" customWidth="1"/>
    <col min="4114" max="4114" width="17.7109375" style="284" bestFit="1" customWidth="1"/>
    <col min="4115" max="4115" width="22.7109375" style="284" bestFit="1" customWidth="1"/>
    <col min="4116" max="4116" width="22.85546875" style="284" bestFit="1" customWidth="1"/>
    <col min="4117" max="4352" width="11.42578125" style="284" customWidth="1"/>
    <col min="4353" max="4353" width="4.28515625" style="284" customWidth="1"/>
    <col min="4354" max="4354" width="43.140625" style="284" customWidth="1"/>
    <col min="4355" max="4355" width="21.85546875" style="284" customWidth="1"/>
    <col min="4356" max="4356" width="17.85546875" style="284" customWidth="1"/>
    <col min="4357" max="4357" width="17.7109375" style="284" customWidth="1"/>
    <col min="4358" max="4358" width="19.7109375" style="284" customWidth="1"/>
    <col min="4359" max="4359" width="16.85546875" style="284" customWidth="1"/>
    <col min="4360" max="4360" width="14" style="284" customWidth="1"/>
    <col min="4361" max="4361" width="16.85546875" style="284" customWidth="1"/>
    <col min="4362" max="4362" width="9.85546875" style="284" customWidth="1"/>
    <col min="4363" max="4363" width="20.28515625" style="284" customWidth="1"/>
    <col min="4364" max="4364" width="14.28515625" style="284" customWidth="1"/>
    <col min="4365" max="4365" width="20.85546875" style="284" customWidth="1"/>
    <col min="4366" max="4366" width="20.28515625" style="284" bestFit="1" customWidth="1"/>
    <col min="4367" max="4367" width="18.7109375" style="284" customWidth="1"/>
    <col min="4368" max="4368" width="10.85546875" style="284" customWidth="1"/>
    <col min="4369" max="4369" width="19.140625" style="284" customWidth="1"/>
    <col min="4370" max="4370" width="17.7109375" style="284" bestFit="1" customWidth="1"/>
    <col min="4371" max="4371" width="22.7109375" style="284" bestFit="1" customWidth="1"/>
    <col min="4372" max="4372" width="22.85546875" style="284" bestFit="1" customWidth="1"/>
    <col min="4373" max="4608" width="11.42578125" style="284" customWidth="1"/>
    <col min="4609" max="4609" width="4.28515625" style="284" customWidth="1"/>
    <col min="4610" max="4610" width="43.140625" style="284" customWidth="1"/>
    <col min="4611" max="4611" width="21.85546875" style="284" customWidth="1"/>
    <col min="4612" max="4612" width="17.85546875" style="284" customWidth="1"/>
    <col min="4613" max="4613" width="17.7109375" style="284" customWidth="1"/>
    <col min="4614" max="4614" width="19.7109375" style="284" customWidth="1"/>
    <col min="4615" max="4615" width="16.85546875" style="284" customWidth="1"/>
    <col min="4616" max="4616" width="14" style="284" customWidth="1"/>
    <col min="4617" max="4617" width="16.85546875" style="284" customWidth="1"/>
    <col min="4618" max="4618" width="9.85546875" style="284" customWidth="1"/>
    <col min="4619" max="4619" width="20.28515625" style="284" customWidth="1"/>
    <col min="4620" max="4620" width="14.28515625" style="284" customWidth="1"/>
    <col min="4621" max="4621" width="20.85546875" style="284" customWidth="1"/>
    <col min="4622" max="4622" width="20.28515625" style="284" bestFit="1" customWidth="1"/>
    <col min="4623" max="4623" width="18.7109375" style="284" customWidth="1"/>
    <col min="4624" max="4624" width="10.85546875" style="284" customWidth="1"/>
    <col min="4625" max="4625" width="19.140625" style="284" customWidth="1"/>
    <col min="4626" max="4626" width="17.7109375" style="284" bestFit="1" customWidth="1"/>
    <col min="4627" max="4627" width="22.7109375" style="284" bestFit="1" customWidth="1"/>
    <col min="4628" max="4628" width="22.85546875" style="284" bestFit="1" customWidth="1"/>
    <col min="4629" max="4864" width="11.42578125" style="284" customWidth="1"/>
    <col min="4865" max="4865" width="4.28515625" style="284" customWidth="1"/>
    <col min="4866" max="4866" width="43.140625" style="284" customWidth="1"/>
    <col min="4867" max="4867" width="21.85546875" style="284" customWidth="1"/>
    <col min="4868" max="4868" width="17.85546875" style="284" customWidth="1"/>
    <col min="4869" max="4869" width="17.7109375" style="284" customWidth="1"/>
    <col min="4870" max="4870" width="19.7109375" style="284" customWidth="1"/>
    <col min="4871" max="4871" width="16.85546875" style="284" customWidth="1"/>
    <col min="4872" max="4872" width="14" style="284" customWidth="1"/>
    <col min="4873" max="4873" width="16.85546875" style="284" customWidth="1"/>
    <col min="4874" max="4874" width="9.85546875" style="284" customWidth="1"/>
    <col min="4875" max="4875" width="20.28515625" style="284" customWidth="1"/>
    <col min="4876" max="4876" width="14.28515625" style="284" customWidth="1"/>
    <col min="4877" max="4877" width="20.85546875" style="284" customWidth="1"/>
    <col min="4878" max="4878" width="20.28515625" style="284" bestFit="1" customWidth="1"/>
    <col min="4879" max="4879" width="18.7109375" style="284" customWidth="1"/>
    <col min="4880" max="4880" width="10.85546875" style="284" customWidth="1"/>
    <col min="4881" max="4881" width="19.140625" style="284" customWidth="1"/>
    <col min="4882" max="4882" width="17.7109375" style="284" bestFit="1" customWidth="1"/>
    <col min="4883" max="4883" width="22.7109375" style="284" bestFit="1" customWidth="1"/>
    <col min="4884" max="4884" width="22.85546875" style="284" bestFit="1" customWidth="1"/>
    <col min="4885" max="5120" width="11.42578125" style="284" customWidth="1"/>
    <col min="5121" max="5121" width="4.28515625" style="284" customWidth="1"/>
    <col min="5122" max="5122" width="43.140625" style="284" customWidth="1"/>
    <col min="5123" max="5123" width="21.85546875" style="284" customWidth="1"/>
    <col min="5124" max="5124" width="17.85546875" style="284" customWidth="1"/>
    <col min="5125" max="5125" width="17.7109375" style="284" customWidth="1"/>
    <col min="5126" max="5126" width="19.7109375" style="284" customWidth="1"/>
    <col min="5127" max="5127" width="16.85546875" style="284" customWidth="1"/>
    <col min="5128" max="5128" width="14" style="284" customWidth="1"/>
    <col min="5129" max="5129" width="16.85546875" style="284" customWidth="1"/>
    <col min="5130" max="5130" width="9.85546875" style="284" customWidth="1"/>
    <col min="5131" max="5131" width="20.28515625" style="284" customWidth="1"/>
    <col min="5132" max="5132" width="14.28515625" style="284" customWidth="1"/>
    <col min="5133" max="5133" width="20.85546875" style="284" customWidth="1"/>
    <col min="5134" max="5134" width="20.28515625" style="284" bestFit="1" customWidth="1"/>
    <col min="5135" max="5135" width="18.7109375" style="284" customWidth="1"/>
    <col min="5136" max="5136" width="10.85546875" style="284" customWidth="1"/>
    <col min="5137" max="5137" width="19.140625" style="284" customWidth="1"/>
    <col min="5138" max="5138" width="17.7109375" style="284" bestFit="1" customWidth="1"/>
    <col min="5139" max="5139" width="22.7109375" style="284" bestFit="1" customWidth="1"/>
    <col min="5140" max="5140" width="22.85546875" style="284" bestFit="1" customWidth="1"/>
    <col min="5141" max="5376" width="11.42578125" style="284" customWidth="1"/>
    <col min="5377" max="5377" width="4.28515625" style="284" customWidth="1"/>
    <col min="5378" max="5378" width="43.140625" style="284" customWidth="1"/>
    <col min="5379" max="5379" width="21.85546875" style="284" customWidth="1"/>
    <col min="5380" max="5380" width="17.85546875" style="284" customWidth="1"/>
    <col min="5381" max="5381" width="17.7109375" style="284" customWidth="1"/>
    <col min="5382" max="5382" width="19.7109375" style="284" customWidth="1"/>
    <col min="5383" max="5383" width="16.85546875" style="284" customWidth="1"/>
    <col min="5384" max="5384" width="14" style="284" customWidth="1"/>
    <col min="5385" max="5385" width="16.85546875" style="284" customWidth="1"/>
    <col min="5386" max="5386" width="9.85546875" style="284" customWidth="1"/>
    <col min="5387" max="5387" width="20.28515625" style="284" customWidth="1"/>
    <col min="5388" max="5388" width="14.28515625" style="284" customWidth="1"/>
    <col min="5389" max="5389" width="20.85546875" style="284" customWidth="1"/>
    <col min="5390" max="5390" width="20.28515625" style="284" bestFit="1" customWidth="1"/>
    <col min="5391" max="5391" width="18.7109375" style="284" customWidth="1"/>
    <col min="5392" max="5392" width="10.85546875" style="284" customWidth="1"/>
    <col min="5393" max="5393" width="19.140625" style="284" customWidth="1"/>
    <col min="5394" max="5394" width="17.7109375" style="284" bestFit="1" customWidth="1"/>
    <col min="5395" max="5395" width="22.7109375" style="284" bestFit="1" customWidth="1"/>
    <col min="5396" max="5396" width="22.85546875" style="284" bestFit="1" customWidth="1"/>
    <col min="5397" max="5632" width="11.42578125" style="284" customWidth="1"/>
    <col min="5633" max="5633" width="4.28515625" style="284" customWidth="1"/>
    <col min="5634" max="5634" width="43.140625" style="284" customWidth="1"/>
    <col min="5635" max="5635" width="21.85546875" style="284" customWidth="1"/>
    <col min="5636" max="5636" width="17.85546875" style="284" customWidth="1"/>
    <col min="5637" max="5637" width="17.7109375" style="284" customWidth="1"/>
    <col min="5638" max="5638" width="19.7109375" style="284" customWidth="1"/>
    <col min="5639" max="5639" width="16.85546875" style="284" customWidth="1"/>
    <col min="5640" max="5640" width="14" style="284" customWidth="1"/>
    <col min="5641" max="5641" width="16.85546875" style="284" customWidth="1"/>
    <col min="5642" max="5642" width="9.85546875" style="284" customWidth="1"/>
    <col min="5643" max="5643" width="20.28515625" style="284" customWidth="1"/>
    <col min="5644" max="5644" width="14.28515625" style="284" customWidth="1"/>
    <col min="5645" max="5645" width="20.85546875" style="284" customWidth="1"/>
    <col min="5646" max="5646" width="20.28515625" style="284" bestFit="1" customWidth="1"/>
    <col min="5647" max="5647" width="18.7109375" style="284" customWidth="1"/>
    <col min="5648" max="5648" width="10.85546875" style="284" customWidth="1"/>
    <col min="5649" max="5649" width="19.140625" style="284" customWidth="1"/>
    <col min="5650" max="5650" width="17.7109375" style="284" bestFit="1" customWidth="1"/>
    <col min="5651" max="5651" width="22.7109375" style="284" bestFit="1" customWidth="1"/>
    <col min="5652" max="5652" width="22.85546875" style="284" bestFit="1" customWidth="1"/>
    <col min="5653" max="5888" width="11.42578125" style="284" customWidth="1"/>
    <col min="5889" max="5889" width="4.28515625" style="284" customWidth="1"/>
    <col min="5890" max="5890" width="43.140625" style="284" customWidth="1"/>
    <col min="5891" max="5891" width="21.85546875" style="284" customWidth="1"/>
    <col min="5892" max="5892" width="17.85546875" style="284" customWidth="1"/>
    <col min="5893" max="5893" width="17.7109375" style="284" customWidth="1"/>
    <col min="5894" max="5894" width="19.7109375" style="284" customWidth="1"/>
    <col min="5895" max="5895" width="16.85546875" style="284" customWidth="1"/>
    <col min="5896" max="5896" width="14" style="284" customWidth="1"/>
    <col min="5897" max="5897" width="16.85546875" style="284" customWidth="1"/>
    <col min="5898" max="5898" width="9.85546875" style="284" customWidth="1"/>
    <col min="5899" max="5899" width="20.28515625" style="284" customWidth="1"/>
    <col min="5900" max="5900" width="14.28515625" style="284" customWidth="1"/>
    <col min="5901" max="5901" width="20.85546875" style="284" customWidth="1"/>
    <col min="5902" max="5902" width="20.28515625" style="284" bestFit="1" customWidth="1"/>
    <col min="5903" max="5903" width="18.7109375" style="284" customWidth="1"/>
    <col min="5904" max="5904" width="10.85546875" style="284" customWidth="1"/>
    <col min="5905" max="5905" width="19.140625" style="284" customWidth="1"/>
    <col min="5906" max="5906" width="17.7109375" style="284" bestFit="1" customWidth="1"/>
    <col min="5907" max="5907" width="22.7109375" style="284" bestFit="1" customWidth="1"/>
    <col min="5908" max="5908" width="22.85546875" style="284" bestFit="1" customWidth="1"/>
    <col min="5909" max="6144" width="11.42578125" style="284" customWidth="1"/>
    <col min="6145" max="6145" width="4.28515625" style="284" customWidth="1"/>
    <col min="6146" max="6146" width="43.140625" style="284" customWidth="1"/>
    <col min="6147" max="6147" width="21.85546875" style="284" customWidth="1"/>
    <col min="6148" max="6148" width="17.85546875" style="284" customWidth="1"/>
    <col min="6149" max="6149" width="17.7109375" style="284" customWidth="1"/>
    <col min="6150" max="6150" width="19.7109375" style="284" customWidth="1"/>
    <col min="6151" max="6151" width="16.85546875" style="284" customWidth="1"/>
    <col min="6152" max="6152" width="14" style="284" customWidth="1"/>
    <col min="6153" max="6153" width="16.85546875" style="284" customWidth="1"/>
    <col min="6154" max="6154" width="9.85546875" style="284" customWidth="1"/>
    <col min="6155" max="6155" width="20.28515625" style="284" customWidth="1"/>
    <col min="6156" max="6156" width="14.28515625" style="284" customWidth="1"/>
    <col min="6157" max="6157" width="20.85546875" style="284" customWidth="1"/>
    <col min="6158" max="6158" width="20.28515625" style="284" bestFit="1" customWidth="1"/>
    <col min="6159" max="6159" width="18.7109375" style="284" customWidth="1"/>
    <col min="6160" max="6160" width="10.85546875" style="284" customWidth="1"/>
    <col min="6161" max="6161" width="19.140625" style="284" customWidth="1"/>
    <col min="6162" max="6162" width="17.7109375" style="284" bestFit="1" customWidth="1"/>
    <col min="6163" max="6163" width="22.7109375" style="284" bestFit="1" customWidth="1"/>
    <col min="6164" max="6164" width="22.85546875" style="284" bestFit="1" customWidth="1"/>
    <col min="6165" max="6400" width="11.42578125" style="284" customWidth="1"/>
    <col min="6401" max="6401" width="4.28515625" style="284" customWidth="1"/>
    <col min="6402" max="6402" width="43.140625" style="284" customWidth="1"/>
    <col min="6403" max="6403" width="21.85546875" style="284" customWidth="1"/>
    <col min="6404" max="6404" width="17.85546875" style="284" customWidth="1"/>
    <col min="6405" max="6405" width="17.7109375" style="284" customWidth="1"/>
    <col min="6406" max="6406" width="19.7109375" style="284" customWidth="1"/>
    <col min="6407" max="6407" width="16.85546875" style="284" customWidth="1"/>
    <col min="6408" max="6408" width="14" style="284" customWidth="1"/>
    <col min="6409" max="6409" width="16.85546875" style="284" customWidth="1"/>
    <col min="6410" max="6410" width="9.85546875" style="284" customWidth="1"/>
    <col min="6411" max="6411" width="20.28515625" style="284" customWidth="1"/>
    <col min="6412" max="6412" width="14.28515625" style="284" customWidth="1"/>
    <col min="6413" max="6413" width="20.85546875" style="284" customWidth="1"/>
    <col min="6414" max="6414" width="20.28515625" style="284" bestFit="1" customWidth="1"/>
    <col min="6415" max="6415" width="18.7109375" style="284" customWidth="1"/>
    <col min="6416" max="6416" width="10.85546875" style="284" customWidth="1"/>
    <col min="6417" max="6417" width="19.140625" style="284" customWidth="1"/>
    <col min="6418" max="6418" width="17.7109375" style="284" bestFit="1" customWidth="1"/>
    <col min="6419" max="6419" width="22.7109375" style="284" bestFit="1" customWidth="1"/>
    <col min="6420" max="6420" width="22.85546875" style="284" bestFit="1" customWidth="1"/>
    <col min="6421" max="6656" width="11.42578125" style="284" customWidth="1"/>
    <col min="6657" max="6657" width="4.28515625" style="284" customWidth="1"/>
    <col min="6658" max="6658" width="43.140625" style="284" customWidth="1"/>
    <col min="6659" max="6659" width="21.85546875" style="284" customWidth="1"/>
    <col min="6660" max="6660" width="17.85546875" style="284" customWidth="1"/>
    <col min="6661" max="6661" width="17.7109375" style="284" customWidth="1"/>
    <col min="6662" max="6662" width="19.7109375" style="284" customWidth="1"/>
    <col min="6663" max="6663" width="16.85546875" style="284" customWidth="1"/>
    <col min="6664" max="6664" width="14" style="284" customWidth="1"/>
    <col min="6665" max="6665" width="16.85546875" style="284" customWidth="1"/>
    <col min="6666" max="6666" width="9.85546875" style="284" customWidth="1"/>
    <col min="6667" max="6667" width="20.28515625" style="284" customWidth="1"/>
    <col min="6668" max="6668" width="14.28515625" style="284" customWidth="1"/>
    <col min="6669" max="6669" width="20.85546875" style="284" customWidth="1"/>
    <col min="6670" max="6670" width="20.28515625" style="284" bestFit="1" customWidth="1"/>
    <col min="6671" max="6671" width="18.7109375" style="284" customWidth="1"/>
    <col min="6672" max="6672" width="10.85546875" style="284" customWidth="1"/>
    <col min="6673" max="6673" width="19.140625" style="284" customWidth="1"/>
    <col min="6674" max="6674" width="17.7109375" style="284" bestFit="1" customWidth="1"/>
    <col min="6675" max="6675" width="22.7109375" style="284" bestFit="1" customWidth="1"/>
    <col min="6676" max="6676" width="22.85546875" style="284" bestFit="1" customWidth="1"/>
    <col min="6677" max="6912" width="11.42578125" style="284" customWidth="1"/>
    <col min="6913" max="6913" width="4.28515625" style="284" customWidth="1"/>
    <col min="6914" max="6914" width="43.140625" style="284" customWidth="1"/>
    <col min="6915" max="6915" width="21.85546875" style="284" customWidth="1"/>
    <col min="6916" max="6916" width="17.85546875" style="284" customWidth="1"/>
    <col min="6917" max="6917" width="17.7109375" style="284" customWidth="1"/>
    <col min="6918" max="6918" width="19.7109375" style="284" customWidth="1"/>
    <col min="6919" max="6919" width="16.85546875" style="284" customWidth="1"/>
    <col min="6920" max="6920" width="14" style="284" customWidth="1"/>
    <col min="6921" max="6921" width="16.85546875" style="284" customWidth="1"/>
    <col min="6922" max="6922" width="9.85546875" style="284" customWidth="1"/>
    <col min="6923" max="6923" width="20.28515625" style="284" customWidth="1"/>
    <col min="6924" max="6924" width="14.28515625" style="284" customWidth="1"/>
    <col min="6925" max="6925" width="20.85546875" style="284" customWidth="1"/>
    <col min="6926" max="6926" width="20.28515625" style="284" bestFit="1" customWidth="1"/>
    <col min="6927" max="6927" width="18.7109375" style="284" customWidth="1"/>
    <col min="6928" max="6928" width="10.85546875" style="284" customWidth="1"/>
    <col min="6929" max="6929" width="19.140625" style="284" customWidth="1"/>
    <col min="6930" max="6930" width="17.7109375" style="284" bestFit="1" customWidth="1"/>
    <col min="6931" max="6931" width="22.7109375" style="284" bestFit="1" customWidth="1"/>
    <col min="6932" max="6932" width="22.85546875" style="284" bestFit="1" customWidth="1"/>
    <col min="6933" max="7168" width="11.42578125" style="284" customWidth="1"/>
    <col min="7169" max="7169" width="4.28515625" style="284" customWidth="1"/>
    <col min="7170" max="7170" width="43.140625" style="284" customWidth="1"/>
    <col min="7171" max="7171" width="21.85546875" style="284" customWidth="1"/>
    <col min="7172" max="7172" width="17.85546875" style="284" customWidth="1"/>
    <col min="7173" max="7173" width="17.7109375" style="284" customWidth="1"/>
    <col min="7174" max="7174" width="19.7109375" style="284" customWidth="1"/>
    <col min="7175" max="7175" width="16.85546875" style="284" customWidth="1"/>
    <col min="7176" max="7176" width="14" style="284" customWidth="1"/>
    <col min="7177" max="7177" width="16.85546875" style="284" customWidth="1"/>
    <col min="7178" max="7178" width="9.85546875" style="284" customWidth="1"/>
    <col min="7179" max="7179" width="20.28515625" style="284" customWidth="1"/>
    <col min="7180" max="7180" width="14.28515625" style="284" customWidth="1"/>
    <col min="7181" max="7181" width="20.85546875" style="284" customWidth="1"/>
    <col min="7182" max="7182" width="20.28515625" style="284" bestFit="1" customWidth="1"/>
    <col min="7183" max="7183" width="18.7109375" style="284" customWidth="1"/>
    <col min="7184" max="7184" width="10.85546875" style="284" customWidth="1"/>
    <col min="7185" max="7185" width="19.140625" style="284" customWidth="1"/>
    <col min="7186" max="7186" width="17.7109375" style="284" bestFit="1" customWidth="1"/>
    <col min="7187" max="7187" width="22.7109375" style="284" bestFit="1" customWidth="1"/>
    <col min="7188" max="7188" width="22.85546875" style="284" bestFit="1" customWidth="1"/>
    <col min="7189" max="7424" width="11.42578125" style="284" customWidth="1"/>
    <col min="7425" max="7425" width="4.28515625" style="284" customWidth="1"/>
    <col min="7426" max="7426" width="43.140625" style="284" customWidth="1"/>
    <col min="7427" max="7427" width="21.85546875" style="284" customWidth="1"/>
    <col min="7428" max="7428" width="17.85546875" style="284" customWidth="1"/>
    <col min="7429" max="7429" width="17.7109375" style="284" customWidth="1"/>
    <col min="7430" max="7430" width="19.7109375" style="284" customWidth="1"/>
    <col min="7431" max="7431" width="16.85546875" style="284" customWidth="1"/>
    <col min="7432" max="7432" width="14" style="284" customWidth="1"/>
    <col min="7433" max="7433" width="16.85546875" style="284" customWidth="1"/>
    <col min="7434" max="7434" width="9.85546875" style="284" customWidth="1"/>
    <col min="7435" max="7435" width="20.28515625" style="284" customWidth="1"/>
    <col min="7436" max="7436" width="14.28515625" style="284" customWidth="1"/>
    <col min="7437" max="7437" width="20.85546875" style="284" customWidth="1"/>
    <col min="7438" max="7438" width="20.28515625" style="284" bestFit="1" customWidth="1"/>
    <col min="7439" max="7439" width="18.7109375" style="284" customWidth="1"/>
    <col min="7440" max="7440" width="10.85546875" style="284" customWidth="1"/>
    <col min="7441" max="7441" width="19.140625" style="284" customWidth="1"/>
    <col min="7442" max="7442" width="17.7109375" style="284" bestFit="1" customWidth="1"/>
    <col min="7443" max="7443" width="22.7109375" style="284" bestFit="1" customWidth="1"/>
    <col min="7444" max="7444" width="22.85546875" style="284" bestFit="1" customWidth="1"/>
    <col min="7445" max="7680" width="11.42578125" style="284" customWidth="1"/>
    <col min="7681" max="7681" width="4.28515625" style="284" customWidth="1"/>
    <col min="7682" max="7682" width="43.140625" style="284" customWidth="1"/>
    <col min="7683" max="7683" width="21.85546875" style="284" customWidth="1"/>
    <col min="7684" max="7684" width="17.85546875" style="284" customWidth="1"/>
    <col min="7685" max="7685" width="17.7109375" style="284" customWidth="1"/>
    <col min="7686" max="7686" width="19.7109375" style="284" customWidth="1"/>
    <col min="7687" max="7687" width="16.85546875" style="284" customWidth="1"/>
    <col min="7688" max="7688" width="14" style="284" customWidth="1"/>
    <col min="7689" max="7689" width="16.85546875" style="284" customWidth="1"/>
    <col min="7690" max="7690" width="9.85546875" style="284" customWidth="1"/>
    <col min="7691" max="7691" width="20.28515625" style="284" customWidth="1"/>
    <col min="7692" max="7692" width="14.28515625" style="284" customWidth="1"/>
    <col min="7693" max="7693" width="20.85546875" style="284" customWidth="1"/>
    <col min="7694" max="7694" width="20.28515625" style="284" bestFit="1" customWidth="1"/>
    <col min="7695" max="7695" width="18.7109375" style="284" customWidth="1"/>
    <col min="7696" max="7696" width="10.85546875" style="284" customWidth="1"/>
    <col min="7697" max="7697" width="19.140625" style="284" customWidth="1"/>
    <col min="7698" max="7698" width="17.7109375" style="284" bestFit="1" customWidth="1"/>
    <col min="7699" max="7699" width="22.7109375" style="284" bestFit="1" customWidth="1"/>
    <col min="7700" max="7700" width="22.85546875" style="284" bestFit="1" customWidth="1"/>
    <col min="7701" max="7936" width="11.42578125" style="284" customWidth="1"/>
    <col min="7937" max="7937" width="4.28515625" style="284" customWidth="1"/>
    <col min="7938" max="7938" width="43.140625" style="284" customWidth="1"/>
    <col min="7939" max="7939" width="21.85546875" style="284" customWidth="1"/>
    <col min="7940" max="7940" width="17.85546875" style="284" customWidth="1"/>
    <col min="7941" max="7941" width="17.7109375" style="284" customWidth="1"/>
    <col min="7942" max="7942" width="19.7109375" style="284" customWidth="1"/>
    <col min="7943" max="7943" width="16.85546875" style="284" customWidth="1"/>
    <col min="7944" max="7944" width="14" style="284" customWidth="1"/>
    <col min="7945" max="7945" width="16.85546875" style="284" customWidth="1"/>
    <col min="7946" max="7946" width="9.85546875" style="284" customWidth="1"/>
    <col min="7947" max="7947" width="20.28515625" style="284" customWidth="1"/>
    <col min="7948" max="7948" width="14.28515625" style="284" customWidth="1"/>
    <col min="7949" max="7949" width="20.85546875" style="284" customWidth="1"/>
    <col min="7950" max="7950" width="20.28515625" style="284" bestFit="1" customWidth="1"/>
    <col min="7951" max="7951" width="18.7109375" style="284" customWidth="1"/>
    <col min="7952" max="7952" width="10.85546875" style="284" customWidth="1"/>
    <col min="7953" max="7953" width="19.140625" style="284" customWidth="1"/>
    <col min="7954" max="7954" width="17.7109375" style="284" bestFit="1" customWidth="1"/>
    <col min="7955" max="7955" width="22.7109375" style="284" bestFit="1" customWidth="1"/>
    <col min="7956" max="7956" width="22.85546875" style="284" bestFit="1" customWidth="1"/>
    <col min="7957" max="8192" width="11.42578125" style="284" customWidth="1"/>
    <col min="8193" max="8193" width="4.28515625" style="284" customWidth="1"/>
    <col min="8194" max="8194" width="43.140625" style="284" customWidth="1"/>
    <col min="8195" max="8195" width="21.85546875" style="284" customWidth="1"/>
    <col min="8196" max="8196" width="17.85546875" style="284" customWidth="1"/>
    <col min="8197" max="8197" width="17.7109375" style="284" customWidth="1"/>
    <col min="8198" max="8198" width="19.7109375" style="284" customWidth="1"/>
    <col min="8199" max="8199" width="16.85546875" style="284" customWidth="1"/>
    <col min="8200" max="8200" width="14" style="284" customWidth="1"/>
    <col min="8201" max="8201" width="16.85546875" style="284" customWidth="1"/>
    <col min="8202" max="8202" width="9.85546875" style="284" customWidth="1"/>
    <col min="8203" max="8203" width="20.28515625" style="284" customWidth="1"/>
    <col min="8204" max="8204" width="14.28515625" style="284" customWidth="1"/>
    <col min="8205" max="8205" width="20.85546875" style="284" customWidth="1"/>
    <col min="8206" max="8206" width="20.28515625" style="284" bestFit="1" customWidth="1"/>
    <col min="8207" max="8207" width="18.7109375" style="284" customWidth="1"/>
    <col min="8208" max="8208" width="10.85546875" style="284" customWidth="1"/>
    <col min="8209" max="8209" width="19.140625" style="284" customWidth="1"/>
    <col min="8210" max="8210" width="17.7109375" style="284" bestFit="1" customWidth="1"/>
    <col min="8211" max="8211" width="22.7109375" style="284" bestFit="1" customWidth="1"/>
    <col min="8212" max="8212" width="22.85546875" style="284" bestFit="1" customWidth="1"/>
    <col min="8213" max="8448" width="11.42578125" style="284" customWidth="1"/>
    <col min="8449" max="8449" width="4.28515625" style="284" customWidth="1"/>
    <col min="8450" max="8450" width="43.140625" style="284" customWidth="1"/>
    <col min="8451" max="8451" width="21.85546875" style="284" customWidth="1"/>
    <col min="8452" max="8452" width="17.85546875" style="284" customWidth="1"/>
    <col min="8453" max="8453" width="17.7109375" style="284" customWidth="1"/>
    <col min="8454" max="8454" width="19.7109375" style="284" customWidth="1"/>
    <col min="8455" max="8455" width="16.85546875" style="284" customWidth="1"/>
    <col min="8456" max="8456" width="14" style="284" customWidth="1"/>
    <col min="8457" max="8457" width="16.85546875" style="284" customWidth="1"/>
    <col min="8458" max="8458" width="9.85546875" style="284" customWidth="1"/>
    <col min="8459" max="8459" width="20.28515625" style="284" customWidth="1"/>
    <col min="8460" max="8460" width="14.28515625" style="284" customWidth="1"/>
    <col min="8461" max="8461" width="20.85546875" style="284" customWidth="1"/>
    <col min="8462" max="8462" width="20.28515625" style="284" bestFit="1" customWidth="1"/>
    <col min="8463" max="8463" width="18.7109375" style="284" customWidth="1"/>
    <col min="8464" max="8464" width="10.85546875" style="284" customWidth="1"/>
    <col min="8465" max="8465" width="19.140625" style="284" customWidth="1"/>
    <col min="8466" max="8466" width="17.7109375" style="284" bestFit="1" customWidth="1"/>
    <col min="8467" max="8467" width="22.7109375" style="284" bestFit="1" customWidth="1"/>
    <col min="8468" max="8468" width="22.85546875" style="284" bestFit="1" customWidth="1"/>
    <col min="8469" max="8704" width="11.42578125" style="284" customWidth="1"/>
    <col min="8705" max="8705" width="4.28515625" style="284" customWidth="1"/>
    <col min="8706" max="8706" width="43.140625" style="284" customWidth="1"/>
    <col min="8707" max="8707" width="21.85546875" style="284" customWidth="1"/>
    <col min="8708" max="8708" width="17.85546875" style="284" customWidth="1"/>
    <col min="8709" max="8709" width="17.7109375" style="284" customWidth="1"/>
    <col min="8710" max="8710" width="19.7109375" style="284" customWidth="1"/>
    <col min="8711" max="8711" width="16.85546875" style="284" customWidth="1"/>
    <col min="8712" max="8712" width="14" style="284" customWidth="1"/>
    <col min="8713" max="8713" width="16.85546875" style="284" customWidth="1"/>
    <col min="8714" max="8714" width="9.85546875" style="284" customWidth="1"/>
    <col min="8715" max="8715" width="20.28515625" style="284" customWidth="1"/>
    <col min="8716" max="8716" width="14.28515625" style="284" customWidth="1"/>
    <col min="8717" max="8717" width="20.85546875" style="284" customWidth="1"/>
    <col min="8718" max="8718" width="20.28515625" style="284" bestFit="1" customWidth="1"/>
    <col min="8719" max="8719" width="18.7109375" style="284" customWidth="1"/>
    <col min="8720" max="8720" width="10.85546875" style="284" customWidth="1"/>
    <col min="8721" max="8721" width="19.140625" style="284" customWidth="1"/>
    <col min="8722" max="8722" width="17.7109375" style="284" bestFit="1" customWidth="1"/>
    <col min="8723" max="8723" width="22.7109375" style="284" bestFit="1" customWidth="1"/>
    <col min="8724" max="8724" width="22.85546875" style="284" bestFit="1" customWidth="1"/>
    <col min="8725" max="8960" width="11.42578125" style="284" customWidth="1"/>
    <col min="8961" max="8961" width="4.28515625" style="284" customWidth="1"/>
    <col min="8962" max="8962" width="43.140625" style="284" customWidth="1"/>
    <col min="8963" max="8963" width="21.85546875" style="284" customWidth="1"/>
    <col min="8964" max="8964" width="17.85546875" style="284" customWidth="1"/>
    <col min="8965" max="8965" width="17.7109375" style="284" customWidth="1"/>
    <col min="8966" max="8966" width="19.7109375" style="284" customWidth="1"/>
    <col min="8967" max="8967" width="16.85546875" style="284" customWidth="1"/>
    <col min="8968" max="8968" width="14" style="284" customWidth="1"/>
    <col min="8969" max="8969" width="16.85546875" style="284" customWidth="1"/>
    <col min="8970" max="8970" width="9.85546875" style="284" customWidth="1"/>
    <col min="8971" max="8971" width="20.28515625" style="284" customWidth="1"/>
    <col min="8972" max="8972" width="14.28515625" style="284" customWidth="1"/>
    <col min="8973" max="8973" width="20.85546875" style="284" customWidth="1"/>
    <col min="8974" max="8974" width="20.28515625" style="284" bestFit="1" customWidth="1"/>
    <col min="8975" max="8975" width="18.7109375" style="284" customWidth="1"/>
    <col min="8976" max="8976" width="10.85546875" style="284" customWidth="1"/>
    <col min="8977" max="8977" width="19.140625" style="284" customWidth="1"/>
    <col min="8978" max="8978" width="17.7109375" style="284" bestFit="1" customWidth="1"/>
    <col min="8979" max="8979" width="22.7109375" style="284" bestFit="1" customWidth="1"/>
    <col min="8980" max="8980" width="22.85546875" style="284" bestFit="1" customWidth="1"/>
    <col min="8981" max="9216" width="11.42578125" style="284" customWidth="1"/>
    <col min="9217" max="9217" width="4.28515625" style="284" customWidth="1"/>
    <col min="9218" max="9218" width="43.140625" style="284" customWidth="1"/>
    <col min="9219" max="9219" width="21.85546875" style="284" customWidth="1"/>
    <col min="9220" max="9220" width="17.85546875" style="284" customWidth="1"/>
    <col min="9221" max="9221" width="17.7109375" style="284" customWidth="1"/>
    <col min="9222" max="9222" width="19.7109375" style="284" customWidth="1"/>
    <col min="9223" max="9223" width="16.85546875" style="284" customWidth="1"/>
    <col min="9224" max="9224" width="14" style="284" customWidth="1"/>
    <col min="9225" max="9225" width="16.85546875" style="284" customWidth="1"/>
    <col min="9226" max="9226" width="9.85546875" style="284" customWidth="1"/>
    <col min="9227" max="9227" width="20.28515625" style="284" customWidth="1"/>
    <col min="9228" max="9228" width="14.28515625" style="284" customWidth="1"/>
    <col min="9229" max="9229" width="20.85546875" style="284" customWidth="1"/>
    <col min="9230" max="9230" width="20.28515625" style="284" bestFit="1" customWidth="1"/>
    <col min="9231" max="9231" width="18.7109375" style="284" customWidth="1"/>
    <col min="9232" max="9232" width="10.85546875" style="284" customWidth="1"/>
    <col min="9233" max="9233" width="19.140625" style="284" customWidth="1"/>
    <col min="9234" max="9234" width="17.7109375" style="284" bestFit="1" customWidth="1"/>
    <col min="9235" max="9235" width="22.7109375" style="284" bestFit="1" customWidth="1"/>
    <col min="9236" max="9236" width="22.85546875" style="284" bestFit="1" customWidth="1"/>
    <col min="9237" max="9472" width="11.42578125" style="284" customWidth="1"/>
    <col min="9473" max="9473" width="4.28515625" style="284" customWidth="1"/>
    <col min="9474" max="9474" width="43.140625" style="284" customWidth="1"/>
    <col min="9475" max="9475" width="21.85546875" style="284" customWidth="1"/>
    <col min="9476" max="9476" width="17.85546875" style="284" customWidth="1"/>
    <col min="9477" max="9477" width="17.7109375" style="284" customWidth="1"/>
    <col min="9478" max="9478" width="19.7109375" style="284" customWidth="1"/>
    <col min="9479" max="9479" width="16.85546875" style="284" customWidth="1"/>
    <col min="9480" max="9480" width="14" style="284" customWidth="1"/>
    <col min="9481" max="9481" width="16.85546875" style="284" customWidth="1"/>
    <col min="9482" max="9482" width="9.85546875" style="284" customWidth="1"/>
    <col min="9483" max="9483" width="20.28515625" style="284" customWidth="1"/>
    <col min="9484" max="9484" width="14.28515625" style="284" customWidth="1"/>
    <col min="9485" max="9485" width="20.85546875" style="284" customWidth="1"/>
    <col min="9486" max="9486" width="20.28515625" style="284" bestFit="1" customWidth="1"/>
    <col min="9487" max="9487" width="18.7109375" style="284" customWidth="1"/>
    <col min="9488" max="9488" width="10.85546875" style="284" customWidth="1"/>
    <col min="9489" max="9489" width="19.140625" style="284" customWidth="1"/>
    <col min="9490" max="9490" width="17.7109375" style="284" bestFit="1" customWidth="1"/>
    <col min="9491" max="9491" width="22.7109375" style="284" bestFit="1" customWidth="1"/>
    <col min="9492" max="9492" width="22.85546875" style="284" bestFit="1" customWidth="1"/>
    <col min="9493" max="9728" width="11.42578125" style="284" customWidth="1"/>
    <col min="9729" max="9729" width="4.28515625" style="284" customWidth="1"/>
    <col min="9730" max="9730" width="43.140625" style="284" customWidth="1"/>
    <col min="9731" max="9731" width="21.85546875" style="284" customWidth="1"/>
    <col min="9732" max="9732" width="17.85546875" style="284" customWidth="1"/>
    <col min="9733" max="9733" width="17.7109375" style="284" customWidth="1"/>
    <col min="9734" max="9734" width="19.7109375" style="284" customWidth="1"/>
    <col min="9735" max="9735" width="16.85546875" style="284" customWidth="1"/>
    <col min="9736" max="9736" width="14" style="284" customWidth="1"/>
    <col min="9737" max="9737" width="16.85546875" style="284" customWidth="1"/>
    <col min="9738" max="9738" width="9.85546875" style="284" customWidth="1"/>
    <col min="9739" max="9739" width="20.28515625" style="284" customWidth="1"/>
    <col min="9740" max="9740" width="14.28515625" style="284" customWidth="1"/>
    <col min="9741" max="9741" width="20.85546875" style="284" customWidth="1"/>
    <col min="9742" max="9742" width="20.28515625" style="284" bestFit="1" customWidth="1"/>
    <col min="9743" max="9743" width="18.7109375" style="284" customWidth="1"/>
    <col min="9744" max="9744" width="10.85546875" style="284" customWidth="1"/>
    <col min="9745" max="9745" width="19.140625" style="284" customWidth="1"/>
    <col min="9746" max="9746" width="17.7109375" style="284" bestFit="1" customWidth="1"/>
    <col min="9747" max="9747" width="22.7109375" style="284" bestFit="1" customWidth="1"/>
    <col min="9748" max="9748" width="22.85546875" style="284" bestFit="1" customWidth="1"/>
    <col min="9749" max="9984" width="11.42578125" style="284" customWidth="1"/>
    <col min="9985" max="9985" width="4.28515625" style="284" customWidth="1"/>
    <col min="9986" max="9986" width="43.140625" style="284" customWidth="1"/>
    <col min="9987" max="9987" width="21.85546875" style="284" customWidth="1"/>
    <col min="9988" max="9988" width="17.85546875" style="284" customWidth="1"/>
    <col min="9989" max="9989" width="17.7109375" style="284" customWidth="1"/>
    <col min="9990" max="9990" width="19.7109375" style="284" customWidth="1"/>
    <col min="9991" max="9991" width="16.85546875" style="284" customWidth="1"/>
    <col min="9992" max="9992" width="14" style="284" customWidth="1"/>
    <col min="9993" max="9993" width="16.85546875" style="284" customWidth="1"/>
    <col min="9994" max="9994" width="9.85546875" style="284" customWidth="1"/>
    <col min="9995" max="9995" width="20.28515625" style="284" customWidth="1"/>
    <col min="9996" max="9996" width="14.28515625" style="284" customWidth="1"/>
    <col min="9997" max="9997" width="20.85546875" style="284" customWidth="1"/>
    <col min="9998" max="9998" width="20.28515625" style="284" bestFit="1" customWidth="1"/>
    <col min="9999" max="9999" width="18.7109375" style="284" customWidth="1"/>
    <col min="10000" max="10000" width="10.85546875" style="284" customWidth="1"/>
    <col min="10001" max="10001" width="19.140625" style="284" customWidth="1"/>
    <col min="10002" max="10002" width="17.7109375" style="284" bestFit="1" customWidth="1"/>
    <col min="10003" max="10003" width="22.7109375" style="284" bestFit="1" customWidth="1"/>
    <col min="10004" max="10004" width="22.85546875" style="284" bestFit="1" customWidth="1"/>
    <col min="10005" max="10240" width="11.42578125" style="284" customWidth="1"/>
    <col min="10241" max="10241" width="4.28515625" style="284" customWidth="1"/>
    <col min="10242" max="10242" width="43.140625" style="284" customWidth="1"/>
    <col min="10243" max="10243" width="21.85546875" style="284" customWidth="1"/>
    <col min="10244" max="10244" width="17.85546875" style="284" customWidth="1"/>
    <col min="10245" max="10245" width="17.7109375" style="284" customWidth="1"/>
    <col min="10246" max="10246" width="19.7109375" style="284" customWidth="1"/>
    <col min="10247" max="10247" width="16.85546875" style="284" customWidth="1"/>
    <col min="10248" max="10248" width="14" style="284" customWidth="1"/>
    <col min="10249" max="10249" width="16.85546875" style="284" customWidth="1"/>
    <col min="10250" max="10250" width="9.85546875" style="284" customWidth="1"/>
    <col min="10251" max="10251" width="20.28515625" style="284" customWidth="1"/>
    <col min="10252" max="10252" width="14.28515625" style="284" customWidth="1"/>
    <col min="10253" max="10253" width="20.85546875" style="284" customWidth="1"/>
    <col min="10254" max="10254" width="20.28515625" style="284" bestFit="1" customWidth="1"/>
    <col min="10255" max="10255" width="18.7109375" style="284" customWidth="1"/>
    <col min="10256" max="10256" width="10.85546875" style="284" customWidth="1"/>
    <col min="10257" max="10257" width="19.140625" style="284" customWidth="1"/>
    <col min="10258" max="10258" width="17.7109375" style="284" bestFit="1" customWidth="1"/>
    <col min="10259" max="10259" width="22.7109375" style="284" bestFit="1" customWidth="1"/>
    <col min="10260" max="10260" width="22.85546875" style="284" bestFit="1" customWidth="1"/>
    <col min="10261" max="10496" width="11.42578125" style="284" customWidth="1"/>
    <col min="10497" max="10497" width="4.28515625" style="284" customWidth="1"/>
    <col min="10498" max="10498" width="43.140625" style="284" customWidth="1"/>
    <col min="10499" max="10499" width="21.85546875" style="284" customWidth="1"/>
    <col min="10500" max="10500" width="17.85546875" style="284" customWidth="1"/>
    <col min="10501" max="10501" width="17.7109375" style="284" customWidth="1"/>
    <col min="10502" max="10502" width="19.7109375" style="284" customWidth="1"/>
    <col min="10503" max="10503" width="16.85546875" style="284" customWidth="1"/>
    <col min="10504" max="10504" width="14" style="284" customWidth="1"/>
    <col min="10505" max="10505" width="16.85546875" style="284" customWidth="1"/>
    <col min="10506" max="10506" width="9.85546875" style="284" customWidth="1"/>
    <col min="10507" max="10507" width="20.28515625" style="284" customWidth="1"/>
    <col min="10508" max="10508" width="14.28515625" style="284" customWidth="1"/>
    <col min="10509" max="10509" width="20.85546875" style="284" customWidth="1"/>
    <col min="10510" max="10510" width="20.28515625" style="284" bestFit="1" customWidth="1"/>
    <col min="10511" max="10511" width="18.7109375" style="284" customWidth="1"/>
    <col min="10512" max="10512" width="10.85546875" style="284" customWidth="1"/>
    <col min="10513" max="10513" width="19.140625" style="284" customWidth="1"/>
    <col min="10514" max="10514" width="17.7109375" style="284" bestFit="1" customWidth="1"/>
    <col min="10515" max="10515" width="22.7109375" style="284" bestFit="1" customWidth="1"/>
    <col min="10516" max="10516" width="22.85546875" style="284" bestFit="1" customWidth="1"/>
    <col min="10517" max="10752" width="11.42578125" style="284" customWidth="1"/>
    <col min="10753" max="10753" width="4.28515625" style="284" customWidth="1"/>
    <col min="10754" max="10754" width="43.140625" style="284" customWidth="1"/>
    <col min="10755" max="10755" width="21.85546875" style="284" customWidth="1"/>
    <col min="10756" max="10756" width="17.85546875" style="284" customWidth="1"/>
    <col min="10757" max="10757" width="17.7109375" style="284" customWidth="1"/>
    <col min="10758" max="10758" width="19.7109375" style="284" customWidth="1"/>
    <col min="10759" max="10759" width="16.85546875" style="284" customWidth="1"/>
    <col min="10760" max="10760" width="14" style="284" customWidth="1"/>
    <col min="10761" max="10761" width="16.85546875" style="284" customWidth="1"/>
    <col min="10762" max="10762" width="9.85546875" style="284" customWidth="1"/>
    <col min="10763" max="10763" width="20.28515625" style="284" customWidth="1"/>
    <col min="10764" max="10764" width="14.28515625" style="284" customWidth="1"/>
    <col min="10765" max="10765" width="20.85546875" style="284" customWidth="1"/>
    <col min="10766" max="10766" width="20.28515625" style="284" bestFit="1" customWidth="1"/>
    <col min="10767" max="10767" width="18.7109375" style="284" customWidth="1"/>
    <col min="10768" max="10768" width="10.85546875" style="284" customWidth="1"/>
    <col min="10769" max="10769" width="19.140625" style="284" customWidth="1"/>
    <col min="10770" max="10770" width="17.7109375" style="284" bestFit="1" customWidth="1"/>
    <col min="10771" max="10771" width="22.7109375" style="284" bestFit="1" customWidth="1"/>
    <col min="10772" max="10772" width="22.85546875" style="284" bestFit="1" customWidth="1"/>
    <col min="10773" max="11008" width="11.42578125" style="284" customWidth="1"/>
    <col min="11009" max="11009" width="4.28515625" style="284" customWidth="1"/>
    <col min="11010" max="11010" width="43.140625" style="284" customWidth="1"/>
    <col min="11011" max="11011" width="21.85546875" style="284" customWidth="1"/>
    <col min="11012" max="11012" width="17.85546875" style="284" customWidth="1"/>
    <col min="11013" max="11013" width="17.7109375" style="284" customWidth="1"/>
    <col min="11014" max="11014" width="19.7109375" style="284" customWidth="1"/>
    <col min="11015" max="11015" width="16.85546875" style="284" customWidth="1"/>
    <col min="11016" max="11016" width="14" style="284" customWidth="1"/>
    <col min="11017" max="11017" width="16.85546875" style="284" customWidth="1"/>
    <col min="11018" max="11018" width="9.85546875" style="284" customWidth="1"/>
    <col min="11019" max="11019" width="20.28515625" style="284" customWidth="1"/>
    <col min="11020" max="11020" width="14.28515625" style="284" customWidth="1"/>
    <col min="11021" max="11021" width="20.85546875" style="284" customWidth="1"/>
    <col min="11022" max="11022" width="20.28515625" style="284" bestFit="1" customWidth="1"/>
    <col min="11023" max="11023" width="18.7109375" style="284" customWidth="1"/>
    <col min="11024" max="11024" width="10.85546875" style="284" customWidth="1"/>
    <col min="11025" max="11025" width="19.140625" style="284" customWidth="1"/>
    <col min="11026" max="11026" width="17.7109375" style="284" bestFit="1" customWidth="1"/>
    <col min="11027" max="11027" width="22.7109375" style="284" bestFit="1" customWidth="1"/>
    <col min="11028" max="11028" width="22.85546875" style="284" bestFit="1" customWidth="1"/>
    <col min="11029" max="11264" width="11.42578125" style="284" customWidth="1"/>
    <col min="11265" max="11265" width="4.28515625" style="284" customWidth="1"/>
    <col min="11266" max="11266" width="43.140625" style="284" customWidth="1"/>
    <col min="11267" max="11267" width="21.85546875" style="284" customWidth="1"/>
    <col min="11268" max="11268" width="17.85546875" style="284" customWidth="1"/>
    <col min="11269" max="11269" width="17.7109375" style="284" customWidth="1"/>
    <col min="11270" max="11270" width="19.7109375" style="284" customWidth="1"/>
    <col min="11271" max="11271" width="16.85546875" style="284" customWidth="1"/>
    <col min="11272" max="11272" width="14" style="284" customWidth="1"/>
    <col min="11273" max="11273" width="16.85546875" style="284" customWidth="1"/>
    <col min="11274" max="11274" width="9.85546875" style="284" customWidth="1"/>
    <col min="11275" max="11275" width="20.28515625" style="284" customWidth="1"/>
    <col min="11276" max="11276" width="14.28515625" style="284" customWidth="1"/>
    <col min="11277" max="11277" width="20.85546875" style="284" customWidth="1"/>
    <col min="11278" max="11278" width="20.28515625" style="284" bestFit="1" customWidth="1"/>
    <col min="11279" max="11279" width="18.7109375" style="284" customWidth="1"/>
    <col min="11280" max="11280" width="10.85546875" style="284" customWidth="1"/>
    <col min="11281" max="11281" width="19.140625" style="284" customWidth="1"/>
    <col min="11282" max="11282" width="17.7109375" style="284" bestFit="1" customWidth="1"/>
    <col min="11283" max="11283" width="22.7109375" style="284" bestFit="1" customWidth="1"/>
    <col min="11284" max="11284" width="22.85546875" style="284" bestFit="1" customWidth="1"/>
    <col min="11285" max="11520" width="11.42578125" style="284" customWidth="1"/>
    <col min="11521" max="11521" width="4.28515625" style="284" customWidth="1"/>
    <col min="11522" max="11522" width="43.140625" style="284" customWidth="1"/>
    <col min="11523" max="11523" width="21.85546875" style="284" customWidth="1"/>
    <col min="11524" max="11524" width="17.85546875" style="284" customWidth="1"/>
    <col min="11525" max="11525" width="17.7109375" style="284" customWidth="1"/>
    <col min="11526" max="11526" width="19.7109375" style="284" customWidth="1"/>
    <col min="11527" max="11527" width="16.85546875" style="284" customWidth="1"/>
    <col min="11528" max="11528" width="14" style="284" customWidth="1"/>
    <col min="11529" max="11529" width="16.85546875" style="284" customWidth="1"/>
    <col min="11530" max="11530" width="9.85546875" style="284" customWidth="1"/>
    <col min="11531" max="11531" width="20.28515625" style="284" customWidth="1"/>
    <col min="11532" max="11532" width="14.28515625" style="284" customWidth="1"/>
    <col min="11533" max="11533" width="20.85546875" style="284" customWidth="1"/>
    <col min="11534" max="11534" width="20.28515625" style="284" bestFit="1" customWidth="1"/>
    <col min="11535" max="11535" width="18.7109375" style="284" customWidth="1"/>
    <col min="11536" max="11536" width="10.85546875" style="284" customWidth="1"/>
    <col min="11537" max="11537" width="19.140625" style="284" customWidth="1"/>
    <col min="11538" max="11538" width="17.7109375" style="284" bestFit="1" customWidth="1"/>
    <col min="11539" max="11539" width="22.7109375" style="284" bestFit="1" customWidth="1"/>
    <col min="11540" max="11540" width="22.85546875" style="284" bestFit="1" customWidth="1"/>
    <col min="11541" max="11776" width="11.42578125" style="284" customWidth="1"/>
    <col min="11777" max="11777" width="4.28515625" style="284" customWidth="1"/>
    <col min="11778" max="11778" width="43.140625" style="284" customWidth="1"/>
    <col min="11779" max="11779" width="21.85546875" style="284" customWidth="1"/>
    <col min="11780" max="11780" width="17.85546875" style="284" customWidth="1"/>
    <col min="11781" max="11781" width="17.7109375" style="284" customWidth="1"/>
    <col min="11782" max="11782" width="19.7109375" style="284" customWidth="1"/>
    <col min="11783" max="11783" width="16.85546875" style="284" customWidth="1"/>
    <col min="11784" max="11784" width="14" style="284" customWidth="1"/>
    <col min="11785" max="11785" width="16.85546875" style="284" customWidth="1"/>
    <col min="11786" max="11786" width="9.85546875" style="284" customWidth="1"/>
    <col min="11787" max="11787" width="20.28515625" style="284" customWidth="1"/>
    <col min="11788" max="11788" width="14.28515625" style="284" customWidth="1"/>
    <col min="11789" max="11789" width="20.85546875" style="284" customWidth="1"/>
    <col min="11790" max="11790" width="20.28515625" style="284" bestFit="1" customWidth="1"/>
    <col min="11791" max="11791" width="18.7109375" style="284" customWidth="1"/>
    <col min="11792" max="11792" width="10.85546875" style="284" customWidth="1"/>
    <col min="11793" max="11793" width="19.140625" style="284" customWidth="1"/>
    <col min="11794" max="11794" width="17.7109375" style="284" bestFit="1" customWidth="1"/>
    <col min="11795" max="11795" width="22.7109375" style="284" bestFit="1" customWidth="1"/>
    <col min="11796" max="11796" width="22.85546875" style="284" bestFit="1" customWidth="1"/>
    <col min="11797" max="12032" width="11.42578125" style="284" customWidth="1"/>
    <col min="12033" max="12033" width="4.28515625" style="284" customWidth="1"/>
    <col min="12034" max="12034" width="43.140625" style="284" customWidth="1"/>
    <col min="12035" max="12035" width="21.85546875" style="284" customWidth="1"/>
    <col min="12036" max="12036" width="17.85546875" style="284" customWidth="1"/>
    <col min="12037" max="12037" width="17.7109375" style="284" customWidth="1"/>
    <col min="12038" max="12038" width="19.7109375" style="284" customWidth="1"/>
    <col min="12039" max="12039" width="16.85546875" style="284" customWidth="1"/>
    <col min="12040" max="12040" width="14" style="284" customWidth="1"/>
    <col min="12041" max="12041" width="16.85546875" style="284" customWidth="1"/>
    <col min="12042" max="12042" width="9.85546875" style="284" customWidth="1"/>
    <col min="12043" max="12043" width="20.28515625" style="284" customWidth="1"/>
    <col min="12044" max="12044" width="14.28515625" style="284" customWidth="1"/>
    <col min="12045" max="12045" width="20.85546875" style="284" customWidth="1"/>
    <col min="12046" max="12046" width="20.28515625" style="284" bestFit="1" customWidth="1"/>
    <col min="12047" max="12047" width="18.7109375" style="284" customWidth="1"/>
    <col min="12048" max="12048" width="10.85546875" style="284" customWidth="1"/>
    <col min="12049" max="12049" width="19.140625" style="284" customWidth="1"/>
    <col min="12050" max="12050" width="17.7109375" style="284" bestFit="1" customWidth="1"/>
    <col min="12051" max="12051" width="22.7109375" style="284" bestFit="1" customWidth="1"/>
    <col min="12052" max="12052" width="22.85546875" style="284" bestFit="1" customWidth="1"/>
    <col min="12053" max="12288" width="11.42578125" style="284" customWidth="1"/>
    <col min="12289" max="12289" width="4.28515625" style="284" customWidth="1"/>
    <col min="12290" max="12290" width="43.140625" style="284" customWidth="1"/>
    <col min="12291" max="12291" width="21.85546875" style="284" customWidth="1"/>
    <col min="12292" max="12292" width="17.85546875" style="284" customWidth="1"/>
    <col min="12293" max="12293" width="17.7109375" style="284" customWidth="1"/>
    <col min="12294" max="12294" width="19.7109375" style="284" customWidth="1"/>
    <col min="12295" max="12295" width="16.85546875" style="284" customWidth="1"/>
    <col min="12296" max="12296" width="14" style="284" customWidth="1"/>
    <col min="12297" max="12297" width="16.85546875" style="284" customWidth="1"/>
    <col min="12298" max="12298" width="9.85546875" style="284" customWidth="1"/>
    <col min="12299" max="12299" width="20.28515625" style="284" customWidth="1"/>
    <col min="12300" max="12300" width="14.28515625" style="284" customWidth="1"/>
    <col min="12301" max="12301" width="20.85546875" style="284" customWidth="1"/>
    <col min="12302" max="12302" width="20.28515625" style="284" bestFit="1" customWidth="1"/>
    <col min="12303" max="12303" width="18.7109375" style="284" customWidth="1"/>
    <col min="12304" max="12304" width="10.85546875" style="284" customWidth="1"/>
    <col min="12305" max="12305" width="19.140625" style="284" customWidth="1"/>
    <col min="12306" max="12306" width="17.7109375" style="284" bestFit="1" customWidth="1"/>
    <col min="12307" max="12307" width="22.7109375" style="284" bestFit="1" customWidth="1"/>
    <col min="12308" max="12308" width="22.85546875" style="284" bestFit="1" customWidth="1"/>
    <col min="12309" max="12544" width="11.42578125" style="284" customWidth="1"/>
    <col min="12545" max="12545" width="4.28515625" style="284" customWidth="1"/>
    <col min="12546" max="12546" width="43.140625" style="284" customWidth="1"/>
    <col min="12547" max="12547" width="21.85546875" style="284" customWidth="1"/>
    <col min="12548" max="12548" width="17.85546875" style="284" customWidth="1"/>
    <col min="12549" max="12549" width="17.7109375" style="284" customWidth="1"/>
    <col min="12550" max="12550" width="19.7109375" style="284" customWidth="1"/>
    <col min="12551" max="12551" width="16.85546875" style="284" customWidth="1"/>
    <col min="12552" max="12552" width="14" style="284" customWidth="1"/>
    <col min="12553" max="12553" width="16.85546875" style="284" customWidth="1"/>
    <col min="12554" max="12554" width="9.85546875" style="284" customWidth="1"/>
    <col min="12555" max="12555" width="20.28515625" style="284" customWidth="1"/>
    <col min="12556" max="12556" width="14.28515625" style="284" customWidth="1"/>
    <col min="12557" max="12557" width="20.85546875" style="284" customWidth="1"/>
    <col min="12558" max="12558" width="20.28515625" style="284" bestFit="1" customWidth="1"/>
    <col min="12559" max="12559" width="18.7109375" style="284" customWidth="1"/>
    <col min="12560" max="12560" width="10.85546875" style="284" customWidth="1"/>
    <col min="12561" max="12561" width="19.140625" style="284" customWidth="1"/>
    <col min="12562" max="12562" width="17.7109375" style="284" bestFit="1" customWidth="1"/>
    <col min="12563" max="12563" width="22.7109375" style="284" bestFit="1" customWidth="1"/>
    <col min="12564" max="12564" width="22.85546875" style="284" bestFit="1" customWidth="1"/>
    <col min="12565" max="12800" width="11.42578125" style="284" customWidth="1"/>
    <col min="12801" max="12801" width="4.28515625" style="284" customWidth="1"/>
    <col min="12802" max="12802" width="43.140625" style="284" customWidth="1"/>
    <col min="12803" max="12803" width="21.85546875" style="284" customWidth="1"/>
    <col min="12804" max="12804" width="17.85546875" style="284" customWidth="1"/>
    <col min="12805" max="12805" width="17.7109375" style="284" customWidth="1"/>
    <col min="12806" max="12806" width="19.7109375" style="284" customWidth="1"/>
    <col min="12807" max="12807" width="16.85546875" style="284" customWidth="1"/>
    <col min="12808" max="12808" width="14" style="284" customWidth="1"/>
    <col min="12809" max="12809" width="16.85546875" style="284" customWidth="1"/>
    <col min="12810" max="12810" width="9.85546875" style="284" customWidth="1"/>
    <col min="12811" max="12811" width="20.28515625" style="284" customWidth="1"/>
    <col min="12812" max="12812" width="14.28515625" style="284" customWidth="1"/>
    <col min="12813" max="12813" width="20.85546875" style="284" customWidth="1"/>
    <col min="12814" max="12814" width="20.28515625" style="284" bestFit="1" customWidth="1"/>
    <col min="12815" max="12815" width="18.7109375" style="284" customWidth="1"/>
    <col min="12816" max="12816" width="10.85546875" style="284" customWidth="1"/>
    <col min="12817" max="12817" width="19.140625" style="284" customWidth="1"/>
    <col min="12818" max="12818" width="17.7109375" style="284" bestFit="1" customWidth="1"/>
    <col min="12819" max="12819" width="22.7109375" style="284" bestFit="1" customWidth="1"/>
    <col min="12820" max="12820" width="22.85546875" style="284" bestFit="1" customWidth="1"/>
    <col min="12821" max="13056" width="11.42578125" style="284" customWidth="1"/>
    <col min="13057" max="13057" width="4.28515625" style="284" customWidth="1"/>
    <col min="13058" max="13058" width="43.140625" style="284" customWidth="1"/>
    <col min="13059" max="13059" width="21.85546875" style="284" customWidth="1"/>
    <col min="13060" max="13060" width="17.85546875" style="284" customWidth="1"/>
    <col min="13061" max="13061" width="17.7109375" style="284" customWidth="1"/>
    <col min="13062" max="13062" width="19.7109375" style="284" customWidth="1"/>
    <col min="13063" max="13063" width="16.85546875" style="284" customWidth="1"/>
    <col min="13064" max="13064" width="14" style="284" customWidth="1"/>
    <col min="13065" max="13065" width="16.85546875" style="284" customWidth="1"/>
    <col min="13066" max="13066" width="9.85546875" style="284" customWidth="1"/>
    <col min="13067" max="13067" width="20.28515625" style="284" customWidth="1"/>
    <col min="13068" max="13068" width="14.28515625" style="284" customWidth="1"/>
    <col min="13069" max="13069" width="20.85546875" style="284" customWidth="1"/>
    <col min="13070" max="13070" width="20.28515625" style="284" bestFit="1" customWidth="1"/>
    <col min="13071" max="13071" width="18.7109375" style="284" customWidth="1"/>
    <col min="13072" max="13072" width="10.85546875" style="284" customWidth="1"/>
    <col min="13073" max="13073" width="19.140625" style="284" customWidth="1"/>
    <col min="13074" max="13074" width="17.7109375" style="284" bestFit="1" customWidth="1"/>
    <col min="13075" max="13075" width="22.7109375" style="284" bestFit="1" customWidth="1"/>
    <col min="13076" max="13076" width="22.85546875" style="284" bestFit="1" customWidth="1"/>
    <col min="13077" max="13312" width="11.42578125" style="284" customWidth="1"/>
    <col min="13313" max="13313" width="4.28515625" style="284" customWidth="1"/>
    <col min="13314" max="13314" width="43.140625" style="284" customWidth="1"/>
    <col min="13315" max="13315" width="21.85546875" style="284" customWidth="1"/>
    <col min="13316" max="13316" width="17.85546875" style="284" customWidth="1"/>
    <col min="13317" max="13317" width="17.7109375" style="284" customWidth="1"/>
    <col min="13318" max="13318" width="19.7109375" style="284" customWidth="1"/>
    <col min="13319" max="13319" width="16.85546875" style="284" customWidth="1"/>
    <col min="13320" max="13320" width="14" style="284" customWidth="1"/>
    <col min="13321" max="13321" width="16.85546875" style="284" customWidth="1"/>
    <col min="13322" max="13322" width="9.85546875" style="284" customWidth="1"/>
    <col min="13323" max="13323" width="20.28515625" style="284" customWidth="1"/>
    <col min="13324" max="13324" width="14.28515625" style="284" customWidth="1"/>
    <col min="13325" max="13325" width="20.85546875" style="284" customWidth="1"/>
    <col min="13326" max="13326" width="20.28515625" style="284" bestFit="1" customWidth="1"/>
    <col min="13327" max="13327" width="18.7109375" style="284" customWidth="1"/>
    <col min="13328" max="13328" width="10.85546875" style="284" customWidth="1"/>
    <col min="13329" max="13329" width="19.140625" style="284" customWidth="1"/>
    <col min="13330" max="13330" width="17.7109375" style="284" bestFit="1" customWidth="1"/>
    <col min="13331" max="13331" width="22.7109375" style="284" bestFit="1" customWidth="1"/>
    <col min="13332" max="13332" width="22.85546875" style="284" bestFit="1" customWidth="1"/>
    <col min="13333" max="13568" width="11.42578125" style="284" customWidth="1"/>
    <col min="13569" max="13569" width="4.28515625" style="284" customWidth="1"/>
    <col min="13570" max="13570" width="43.140625" style="284" customWidth="1"/>
    <col min="13571" max="13571" width="21.85546875" style="284" customWidth="1"/>
    <col min="13572" max="13572" width="17.85546875" style="284" customWidth="1"/>
    <col min="13573" max="13573" width="17.7109375" style="284" customWidth="1"/>
    <col min="13574" max="13574" width="19.7109375" style="284" customWidth="1"/>
    <col min="13575" max="13575" width="16.85546875" style="284" customWidth="1"/>
    <col min="13576" max="13576" width="14" style="284" customWidth="1"/>
    <col min="13577" max="13577" width="16.85546875" style="284" customWidth="1"/>
    <col min="13578" max="13578" width="9.85546875" style="284" customWidth="1"/>
    <col min="13579" max="13579" width="20.28515625" style="284" customWidth="1"/>
    <col min="13580" max="13580" width="14.28515625" style="284" customWidth="1"/>
    <col min="13581" max="13581" width="20.85546875" style="284" customWidth="1"/>
    <col min="13582" max="13582" width="20.28515625" style="284" bestFit="1" customWidth="1"/>
    <col min="13583" max="13583" width="18.7109375" style="284" customWidth="1"/>
    <col min="13584" max="13584" width="10.85546875" style="284" customWidth="1"/>
    <col min="13585" max="13585" width="19.140625" style="284" customWidth="1"/>
    <col min="13586" max="13586" width="17.7109375" style="284" bestFit="1" customWidth="1"/>
    <col min="13587" max="13587" width="22.7109375" style="284" bestFit="1" customWidth="1"/>
    <col min="13588" max="13588" width="22.85546875" style="284" bestFit="1" customWidth="1"/>
    <col min="13589" max="13824" width="11.42578125" style="284" customWidth="1"/>
    <col min="13825" max="13825" width="4.28515625" style="284" customWidth="1"/>
    <col min="13826" max="13826" width="43.140625" style="284" customWidth="1"/>
    <col min="13827" max="13827" width="21.85546875" style="284" customWidth="1"/>
    <col min="13828" max="13828" width="17.85546875" style="284" customWidth="1"/>
    <col min="13829" max="13829" width="17.7109375" style="284" customWidth="1"/>
    <col min="13830" max="13830" width="19.7109375" style="284" customWidth="1"/>
    <col min="13831" max="13831" width="16.85546875" style="284" customWidth="1"/>
    <col min="13832" max="13832" width="14" style="284" customWidth="1"/>
    <col min="13833" max="13833" width="16.85546875" style="284" customWidth="1"/>
    <col min="13834" max="13834" width="9.85546875" style="284" customWidth="1"/>
    <col min="13835" max="13835" width="20.28515625" style="284" customWidth="1"/>
    <col min="13836" max="13836" width="14.28515625" style="284" customWidth="1"/>
    <col min="13837" max="13837" width="20.85546875" style="284" customWidth="1"/>
    <col min="13838" max="13838" width="20.28515625" style="284" bestFit="1" customWidth="1"/>
    <col min="13839" max="13839" width="18.7109375" style="284" customWidth="1"/>
    <col min="13840" max="13840" width="10.85546875" style="284" customWidth="1"/>
    <col min="13841" max="13841" width="19.140625" style="284" customWidth="1"/>
    <col min="13842" max="13842" width="17.7109375" style="284" bestFit="1" customWidth="1"/>
    <col min="13843" max="13843" width="22.7109375" style="284" bestFit="1" customWidth="1"/>
    <col min="13844" max="13844" width="22.85546875" style="284" bestFit="1" customWidth="1"/>
    <col min="13845" max="14080" width="11.42578125" style="284" customWidth="1"/>
    <col min="14081" max="14081" width="4.28515625" style="284" customWidth="1"/>
    <col min="14082" max="14082" width="43.140625" style="284" customWidth="1"/>
    <col min="14083" max="14083" width="21.85546875" style="284" customWidth="1"/>
    <col min="14084" max="14084" width="17.85546875" style="284" customWidth="1"/>
    <col min="14085" max="14085" width="17.7109375" style="284" customWidth="1"/>
    <col min="14086" max="14086" width="19.7109375" style="284" customWidth="1"/>
    <col min="14087" max="14087" width="16.85546875" style="284" customWidth="1"/>
    <col min="14088" max="14088" width="14" style="284" customWidth="1"/>
    <col min="14089" max="14089" width="16.85546875" style="284" customWidth="1"/>
    <col min="14090" max="14090" width="9.85546875" style="284" customWidth="1"/>
    <col min="14091" max="14091" width="20.28515625" style="284" customWidth="1"/>
    <col min="14092" max="14092" width="14.28515625" style="284" customWidth="1"/>
    <col min="14093" max="14093" width="20.85546875" style="284" customWidth="1"/>
    <col min="14094" max="14094" width="20.28515625" style="284" bestFit="1" customWidth="1"/>
    <col min="14095" max="14095" width="18.7109375" style="284" customWidth="1"/>
    <col min="14096" max="14096" width="10.85546875" style="284" customWidth="1"/>
    <col min="14097" max="14097" width="19.140625" style="284" customWidth="1"/>
    <col min="14098" max="14098" width="17.7109375" style="284" bestFit="1" customWidth="1"/>
    <col min="14099" max="14099" width="22.7109375" style="284" bestFit="1" customWidth="1"/>
    <col min="14100" max="14100" width="22.85546875" style="284" bestFit="1" customWidth="1"/>
    <col min="14101" max="14336" width="11.42578125" style="284" customWidth="1"/>
    <col min="14337" max="14337" width="4.28515625" style="284" customWidth="1"/>
    <col min="14338" max="14338" width="43.140625" style="284" customWidth="1"/>
    <col min="14339" max="14339" width="21.85546875" style="284" customWidth="1"/>
    <col min="14340" max="14340" width="17.85546875" style="284" customWidth="1"/>
    <col min="14341" max="14341" width="17.7109375" style="284" customWidth="1"/>
    <col min="14342" max="14342" width="19.7109375" style="284" customWidth="1"/>
    <col min="14343" max="14343" width="16.85546875" style="284" customWidth="1"/>
    <col min="14344" max="14344" width="14" style="284" customWidth="1"/>
    <col min="14345" max="14345" width="16.85546875" style="284" customWidth="1"/>
    <col min="14346" max="14346" width="9.85546875" style="284" customWidth="1"/>
    <col min="14347" max="14347" width="20.28515625" style="284" customWidth="1"/>
    <col min="14348" max="14348" width="14.28515625" style="284" customWidth="1"/>
    <col min="14349" max="14349" width="20.85546875" style="284" customWidth="1"/>
    <col min="14350" max="14350" width="20.28515625" style="284" bestFit="1" customWidth="1"/>
    <col min="14351" max="14351" width="18.7109375" style="284" customWidth="1"/>
    <col min="14352" max="14352" width="10.85546875" style="284" customWidth="1"/>
    <col min="14353" max="14353" width="19.140625" style="284" customWidth="1"/>
    <col min="14354" max="14354" width="17.7109375" style="284" bestFit="1" customWidth="1"/>
    <col min="14355" max="14355" width="22.7109375" style="284" bestFit="1" customWidth="1"/>
    <col min="14356" max="14356" width="22.85546875" style="284" bestFit="1" customWidth="1"/>
    <col min="14357" max="14592" width="11.42578125" style="284" customWidth="1"/>
    <col min="14593" max="14593" width="4.28515625" style="284" customWidth="1"/>
    <col min="14594" max="14594" width="43.140625" style="284" customWidth="1"/>
    <col min="14595" max="14595" width="21.85546875" style="284" customWidth="1"/>
    <col min="14596" max="14596" width="17.85546875" style="284" customWidth="1"/>
    <col min="14597" max="14597" width="17.7109375" style="284" customWidth="1"/>
    <col min="14598" max="14598" width="19.7109375" style="284" customWidth="1"/>
    <col min="14599" max="14599" width="16.85546875" style="284" customWidth="1"/>
    <col min="14600" max="14600" width="14" style="284" customWidth="1"/>
    <col min="14601" max="14601" width="16.85546875" style="284" customWidth="1"/>
    <col min="14602" max="14602" width="9.85546875" style="284" customWidth="1"/>
    <col min="14603" max="14603" width="20.28515625" style="284" customWidth="1"/>
    <col min="14604" max="14604" width="14.28515625" style="284" customWidth="1"/>
    <col min="14605" max="14605" width="20.85546875" style="284" customWidth="1"/>
    <col min="14606" max="14606" width="20.28515625" style="284" bestFit="1" customWidth="1"/>
    <col min="14607" max="14607" width="18.7109375" style="284" customWidth="1"/>
    <col min="14608" max="14608" width="10.85546875" style="284" customWidth="1"/>
    <col min="14609" max="14609" width="19.140625" style="284" customWidth="1"/>
    <col min="14610" max="14610" width="17.7109375" style="284" bestFit="1" customWidth="1"/>
    <col min="14611" max="14611" width="22.7109375" style="284" bestFit="1" customWidth="1"/>
    <col min="14612" max="14612" width="22.85546875" style="284" bestFit="1" customWidth="1"/>
    <col min="14613" max="14848" width="11.42578125" style="284" customWidth="1"/>
    <col min="14849" max="14849" width="4.28515625" style="284" customWidth="1"/>
    <col min="14850" max="14850" width="43.140625" style="284" customWidth="1"/>
    <col min="14851" max="14851" width="21.85546875" style="284" customWidth="1"/>
    <col min="14852" max="14852" width="17.85546875" style="284" customWidth="1"/>
    <col min="14853" max="14853" width="17.7109375" style="284" customWidth="1"/>
    <col min="14854" max="14854" width="19.7109375" style="284" customWidth="1"/>
    <col min="14855" max="14855" width="16.85546875" style="284" customWidth="1"/>
    <col min="14856" max="14856" width="14" style="284" customWidth="1"/>
    <col min="14857" max="14857" width="16.85546875" style="284" customWidth="1"/>
    <col min="14858" max="14858" width="9.85546875" style="284" customWidth="1"/>
    <col min="14859" max="14859" width="20.28515625" style="284" customWidth="1"/>
    <col min="14860" max="14860" width="14.28515625" style="284" customWidth="1"/>
    <col min="14861" max="14861" width="20.85546875" style="284" customWidth="1"/>
    <col min="14862" max="14862" width="20.28515625" style="284" bestFit="1" customWidth="1"/>
    <col min="14863" max="14863" width="18.7109375" style="284" customWidth="1"/>
    <col min="14864" max="14864" width="10.85546875" style="284" customWidth="1"/>
    <col min="14865" max="14865" width="19.140625" style="284" customWidth="1"/>
    <col min="14866" max="14866" width="17.7109375" style="284" bestFit="1" customWidth="1"/>
    <col min="14867" max="14867" width="22.7109375" style="284" bestFit="1" customWidth="1"/>
    <col min="14868" max="14868" width="22.85546875" style="284" bestFit="1" customWidth="1"/>
    <col min="14869" max="15104" width="11.42578125" style="284" customWidth="1"/>
    <col min="15105" max="15105" width="4.28515625" style="284" customWidth="1"/>
    <col min="15106" max="15106" width="43.140625" style="284" customWidth="1"/>
    <col min="15107" max="15107" width="21.85546875" style="284" customWidth="1"/>
    <col min="15108" max="15108" width="17.85546875" style="284" customWidth="1"/>
    <col min="15109" max="15109" width="17.7109375" style="284" customWidth="1"/>
    <col min="15110" max="15110" width="19.7109375" style="284" customWidth="1"/>
    <col min="15111" max="15111" width="16.85546875" style="284" customWidth="1"/>
    <col min="15112" max="15112" width="14" style="284" customWidth="1"/>
    <col min="15113" max="15113" width="16.85546875" style="284" customWidth="1"/>
    <col min="15114" max="15114" width="9.85546875" style="284" customWidth="1"/>
    <col min="15115" max="15115" width="20.28515625" style="284" customWidth="1"/>
    <col min="15116" max="15116" width="14.28515625" style="284" customWidth="1"/>
    <col min="15117" max="15117" width="20.85546875" style="284" customWidth="1"/>
    <col min="15118" max="15118" width="20.28515625" style="284" bestFit="1" customWidth="1"/>
    <col min="15119" max="15119" width="18.7109375" style="284" customWidth="1"/>
    <col min="15120" max="15120" width="10.85546875" style="284" customWidth="1"/>
    <col min="15121" max="15121" width="19.140625" style="284" customWidth="1"/>
    <col min="15122" max="15122" width="17.7109375" style="284" bestFit="1" customWidth="1"/>
    <col min="15123" max="15123" width="22.7109375" style="284" bestFit="1" customWidth="1"/>
    <col min="15124" max="15124" width="22.85546875" style="284" bestFit="1" customWidth="1"/>
    <col min="15125" max="15360" width="11.42578125" style="284" customWidth="1"/>
    <col min="15361" max="15361" width="4.28515625" style="284" customWidth="1"/>
    <col min="15362" max="15362" width="43.140625" style="284" customWidth="1"/>
    <col min="15363" max="15363" width="21.85546875" style="284" customWidth="1"/>
    <col min="15364" max="15364" width="17.85546875" style="284" customWidth="1"/>
    <col min="15365" max="15365" width="17.7109375" style="284" customWidth="1"/>
    <col min="15366" max="15366" width="19.7109375" style="284" customWidth="1"/>
    <col min="15367" max="15367" width="16.85546875" style="284" customWidth="1"/>
    <col min="15368" max="15368" width="14" style="284" customWidth="1"/>
    <col min="15369" max="15369" width="16.85546875" style="284" customWidth="1"/>
    <col min="15370" max="15370" width="9.85546875" style="284" customWidth="1"/>
    <col min="15371" max="15371" width="20.28515625" style="284" customWidth="1"/>
    <col min="15372" max="15372" width="14.28515625" style="284" customWidth="1"/>
    <col min="15373" max="15373" width="20.85546875" style="284" customWidth="1"/>
    <col min="15374" max="15374" width="20.28515625" style="284" bestFit="1" customWidth="1"/>
    <col min="15375" max="15375" width="18.7109375" style="284" customWidth="1"/>
    <col min="15376" max="15376" width="10.85546875" style="284" customWidth="1"/>
    <col min="15377" max="15377" width="19.140625" style="284" customWidth="1"/>
    <col min="15378" max="15378" width="17.7109375" style="284" bestFit="1" customWidth="1"/>
    <col min="15379" max="15379" width="22.7109375" style="284" bestFit="1" customWidth="1"/>
    <col min="15380" max="15380" width="22.85546875" style="284" bestFit="1" customWidth="1"/>
    <col min="15381" max="15616" width="11.42578125" style="284" customWidth="1"/>
    <col min="15617" max="15617" width="4.28515625" style="284" customWidth="1"/>
    <col min="15618" max="15618" width="43.140625" style="284" customWidth="1"/>
    <col min="15619" max="15619" width="21.85546875" style="284" customWidth="1"/>
    <col min="15620" max="15620" width="17.85546875" style="284" customWidth="1"/>
    <col min="15621" max="15621" width="17.7109375" style="284" customWidth="1"/>
    <col min="15622" max="15622" width="19.7109375" style="284" customWidth="1"/>
    <col min="15623" max="15623" width="16.85546875" style="284" customWidth="1"/>
    <col min="15624" max="15624" width="14" style="284" customWidth="1"/>
    <col min="15625" max="15625" width="16.85546875" style="284" customWidth="1"/>
    <col min="15626" max="15626" width="9.85546875" style="284" customWidth="1"/>
    <col min="15627" max="15627" width="20.28515625" style="284" customWidth="1"/>
    <col min="15628" max="15628" width="14.28515625" style="284" customWidth="1"/>
    <col min="15629" max="15629" width="20.85546875" style="284" customWidth="1"/>
    <col min="15630" max="15630" width="20.28515625" style="284" bestFit="1" customWidth="1"/>
    <col min="15631" max="15631" width="18.7109375" style="284" customWidth="1"/>
    <col min="15632" max="15632" width="10.85546875" style="284" customWidth="1"/>
    <col min="15633" max="15633" width="19.140625" style="284" customWidth="1"/>
    <col min="15634" max="15634" width="17.7109375" style="284" bestFit="1" customWidth="1"/>
    <col min="15635" max="15635" width="22.7109375" style="284" bestFit="1" customWidth="1"/>
    <col min="15636" max="15636" width="22.85546875" style="284" bestFit="1" customWidth="1"/>
    <col min="15637" max="15872" width="11.42578125" style="284" customWidth="1"/>
    <col min="15873" max="15873" width="4.28515625" style="284" customWidth="1"/>
    <col min="15874" max="15874" width="43.140625" style="284" customWidth="1"/>
    <col min="15875" max="15875" width="21.85546875" style="284" customWidth="1"/>
    <col min="15876" max="15876" width="17.85546875" style="284" customWidth="1"/>
    <col min="15877" max="15877" width="17.7109375" style="284" customWidth="1"/>
    <col min="15878" max="15878" width="19.7109375" style="284" customWidth="1"/>
    <col min="15879" max="15879" width="16.85546875" style="284" customWidth="1"/>
    <col min="15880" max="15880" width="14" style="284" customWidth="1"/>
    <col min="15881" max="15881" width="16.85546875" style="284" customWidth="1"/>
    <col min="15882" max="15882" width="9.85546875" style="284" customWidth="1"/>
    <col min="15883" max="15883" width="20.28515625" style="284" customWidth="1"/>
    <col min="15884" max="15884" width="14.28515625" style="284" customWidth="1"/>
    <col min="15885" max="15885" width="20.85546875" style="284" customWidth="1"/>
    <col min="15886" max="15886" width="20.28515625" style="284" bestFit="1" customWidth="1"/>
    <col min="15887" max="15887" width="18.7109375" style="284" customWidth="1"/>
    <col min="15888" max="15888" width="10.85546875" style="284" customWidth="1"/>
    <col min="15889" max="15889" width="19.140625" style="284" customWidth="1"/>
    <col min="15890" max="15890" width="17.7109375" style="284" bestFit="1" customWidth="1"/>
    <col min="15891" max="15891" width="22.7109375" style="284" bestFit="1" customWidth="1"/>
    <col min="15892" max="15892" width="22.85546875" style="284" bestFit="1" customWidth="1"/>
    <col min="15893" max="16128" width="11.42578125" style="284" customWidth="1"/>
    <col min="16129" max="16129" width="4.28515625" style="284" customWidth="1"/>
    <col min="16130" max="16130" width="43.140625" style="284" customWidth="1"/>
    <col min="16131" max="16131" width="21.85546875" style="284" customWidth="1"/>
    <col min="16132" max="16132" width="17.85546875" style="284" customWidth="1"/>
    <col min="16133" max="16133" width="17.7109375" style="284" customWidth="1"/>
    <col min="16134" max="16134" width="19.7109375" style="284" customWidth="1"/>
    <col min="16135" max="16135" width="16.85546875" style="284" customWidth="1"/>
    <col min="16136" max="16136" width="14" style="284" customWidth="1"/>
    <col min="16137" max="16137" width="16.85546875" style="284" customWidth="1"/>
    <col min="16138" max="16138" width="9.85546875" style="284" customWidth="1"/>
    <col min="16139" max="16139" width="20.28515625" style="284" customWidth="1"/>
    <col min="16140" max="16140" width="14.28515625" style="284" customWidth="1"/>
    <col min="16141" max="16141" width="20.85546875" style="284" customWidth="1"/>
    <col min="16142" max="16142" width="20.28515625" style="284" bestFit="1" customWidth="1"/>
    <col min="16143" max="16143" width="18.7109375" style="284" customWidth="1"/>
    <col min="16144" max="16144" width="10.85546875" style="284" customWidth="1"/>
    <col min="16145" max="16145" width="19.140625" style="284" customWidth="1"/>
    <col min="16146" max="16146" width="17.7109375" style="284" bestFit="1" customWidth="1"/>
    <col min="16147" max="16147" width="22.7109375" style="284" bestFit="1" customWidth="1"/>
    <col min="16148" max="16148" width="22.85546875" style="284" bestFit="1" customWidth="1"/>
    <col min="16149" max="16384" width="11.42578125" style="284" customWidth="1"/>
  </cols>
  <sheetData>
    <row r="2" spans="1:17" ht="22.5">
      <c r="A2" s="283">
        <v>782</v>
      </c>
      <c r="B2" s="963" t="s">
        <v>3828</v>
      </c>
      <c r="C2" s="964"/>
      <c r="D2" s="964"/>
      <c r="E2" s="964"/>
      <c r="F2" s="964"/>
      <c r="G2" s="964"/>
      <c r="H2" s="964"/>
      <c r="I2" s="964"/>
      <c r="J2" s="964"/>
      <c r="K2" s="964"/>
    </row>
    <row r="3" spans="1:17" ht="36" customHeight="1">
      <c r="A3" s="965" t="s">
        <v>4809</v>
      </c>
      <c r="B3" s="965"/>
      <c r="C3" s="965"/>
      <c r="D3" s="965"/>
      <c r="E3" s="965"/>
      <c r="F3" s="965"/>
      <c r="G3" s="965"/>
      <c r="H3" s="965"/>
      <c r="I3" s="965"/>
      <c r="J3" s="965"/>
      <c r="K3" s="965"/>
    </row>
    <row r="4" spans="1:17" ht="11.1" customHeight="1"/>
    <row r="5" spans="1:17" ht="15">
      <c r="B5" s="287" t="s">
        <v>3829</v>
      </c>
    </row>
    <row r="6" spans="1:17" ht="12.75">
      <c r="A6" s="288"/>
      <c r="B6" s="289" t="s">
        <v>3830</v>
      </c>
      <c r="C6" s="290"/>
      <c r="D6" s="290"/>
      <c r="E6" s="290"/>
      <c r="F6" s="291" t="s">
        <v>4810</v>
      </c>
      <c r="G6" s="292"/>
      <c r="H6" s="292"/>
      <c r="I6" s="292"/>
      <c r="J6" s="292"/>
      <c r="K6" s="292"/>
      <c r="O6" s="293"/>
      <c r="Q6" s="293"/>
    </row>
    <row r="7" spans="1:17" ht="12.75">
      <c r="A7" s="294"/>
      <c r="B7" s="295" t="s">
        <v>3831</v>
      </c>
      <c r="C7" s="293"/>
      <c r="D7" s="293"/>
      <c r="E7" s="293"/>
      <c r="F7" s="295" t="s">
        <v>4811</v>
      </c>
      <c r="O7" s="293"/>
      <c r="Q7" s="293"/>
    </row>
    <row r="8" spans="1:17" ht="12.75">
      <c r="A8" s="296"/>
      <c r="B8" s="295" t="s">
        <v>3832</v>
      </c>
      <c r="C8" s="293"/>
      <c r="D8" s="293"/>
      <c r="F8" s="295" t="s">
        <v>3833</v>
      </c>
      <c r="O8" s="293"/>
      <c r="Q8" s="293"/>
    </row>
    <row r="9" spans="1:17" ht="12.75">
      <c r="A9" s="297"/>
      <c r="B9" s="295" t="s">
        <v>3834</v>
      </c>
      <c r="F9" s="295" t="s">
        <v>4812</v>
      </c>
    </row>
    <row r="10" spans="1:17" ht="12.75">
      <c r="A10" s="298"/>
      <c r="B10" s="295" t="s">
        <v>3835</v>
      </c>
      <c r="E10" s="299"/>
      <c r="F10" s="295" t="s">
        <v>4813</v>
      </c>
    </row>
    <row r="11" spans="1:17" ht="12" thickBot="1"/>
    <row r="12" spans="1:17" s="304" customFormat="1" ht="33.75">
      <c r="A12" s="300"/>
      <c r="B12" s="301" t="s">
        <v>3836</v>
      </c>
      <c r="C12" s="302" t="s">
        <v>3837</v>
      </c>
      <c r="D12" s="302" t="s">
        <v>3838</v>
      </c>
      <c r="E12" s="302" t="s">
        <v>3839</v>
      </c>
      <c r="F12" s="302" t="s">
        <v>3840</v>
      </c>
      <c r="G12" s="302" t="s">
        <v>3841</v>
      </c>
      <c r="H12" s="302" t="s">
        <v>3842</v>
      </c>
      <c r="I12" s="302" t="s">
        <v>3843</v>
      </c>
      <c r="J12" s="302" t="s">
        <v>3844</v>
      </c>
      <c r="K12" s="303" t="s">
        <v>3845</v>
      </c>
    </row>
    <row r="13" spans="1:17" s="304" customFormat="1" ht="22.5">
      <c r="A13" s="305" t="s">
        <v>4814</v>
      </c>
      <c r="B13" s="306" t="s">
        <v>3846</v>
      </c>
      <c r="C13" s="307" t="s">
        <v>3847</v>
      </c>
      <c r="D13" s="308" t="s">
        <v>3848</v>
      </c>
      <c r="E13" s="309">
        <v>320</v>
      </c>
      <c r="F13" s="310">
        <v>100</v>
      </c>
      <c r="G13" s="307" t="s">
        <v>3370</v>
      </c>
      <c r="H13" s="307" t="s">
        <v>3849</v>
      </c>
      <c r="I13" s="307" t="s">
        <v>3850</v>
      </c>
      <c r="J13" s="307" t="s">
        <v>3851</v>
      </c>
      <c r="K13" s="311" t="s">
        <v>3852</v>
      </c>
    </row>
    <row r="14" spans="1:17" s="304" customFormat="1">
      <c r="A14" s="312">
        <v>2</v>
      </c>
      <c r="B14" s="306" t="s">
        <v>3853</v>
      </c>
      <c r="C14" s="307" t="s">
        <v>3854</v>
      </c>
      <c r="D14" s="308" t="s">
        <v>3848</v>
      </c>
      <c r="E14" s="309">
        <v>540</v>
      </c>
      <c r="F14" s="310">
        <v>100</v>
      </c>
      <c r="G14" s="307" t="s">
        <v>3855</v>
      </c>
      <c r="H14" s="307" t="s">
        <v>3856</v>
      </c>
      <c r="I14" s="307" t="s">
        <v>3857</v>
      </c>
      <c r="J14" s="307" t="s">
        <v>3851</v>
      </c>
      <c r="K14" s="311" t="s">
        <v>3858</v>
      </c>
    </row>
    <row r="15" spans="1:17" s="304" customFormat="1">
      <c r="A15" s="312">
        <v>3</v>
      </c>
      <c r="B15" s="306" t="s">
        <v>3859</v>
      </c>
      <c r="C15" s="307" t="s">
        <v>3860</v>
      </c>
      <c r="D15" s="308" t="s">
        <v>3848</v>
      </c>
      <c r="E15" s="309">
        <v>555</v>
      </c>
      <c r="F15" s="310">
        <v>100</v>
      </c>
      <c r="G15" s="307" t="s">
        <v>3861</v>
      </c>
      <c r="H15" s="307" t="s">
        <v>3862</v>
      </c>
      <c r="I15" s="307" t="s">
        <v>3863</v>
      </c>
      <c r="J15" s="307" t="s">
        <v>3851</v>
      </c>
      <c r="K15" s="311" t="s">
        <v>3864</v>
      </c>
    </row>
    <row r="16" spans="1:17" s="304" customFormat="1">
      <c r="A16" s="313">
        <v>4</v>
      </c>
      <c r="B16" s="314" t="s">
        <v>3865</v>
      </c>
      <c r="C16" s="315" t="s">
        <v>3866</v>
      </c>
      <c r="D16" s="316" t="s">
        <v>3848</v>
      </c>
      <c r="E16" s="317">
        <v>90</v>
      </c>
      <c r="F16" s="318">
        <v>100</v>
      </c>
      <c r="G16" s="315" t="s">
        <v>3326</v>
      </c>
      <c r="H16" s="315" t="s">
        <v>3867</v>
      </c>
      <c r="I16" s="315" t="s">
        <v>3868</v>
      </c>
      <c r="J16" s="315" t="s">
        <v>3851</v>
      </c>
      <c r="K16" s="319" t="s">
        <v>3869</v>
      </c>
    </row>
    <row r="17" spans="1:11" s="304" customFormat="1">
      <c r="A17" s="313">
        <v>5</v>
      </c>
      <c r="B17" s="314" t="s">
        <v>3870</v>
      </c>
      <c r="C17" s="315" t="s">
        <v>3871</v>
      </c>
      <c r="D17" s="316" t="s">
        <v>3848</v>
      </c>
      <c r="E17" s="317">
        <v>135</v>
      </c>
      <c r="F17" s="318">
        <v>100</v>
      </c>
      <c r="G17" s="315" t="s">
        <v>3872</v>
      </c>
      <c r="H17" s="315" t="s">
        <v>3867</v>
      </c>
      <c r="I17" s="315" t="s">
        <v>3868</v>
      </c>
      <c r="J17" s="315" t="s">
        <v>3851</v>
      </c>
      <c r="K17" s="319" t="s">
        <v>3873</v>
      </c>
    </row>
    <row r="18" spans="1:11" s="304" customFormat="1">
      <c r="A18" s="313">
        <v>6</v>
      </c>
      <c r="B18" s="314" t="s">
        <v>3874</v>
      </c>
      <c r="C18" s="315" t="s">
        <v>3875</v>
      </c>
      <c r="D18" s="316" t="s">
        <v>3848</v>
      </c>
      <c r="E18" s="317">
        <v>40</v>
      </c>
      <c r="F18" s="318">
        <v>100</v>
      </c>
      <c r="G18" s="315" t="s">
        <v>3876</v>
      </c>
      <c r="H18" s="315" t="s">
        <v>3877</v>
      </c>
      <c r="I18" s="315" t="s">
        <v>3878</v>
      </c>
      <c r="J18" s="315" t="s">
        <v>3879</v>
      </c>
      <c r="K18" s="319" t="s">
        <v>3880</v>
      </c>
    </row>
    <row r="19" spans="1:11" s="304" customFormat="1">
      <c r="A19" s="313">
        <v>7</v>
      </c>
      <c r="B19" s="314" t="s">
        <v>3881</v>
      </c>
      <c r="C19" s="315" t="s">
        <v>3882</v>
      </c>
      <c r="D19" s="316" t="s">
        <v>3848</v>
      </c>
      <c r="E19" s="317">
        <v>95</v>
      </c>
      <c r="F19" s="318">
        <v>100</v>
      </c>
      <c r="G19" s="315" t="s">
        <v>3883</v>
      </c>
      <c r="H19" s="315" t="s">
        <v>3884</v>
      </c>
      <c r="I19" s="315" t="s">
        <v>3885</v>
      </c>
      <c r="J19" s="315" t="s">
        <v>3879</v>
      </c>
      <c r="K19" s="319" t="s">
        <v>3886</v>
      </c>
    </row>
    <row r="20" spans="1:11" s="304" customFormat="1">
      <c r="A20" s="313">
        <v>8</v>
      </c>
      <c r="B20" s="314" t="s">
        <v>3887</v>
      </c>
      <c r="C20" s="315" t="s">
        <v>3888</v>
      </c>
      <c r="D20" s="316" t="s">
        <v>3848</v>
      </c>
      <c r="E20" s="317">
        <v>40</v>
      </c>
      <c r="F20" s="318">
        <v>100</v>
      </c>
      <c r="G20" s="315" t="s">
        <v>3876</v>
      </c>
      <c r="H20" s="315" t="s">
        <v>3877</v>
      </c>
      <c r="I20" s="315" t="s">
        <v>3878</v>
      </c>
      <c r="J20" s="315" t="s">
        <v>3879</v>
      </c>
      <c r="K20" s="319" t="s">
        <v>3889</v>
      </c>
    </row>
    <row r="21" spans="1:11" s="304" customFormat="1">
      <c r="A21" s="313">
        <v>9</v>
      </c>
      <c r="B21" s="314" t="s">
        <v>3890</v>
      </c>
      <c r="C21" s="315" t="s">
        <v>3891</v>
      </c>
      <c r="D21" s="316" t="s">
        <v>3848</v>
      </c>
      <c r="E21" s="317">
        <v>49.5</v>
      </c>
      <c r="F21" s="318">
        <v>100</v>
      </c>
      <c r="G21" s="315" t="s">
        <v>3326</v>
      </c>
      <c r="H21" s="315" t="s">
        <v>3892</v>
      </c>
      <c r="I21" s="315" t="s">
        <v>3893</v>
      </c>
      <c r="J21" s="315" t="s">
        <v>3879</v>
      </c>
      <c r="K21" s="319" t="s">
        <v>3894</v>
      </c>
    </row>
    <row r="22" spans="1:11" s="304" customFormat="1">
      <c r="A22" s="313">
        <v>10</v>
      </c>
      <c r="B22" s="314" t="s">
        <v>3895</v>
      </c>
      <c r="C22" s="315" t="s">
        <v>3896</v>
      </c>
      <c r="D22" s="316" t="s">
        <v>3848</v>
      </c>
      <c r="E22" s="317">
        <v>49.5</v>
      </c>
      <c r="F22" s="318">
        <v>100</v>
      </c>
      <c r="G22" s="315" t="s">
        <v>3326</v>
      </c>
      <c r="H22" s="315" t="s">
        <v>3897</v>
      </c>
      <c r="I22" s="315" t="s">
        <v>3898</v>
      </c>
      <c r="J22" s="315" t="s">
        <v>3879</v>
      </c>
      <c r="K22" s="319" t="s">
        <v>3899</v>
      </c>
    </row>
    <row r="23" spans="1:11" s="304" customFormat="1">
      <c r="A23" s="320"/>
      <c r="B23" s="966" t="s">
        <v>3900</v>
      </c>
      <c r="C23" s="967"/>
      <c r="D23" s="968"/>
      <c r="E23" s="321">
        <f>SUM(E13:E22)</f>
        <v>1914</v>
      </c>
      <c r="F23" s="322"/>
      <c r="G23" s="323"/>
      <c r="H23" s="323"/>
      <c r="I23" s="323"/>
      <c r="J23" s="323"/>
      <c r="K23" s="324"/>
    </row>
    <row r="24" spans="1:11" s="304" customFormat="1">
      <c r="A24" s="313">
        <v>11</v>
      </c>
      <c r="B24" s="314" t="s">
        <v>3901</v>
      </c>
      <c r="C24" s="315" t="s">
        <v>3902</v>
      </c>
      <c r="D24" s="325" t="s">
        <v>3848</v>
      </c>
      <c r="E24" s="317">
        <v>50</v>
      </c>
      <c r="F24" s="318">
        <v>100</v>
      </c>
      <c r="G24" s="315" t="s">
        <v>3903</v>
      </c>
      <c r="H24" s="315" t="s">
        <v>3904</v>
      </c>
      <c r="I24" s="315" t="s">
        <v>3905</v>
      </c>
      <c r="J24" s="315" t="s">
        <v>3879</v>
      </c>
      <c r="K24" s="319" t="s">
        <v>3906</v>
      </c>
    </row>
    <row r="25" spans="1:11" s="304" customFormat="1">
      <c r="A25" s="313">
        <v>12</v>
      </c>
      <c r="B25" s="314" t="s">
        <v>3907</v>
      </c>
      <c r="C25" s="315" t="s">
        <v>3908</v>
      </c>
      <c r="D25" s="325" t="s">
        <v>3848</v>
      </c>
      <c r="E25" s="317">
        <v>135</v>
      </c>
      <c r="F25" s="318">
        <v>100</v>
      </c>
      <c r="G25" s="315" t="s">
        <v>3909</v>
      </c>
      <c r="H25" s="315" t="s">
        <v>3910</v>
      </c>
      <c r="I25" s="315" t="s">
        <v>3911</v>
      </c>
      <c r="J25" s="315" t="s">
        <v>3879</v>
      </c>
      <c r="K25" s="319" t="s">
        <v>3912</v>
      </c>
    </row>
    <row r="26" spans="1:11" s="304" customFormat="1">
      <c r="A26" s="313">
        <v>13</v>
      </c>
      <c r="B26" s="306" t="s">
        <v>3913</v>
      </c>
      <c r="C26" s="307" t="s">
        <v>3914</v>
      </c>
      <c r="D26" s="326" t="s">
        <v>3848</v>
      </c>
      <c r="E26" s="309">
        <v>887</v>
      </c>
      <c r="F26" s="310">
        <v>100</v>
      </c>
      <c r="G26" s="307" t="s">
        <v>3861</v>
      </c>
      <c r="H26" s="307" t="s">
        <v>3915</v>
      </c>
      <c r="I26" s="307" t="s">
        <v>3916</v>
      </c>
      <c r="J26" s="307" t="s">
        <v>3917</v>
      </c>
      <c r="K26" s="311" t="s">
        <v>3918</v>
      </c>
    </row>
    <row r="27" spans="1:11" s="304" customFormat="1">
      <c r="A27" s="313">
        <v>14</v>
      </c>
      <c r="B27" s="306" t="s">
        <v>3919</v>
      </c>
      <c r="C27" s="307" t="s">
        <v>3920</v>
      </c>
      <c r="D27" s="326" t="s">
        <v>3848</v>
      </c>
      <c r="E27" s="309">
        <v>96</v>
      </c>
      <c r="F27" s="310">
        <v>100</v>
      </c>
      <c r="G27" s="307" t="s">
        <v>3883</v>
      </c>
      <c r="H27" s="307" t="s">
        <v>3921</v>
      </c>
      <c r="I27" s="307" t="s">
        <v>3922</v>
      </c>
      <c r="J27" s="307" t="s">
        <v>3923</v>
      </c>
      <c r="K27" s="311" t="s">
        <v>3924</v>
      </c>
    </row>
    <row r="28" spans="1:11" s="304" customFormat="1">
      <c r="A28" s="313">
        <v>15</v>
      </c>
      <c r="B28" s="306" t="s">
        <v>3925</v>
      </c>
      <c r="C28" s="307" t="s">
        <v>3926</v>
      </c>
      <c r="D28" s="326" t="s">
        <v>3848</v>
      </c>
      <c r="E28" s="309">
        <v>1060</v>
      </c>
      <c r="F28" s="310">
        <v>100</v>
      </c>
      <c r="G28" s="307" t="s">
        <v>3903</v>
      </c>
      <c r="H28" s="307" t="s">
        <v>3927</v>
      </c>
      <c r="I28" s="307" t="s">
        <v>3928</v>
      </c>
      <c r="J28" s="307" t="s">
        <v>3923</v>
      </c>
      <c r="K28" s="311" t="s">
        <v>3929</v>
      </c>
    </row>
    <row r="29" spans="1:11" s="304" customFormat="1">
      <c r="A29" s="327" t="s">
        <v>4815</v>
      </c>
      <c r="B29" s="306" t="s">
        <v>3930</v>
      </c>
      <c r="C29" s="307" t="s">
        <v>3931</v>
      </c>
      <c r="D29" s="326" t="s">
        <v>3848</v>
      </c>
      <c r="E29" s="309">
        <v>225</v>
      </c>
      <c r="F29" s="310">
        <v>100</v>
      </c>
      <c r="G29" s="307" t="s">
        <v>3932</v>
      </c>
      <c r="H29" s="307" t="s">
        <v>3884</v>
      </c>
      <c r="I29" s="307" t="s">
        <v>3933</v>
      </c>
      <c r="J29" s="307" t="s">
        <v>3934</v>
      </c>
      <c r="K29" s="311" t="s">
        <v>3935</v>
      </c>
    </row>
    <row r="30" spans="1:11" s="304" customFormat="1">
      <c r="A30" s="327">
        <v>17</v>
      </c>
      <c r="B30" s="306" t="s">
        <v>3936</v>
      </c>
      <c r="C30" s="307" t="s">
        <v>3937</v>
      </c>
      <c r="D30" s="326" t="s">
        <v>3848</v>
      </c>
      <c r="E30" s="309">
        <v>51</v>
      </c>
      <c r="F30" s="310">
        <v>100</v>
      </c>
      <c r="G30" s="307" t="s">
        <v>3938</v>
      </c>
      <c r="H30" s="307" t="s">
        <v>3939</v>
      </c>
      <c r="I30" s="307" t="s">
        <v>3940</v>
      </c>
      <c r="J30" s="307" t="s">
        <v>3923</v>
      </c>
      <c r="K30" s="311" t="s">
        <v>3941</v>
      </c>
    </row>
    <row r="31" spans="1:11" s="333" customFormat="1">
      <c r="A31" s="328"/>
      <c r="B31" s="969" t="s">
        <v>3942</v>
      </c>
      <c r="C31" s="970"/>
      <c r="D31" s="971"/>
      <c r="E31" s="329">
        <f>SUM(E24:E30)</f>
        <v>2504</v>
      </c>
      <c r="F31" s="330"/>
      <c r="G31" s="331"/>
      <c r="H31" s="331"/>
      <c r="I31" s="331"/>
      <c r="J31" s="331"/>
      <c r="K31" s="332"/>
    </row>
    <row r="32" spans="1:11" s="304" customFormat="1">
      <c r="A32" s="313">
        <v>18</v>
      </c>
      <c r="B32" s="306" t="s">
        <v>3943</v>
      </c>
      <c r="C32" s="307" t="s">
        <v>3944</v>
      </c>
      <c r="D32" s="326" t="s">
        <v>3848</v>
      </c>
      <c r="E32" s="309">
        <v>1124</v>
      </c>
      <c r="F32" s="310">
        <v>100</v>
      </c>
      <c r="G32" s="307" t="s">
        <v>3370</v>
      </c>
      <c r="H32" s="307" t="s">
        <v>3945</v>
      </c>
      <c r="I32" s="307" t="s">
        <v>3946</v>
      </c>
      <c r="J32" s="307" t="s">
        <v>3947</v>
      </c>
      <c r="K32" s="311" t="s">
        <v>3948</v>
      </c>
    </row>
    <row r="33" spans="1:11" s="304" customFormat="1">
      <c r="A33" s="334" t="s">
        <v>4816</v>
      </c>
      <c r="B33" s="306" t="s">
        <v>3949</v>
      </c>
      <c r="C33" s="307" t="s">
        <v>3950</v>
      </c>
      <c r="D33" s="326" t="s">
        <v>3848</v>
      </c>
      <c r="E33" s="309">
        <v>180</v>
      </c>
      <c r="F33" s="310">
        <v>100</v>
      </c>
      <c r="G33" s="307" t="s">
        <v>3909</v>
      </c>
      <c r="H33" s="307" t="s">
        <v>3951</v>
      </c>
      <c r="I33" s="307" t="s">
        <v>3952</v>
      </c>
      <c r="J33" s="307" t="s">
        <v>3953</v>
      </c>
      <c r="K33" s="311" t="s">
        <v>3948</v>
      </c>
    </row>
    <row r="34" spans="1:11" s="304" customFormat="1" ht="22.5">
      <c r="A34" s="334" t="s">
        <v>4817</v>
      </c>
      <c r="B34" s="306" t="s">
        <v>3954</v>
      </c>
      <c r="C34" s="307" t="s">
        <v>3955</v>
      </c>
      <c r="D34" s="326" t="s">
        <v>3848</v>
      </c>
      <c r="E34" s="309">
        <v>0</v>
      </c>
      <c r="F34" s="310">
        <v>100</v>
      </c>
      <c r="G34" s="307" t="s">
        <v>3909</v>
      </c>
      <c r="H34" s="307" t="s">
        <v>3956</v>
      </c>
      <c r="I34" s="307" t="s">
        <v>3952</v>
      </c>
      <c r="J34" s="307" t="s">
        <v>3953</v>
      </c>
      <c r="K34" s="311" t="s">
        <v>3948</v>
      </c>
    </row>
    <row r="35" spans="1:11" s="304" customFormat="1">
      <c r="A35" s="313">
        <v>20</v>
      </c>
      <c r="B35" s="306" t="s">
        <v>3957</v>
      </c>
      <c r="C35" s="307" t="s">
        <v>3958</v>
      </c>
      <c r="D35" s="326" t="s">
        <v>3848</v>
      </c>
      <c r="E35" s="309">
        <v>830</v>
      </c>
      <c r="F35" s="310">
        <v>100</v>
      </c>
      <c r="G35" s="307" t="s">
        <v>3876</v>
      </c>
      <c r="H35" s="307" t="s">
        <v>3959</v>
      </c>
      <c r="I35" s="307" t="s">
        <v>3960</v>
      </c>
      <c r="J35" s="307" t="s">
        <v>3961</v>
      </c>
      <c r="K35" s="311" t="s">
        <v>3962</v>
      </c>
    </row>
    <row r="36" spans="1:11" s="304" customFormat="1">
      <c r="A36" s="313">
        <v>21</v>
      </c>
      <c r="B36" s="306" t="s">
        <v>3963</v>
      </c>
      <c r="C36" s="307" t="s">
        <v>3964</v>
      </c>
      <c r="D36" s="326" t="s">
        <v>3848</v>
      </c>
      <c r="E36" s="309">
        <v>169</v>
      </c>
      <c r="F36" s="310">
        <v>100</v>
      </c>
      <c r="G36" s="307" t="s">
        <v>3965</v>
      </c>
      <c r="H36" s="307" t="s">
        <v>3966</v>
      </c>
      <c r="I36" s="307" t="s">
        <v>3967</v>
      </c>
      <c r="J36" s="307" t="s">
        <v>3968</v>
      </c>
      <c r="K36" s="311" t="s">
        <v>3969</v>
      </c>
    </row>
    <row r="37" spans="1:11" s="304" customFormat="1" ht="22.5">
      <c r="A37" s="334" t="s">
        <v>4818</v>
      </c>
      <c r="B37" s="306" t="s">
        <v>3970</v>
      </c>
      <c r="C37" s="307" t="s">
        <v>3971</v>
      </c>
      <c r="D37" s="326" t="s">
        <v>3848</v>
      </c>
      <c r="E37" s="309">
        <v>265</v>
      </c>
      <c r="F37" s="310">
        <v>100</v>
      </c>
      <c r="G37" s="307" t="s">
        <v>3370</v>
      </c>
      <c r="H37" s="307" t="s">
        <v>3972</v>
      </c>
      <c r="I37" s="307" t="s">
        <v>3973</v>
      </c>
      <c r="J37" s="307" t="s">
        <v>3974</v>
      </c>
      <c r="K37" s="311" t="s">
        <v>3969</v>
      </c>
    </row>
    <row r="38" spans="1:11" s="304" customFormat="1">
      <c r="A38" s="313">
        <v>22</v>
      </c>
      <c r="B38" s="306" t="s">
        <v>3975</v>
      </c>
      <c r="C38" s="307" t="s">
        <v>3976</v>
      </c>
      <c r="D38" s="326" t="s">
        <v>3848</v>
      </c>
      <c r="E38" s="309">
        <v>80</v>
      </c>
      <c r="F38" s="310">
        <v>100</v>
      </c>
      <c r="G38" s="307" t="s">
        <v>3977</v>
      </c>
      <c r="H38" s="307" t="s">
        <v>3978</v>
      </c>
      <c r="I38" s="307" t="s">
        <v>3979</v>
      </c>
      <c r="J38" s="307" t="s">
        <v>3953</v>
      </c>
      <c r="K38" s="311" t="s">
        <v>3980</v>
      </c>
    </row>
    <row r="39" spans="1:11" s="304" customFormat="1">
      <c r="A39" s="313">
        <v>23</v>
      </c>
      <c r="B39" s="306" t="s">
        <v>4819</v>
      </c>
      <c r="C39" s="307" t="s">
        <v>3981</v>
      </c>
      <c r="D39" s="326" t="s">
        <v>3848</v>
      </c>
      <c r="E39" s="309">
        <v>520</v>
      </c>
      <c r="F39" s="310">
        <v>100</v>
      </c>
      <c r="G39" s="307" t="s">
        <v>3872</v>
      </c>
      <c r="H39" s="307" t="s">
        <v>3982</v>
      </c>
      <c r="I39" s="307" t="s">
        <v>3983</v>
      </c>
      <c r="J39" s="307" t="s">
        <v>3968</v>
      </c>
      <c r="K39" s="311" t="s">
        <v>3984</v>
      </c>
    </row>
    <row r="40" spans="1:11" s="304" customFormat="1">
      <c r="A40" s="313">
        <v>24</v>
      </c>
      <c r="B40" s="306" t="s">
        <v>3985</v>
      </c>
      <c r="C40" s="307" t="s">
        <v>3986</v>
      </c>
      <c r="D40" s="326" t="s">
        <v>3848</v>
      </c>
      <c r="E40" s="309">
        <v>500</v>
      </c>
      <c r="F40" s="310">
        <v>100</v>
      </c>
      <c r="G40" s="307" t="s">
        <v>3370</v>
      </c>
      <c r="H40" s="307" t="s">
        <v>3849</v>
      </c>
      <c r="I40" s="307" t="s">
        <v>3987</v>
      </c>
      <c r="J40" s="307" t="s">
        <v>3988</v>
      </c>
      <c r="K40" s="311" t="s">
        <v>3989</v>
      </c>
    </row>
    <row r="41" spans="1:11" s="304" customFormat="1">
      <c r="A41" s="334" t="s">
        <v>4820</v>
      </c>
      <c r="B41" s="306" t="s">
        <v>3990</v>
      </c>
      <c r="C41" s="307" t="s">
        <v>3931</v>
      </c>
      <c r="D41" s="326" t="s">
        <v>3848</v>
      </c>
      <c r="E41" s="309">
        <v>225</v>
      </c>
      <c r="F41" s="310">
        <v>100</v>
      </c>
      <c r="G41" s="307" t="s">
        <v>3932</v>
      </c>
      <c r="H41" s="307" t="s">
        <v>3884</v>
      </c>
      <c r="I41" s="307" t="s">
        <v>3933</v>
      </c>
      <c r="J41" s="307" t="s">
        <v>3934</v>
      </c>
      <c r="K41" s="311" t="s">
        <v>3991</v>
      </c>
    </row>
    <row r="42" spans="1:11" s="333" customFormat="1">
      <c r="A42" s="328"/>
      <c r="B42" s="969" t="s">
        <v>3992</v>
      </c>
      <c r="C42" s="970"/>
      <c r="D42" s="971"/>
      <c r="E42" s="329">
        <f>SUM(E32:E41)</f>
        <v>3893</v>
      </c>
      <c r="F42" s="330"/>
      <c r="G42" s="331"/>
      <c r="H42" s="331"/>
      <c r="I42" s="331"/>
      <c r="J42" s="331"/>
      <c r="K42" s="332"/>
    </row>
    <row r="43" spans="1:11" s="304" customFormat="1" ht="22.5">
      <c r="A43" s="313">
        <v>25</v>
      </c>
      <c r="B43" s="306" t="s">
        <v>3993</v>
      </c>
      <c r="C43" s="307" t="s">
        <v>3994</v>
      </c>
      <c r="D43" s="326" t="s">
        <v>3848</v>
      </c>
      <c r="E43" s="309">
        <v>147</v>
      </c>
      <c r="F43" s="310">
        <v>100</v>
      </c>
      <c r="G43" s="307" t="s">
        <v>3909</v>
      </c>
      <c r="H43" s="307" t="s">
        <v>3995</v>
      </c>
      <c r="I43" s="307" t="s">
        <v>3996</v>
      </c>
      <c r="J43" s="307" t="s">
        <v>3997</v>
      </c>
      <c r="K43" s="311" t="s">
        <v>3998</v>
      </c>
    </row>
    <row r="44" spans="1:11" s="304" customFormat="1">
      <c r="A44" s="313">
        <v>26</v>
      </c>
      <c r="B44" s="306" t="s">
        <v>3999</v>
      </c>
      <c r="C44" s="307" t="s">
        <v>4000</v>
      </c>
      <c r="D44" s="326" t="s">
        <v>3848</v>
      </c>
      <c r="E44" s="309">
        <v>750</v>
      </c>
      <c r="F44" s="310">
        <v>100</v>
      </c>
      <c r="G44" s="307" t="s">
        <v>3370</v>
      </c>
      <c r="H44" s="307" t="s">
        <v>4001</v>
      </c>
      <c r="I44" s="307" t="s">
        <v>4002</v>
      </c>
      <c r="J44" s="307" t="s">
        <v>4003</v>
      </c>
      <c r="K44" s="311" t="s">
        <v>4004</v>
      </c>
    </row>
    <row r="45" spans="1:11" s="304" customFormat="1">
      <c r="A45" s="313">
        <v>27</v>
      </c>
      <c r="B45" s="306" t="s">
        <v>4005</v>
      </c>
      <c r="C45" s="307" t="s">
        <v>4006</v>
      </c>
      <c r="D45" s="326" t="s">
        <v>3848</v>
      </c>
      <c r="E45" s="309">
        <v>600</v>
      </c>
      <c r="F45" s="310">
        <v>100</v>
      </c>
      <c r="G45" s="307" t="s">
        <v>3909</v>
      </c>
      <c r="H45" s="307" t="s">
        <v>4007</v>
      </c>
      <c r="I45" s="307" t="s">
        <v>4008</v>
      </c>
      <c r="J45" s="307" t="s">
        <v>3961</v>
      </c>
      <c r="K45" s="311" t="s">
        <v>4009</v>
      </c>
    </row>
    <row r="46" spans="1:11" s="304" customFormat="1">
      <c r="A46" s="313">
        <v>28</v>
      </c>
      <c r="B46" s="306" t="s">
        <v>4010</v>
      </c>
      <c r="C46" s="307" t="s">
        <v>4011</v>
      </c>
      <c r="D46" s="326" t="s">
        <v>3848</v>
      </c>
      <c r="E46" s="309">
        <v>97</v>
      </c>
      <c r="F46" s="310">
        <v>100</v>
      </c>
      <c r="G46" s="307" t="s">
        <v>3349</v>
      </c>
      <c r="H46" s="307" t="s">
        <v>4012</v>
      </c>
      <c r="I46" s="307" t="s">
        <v>4013</v>
      </c>
      <c r="J46" s="307" t="s">
        <v>4014</v>
      </c>
      <c r="K46" s="311" t="s">
        <v>4015</v>
      </c>
    </row>
    <row r="47" spans="1:11" s="304" customFormat="1">
      <c r="A47" s="313">
        <v>29</v>
      </c>
      <c r="B47" s="306" t="s">
        <v>4016</v>
      </c>
      <c r="C47" s="307" t="s">
        <v>4017</v>
      </c>
      <c r="D47" s="326" t="s">
        <v>3848</v>
      </c>
      <c r="E47" s="309">
        <v>328</v>
      </c>
      <c r="F47" s="310">
        <v>100</v>
      </c>
      <c r="G47" s="307" t="s">
        <v>4018</v>
      </c>
      <c r="H47" s="307" t="s">
        <v>4019</v>
      </c>
      <c r="I47" s="307" t="s">
        <v>4020</v>
      </c>
      <c r="J47" s="307" t="s">
        <v>4014</v>
      </c>
      <c r="K47" s="311" t="s">
        <v>4021</v>
      </c>
    </row>
    <row r="48" spans="1:11" s="304" customFormat="1">
      <c r="A48" s="313">
        <v>30</v>
      </c>
      <c r="B48" s="306" t="s">
        <v>4022</v>
      </c>
      <c r="C48" s="307" t="s">
        <v>4023</v>
      </c>
      <c r="D48" s="326" t="s">
        <v>3848</v>
      </c>
      <c r="E48" s="309">
        <v>134</v>
      </c>
      <c r="F48" s="310">
        <v>100</v>
      </c>
      <c r="G48" s="307" t="s">
        <v>4018</v>
      </c>
      <c r="H48" s="307" t="s">
        <v>4024</v>
      </c>
      <c r="I48" s="307" t="s">
        <v>4025</v>
      </c>
      <c r="J48" s="307" t="s">
        <v>4026</v>
      </c>
      <c r="K48" s="311" t="s">
        <v>4027</v>
      </c>
    </row>
    <row r="49" spans="1:11" s="304" customFormat="1">
      <c r="A49" s="327" t="s">
        <v>4821</v>
      </c>
      <c r="B49" s="306" t="s">
        <v>4028</v>
      </c>
      <c r="C49" s="307" t="s">
        <v>4029</v>
      </c>
      <c r="D49" s="326" t="s">
        <v>3848</v>
      </c>
      <c r="E49" s="309">
        <v>528</v>
      </c>
      <c r="F49" s="310">
        <v>100</v>
      </c>
      <c r="G49" s="307" t="s">
        <v>3876</v>
      </c>
      <c r="H49" s="307" t="s">
        <v>3982</v>
      </c>
      <c r="I49" s="307" t="s">
        <v>3886</v>
      </c>
      <c r="J49" s="307" t="s">
        <v>3974</v>
      </c>
      <c r="K49" s="311" t="s">
        <v>4030</v>
      </c>
    </row>
    <row r="50" spans="1:11" s="333" customFormat="1">
      <c r="A50" s="328"/>
      <c r="B50" s="969" t="s">
        <v>4031</v>
      </c>
      <c r="C50" s="970"/>
      <c r="D50" s="971"/>
      <c r="E50" s="329">
        <f>SUM(E43:E49)</f>
        <v>2584</v>
      </c>
      <c r="F50" s="330"/>
      <c r="G50" s="331"/>
      <c r="H50" s="331"/>
      <c r="I50" s="331"/>
      <c r="J50" s="331"/>
      <c r="K50" s="332"/>
    </row>
    <row r="51" spans="1:11" s="304" customFormat="1">
      <c r="A51" s="327" t="s">
        <v>4822</v>
      </c>
      <c r="B51" s="306" t="s">
        <v>4032</v>
      </c>
      <c r="C51" s="307" t="s">
        <v>4029</v>
      </c>
      <c r="D51" s="326" t="s">
        <v>3848</v>
      </c>
      <c r="E51" s="309">
        <v>528</v>
      </c>
      <c r="F51" s="310">
        <v>100</v>
      </c>
      <c r="G51" s="307" t="s">
        <v>3876</v>
      </c>
      <c r="H51" s="307" t="s">
        <v>3982</v>
      </c>
      <c r="I51" s="307" t="s">
        <v>3886</v>
      </c>
      <c r="J51" s="307" t="s">
        <v>3974</v>
      </c>
      <c r="K51" s="311" t="s">
        <v>4033</v>
      </c>
    </row>
    <row r="52" spans="1:11" s="304" customFormat="1">
      <c r="A52" s="313">
        <v>32</v>
      </c>
      <c r="B52" s="306" t="s">
        <v>4034</v>
      </c>
      <c r="C52" s="307" t="s">
        <v>4035</v>
      </c>
      <c r="D52" s="326" t="s">
        <v>3848</v>
      </c>
      <c r="E52" s="309">
        <v>500</v>
      </c>
      <c r="F52" s="310">
        <v>100</v>
      </c>
      <c r="G52" s="307" t="s">
        <v>4036</v>
      </c>
      <c r="H52" s="307" t="s">
        <v>3995</v>
      </c>
      <c r="I52" s="307" t="s">
        <v>4037</v>
      </c>
      <c r="J52" s="307" t="s">
        <v>4038</v>
      </c>
      <c r="K52" s="311" t="s">
        <v>4039</v>
      </c>
    </row>
    <row r="53" spans="1:11" s="304" customFormat="1">
      <c r="A53" s="313">
        <v>33</v>
      </c>
      <c r="B53" s="306" t="s">
        <v>4040</v>
      </c>
      <c r="C53" s="307" t="s">
        <v>4041</v>
      </c>
      <c r="D53" s="326" t="s">
        <v>3848</v>
      </c>
      <c r="E53" s="309">
        <v>250</v>
      </c>
      <c r="F53" s="310">
        <v>100</v>
      </c>
      <c r="G53" s="307" t="s">
        <v>3977</v>
      </c>
      <c r="H53" s="307" t="s">
        <v>4042</v>
      </c>
      <c r="I53" s="307" t="s">
        <v>4043</v>
      </c>
      <c r="J53" s="307" t="s">
        <v>4044</v>
      </c>
      <c r="K53" s="311" t="s">
        <v>4045</v>
      </c>
    </row>
    <row r="54" spans="1:11" s="304" customFormat="1">
      <c r="A54" s="313">
        <v>34</v>
      </c>
      <c r="B54" s="306" t="s">
        <v>4046</v>
      </c>
      <c r="C54" s="307" t="s">
        <v>4047</v>
      </c>
      <c r="D54" s="326" t="s">
        <v>3848</v>
      </c>
      <c r="E54" s="309">
        <v>546</v>
      </c>
      <c r="F54" s="310">
        <v>100</v>
      </c>
      <c r="G54" s="307" t="s">
        <v>3326</v>
      </c>
      <c r="H54" s="307" t="s">
        <v>4048</v>
      </c>
      <c r="I54" s="307" t="s">
        <v>4049</v>
      </c>
      <c r="J54" s="307" t="s">
        <v>4050</v>
      </c>
      <c r="K54" s="311" t="s">
        <v>4051</v>
      </c>
    </row>
    <row r="55" spans="1:11" s="304" customFormat="1" ht="22.5">
      <c r="A55" s="313">
        <v>35</v>
      </c>
      <c r="B55" s="306" t="s">
        <v>4052</v>
      </c>
      <c r="C55" s="307" t="s">
        <v>4053</v>
      </c>
      <c r="D55" s="326" t="s">
        <v>3848</v>
      </c>
      <c r="E55" s="309">
        <v>96</v>
      </c>
      <c r="F55" s="310">
        <v>100</v>
      </c>
      <c r="G55" s="307" t="s">
        <v>3872</v>
      </c>
      <c r="H55" s="307" t="s">
        <v>4054</v>
      </c>
      <c r="I55" s="307" t="s">
        <v>4055</v>
      </c>
      <c r="J55" s="307" t="s">
        <v>4026</v>
      </c>
      <c r="K55" s="311" t="s">
        <v>4056</v>
      </c>
    </row>
    <row r="56" spans="1:11" s="304" customFormat="1">
      <c r="A56" s="313">
        <v>36</v>
      </c>
      <c r="B56" s="306" t="s">
        <v>4057</v>
      </c>
      <c r="C56" s="307" t="s">
        <v>4058</v>
      </c>
      <c r="D56" s="326" t="s">
        <v>3848</v>
      </c>
      <c r="E56" s="309">
        <v>95</v>
      </c>
      <c r="F56" s="310">
        <v>100</v>
      </c>
      <c r="G56" s="307" t="s">
        <v>3965</v>
      </c>
      <c r="H56" s="307" t="s">
        <v>4059</v>
      </c>
      <c r="I56" s="307" t="s">
        <v>4060</v>
      </c>
      <c r="J56" s="307" t="s">
        <v>4061</v>
      </c>
      <c r="K56" s="311" t="s">
        <v>4062</v>
      </c>
    </row>
    <row r="57" spans="1:11" s="333" customFormat="1">
      <c r="A57" s="328"/>
      <c r="B57" s="969" t="s">
        <v>4063</v>
      </c>
      <c r="C57" s="970"/>
      <c r="D57" s="971"/>
      <c r="E57" s="329">
        <f>SUM(E51:E56)</f>
        <v>2015</v>
      </c>
      <c r="F57" s="330"/>
      <c r="G57" s="331"/>
      <c r="H57" s="331"/>
      <c r="I57" s="331"/>
      <c r="J57" s="331"/>
      <c r="K57" s="332"/>
    </row>
    <row r="58" spans="1:11" s="304" customFormat="1">
      <c r="A58" s="313">
        <v>37</v>
      </c>
      <c r="B58" s="306" t="s">
        <v>4064</v>
      </c>
      <c r="C58" s="307" t="s">
        <v>4065</v>
      </c>
      <c r="D58" s="326" t="s">
        <v>3848</v>
      </c>
      <c r="E58" s="309">
        <v>55</v>
      </c>
      <c r="F58" s="310">
        <v>100</v>
      </c>
      <c r="G58" s="307" t="s">
        <v>4066</v>
      </c>
      <c r="H58" s="307" t="s">
        <v>4067</v>
      </c>
      <c r="I58" s="307" t="s">
        <v>4068</v>
      </c>
      <c r="J58" s="307" t="s">
        <v>4069</v>
      </c>
      <c r="K58" s="311" t="s">
        <v>4070</v>
      </c>
    </row>
    <row r="59" spans="1:11" s="304" customFormat="1">
      <c r="A59" s="313">
        <v>38</v>
      </c>
      <c r="B59" s="306" t="s">
        <v>4071</v>
      </c>
      <c r="C59" s="307" t="s">
        <v>4072</v>
      </c>
      <c r="D59" s="326" t="s">
        <v>3848</v>
      </c>
      <c r="E59" s="309">
        <v>160</v>
      </c>
      <c r="F59" s="310">
        <v>100</v>
      </c>
      <c r="G59" s="307" t="s">
        <v>4073</v>
      </c>
      <c r="H59" s="307" t="s">
        <v>4074</v>
      </c>
      <c r="I59" s="307" t="s">
        <v>4075</v>
      </c>
      <c r="J59" s="307" t="s">
        <v>4076</v>
      </c>
      <c r="K59" s="311" t="s">
        <v>4077</v>
      </c>
    </row>
    <row r="60" spans="1:11" s="333" customFormat="1">
      <c r="A60" s="328"/>
      <c r="B60" s="969" t="s">
        <v>4078</v>
      </c>
      <c r="C60" s="970"/>
      <c r="D60" s="971"/>
      <c r="E60" s="335">
        <f>SUM(E58:E59)</f>
        <v>215</v>
      </c>
      <c r="F60" s="336"/>
      <c r="G60" s="337"/>
      <c r="H60" s="337"/>
      <c r="I60" s="337"/>
      <c r="J60" s="337"/>
      <c r="K60" s="338"/>
    </row>
    <row r="61" spans="1:11" s="346" customFormat="1" ht="21" customHeight="1">
      <c r="A61" s="339">
        <v>39</v>
      </c>
      <c r="B61" s="340" t="s">
        <v>4079</v>
      </c>
      <c r="C61" s="341" t="s">
        <v>4080</v>
      </c>
      <c r="D61" s="342" t="s">
        <v>3848</v>
      </c>
      <c r="E61" s="341">
        <v>93</v>
      </c>
      <c r="F61" s="341">
        <v>100</v>
      </c>
      <c r="G61" s="341" t="s">
        <v>4081</v>
      </c>
      <c r="H61" s="343">
        <v>39001</v>
      </c>
      <c r="I61" s="343" t="s">
        <v>4082</v>
      </c>
      <c r="J61" s="344" t="s">
        <v>4083</v>
      </c>
      <c r="K61" s="345" t="s">
        <v>4084</v>
      </c>
    </row>
    <row r="62" spans="1:11" s="304" customFormat="1">
      <c r="A62" s="320"/>
      <c r="B62" s="966" t="s">
        <v>4085</v>
      </c>
      <c r="C62" s="967"/>
      <c r="D62" s="968"/>
      <c r="E62" s="321">
        <f>SUM(E61)</f>
        <v>93</v>
      </c>
      <c r="F62" s="347"/>
      <c r="G62" s="348"/>
      <c r="H62" s="348"/>
      <c r="I62" s="348"/>
      <c r="J62" s="348"/>
      <c r="K62" s="349"/>
    </row>
    <row r="63" spans="1:11" s="346" customFormat="1" ht="38.1" customHeight="1">
      <c r="A63" s="339">
        <v>40</v>
      </c>
      <c r="B63" s="350" t="s">
        <v>4086</v>
      </c>
      <c r="C63" s="351" t="s">
        <v>4087</v>
      </c>
      <c r="D63" s="352" t="s">
        <v>3848</v>
      </c>
      <c r="E63" s="341">
        <v>530</v>
      </c>
      <c r="F63" s="341">
        <v>100</v>
      </c>
      <c r="G63" s="351" t="s">
        <v>3861</v>
      </c>
      <c r="H63" s="351" t="s">
        <v>4088</v>
      </c>
      <c r="I63" s="351" t="s">
        <v>4089</v>
      </c>
      <c r="J63" s="351" t="s">
        <v>4090</v>
      </c>
      <c r="K63" s="353" t="s">
        <v>4091</v>
      </c>
    </row>
    <row r="64" spans="1:11" s="346" customFormat="1" ht="25.5">
      <c r="A64" s="300" t="s">
        <v>4823</v>
      </c>
      <c r="B64" s="354" t="s">
        <v>4824</v>
      </c>
      <c r="C64" s="355" t="s">
        <v>4092</v>
      </c>
      <c r="D64" s="356" t="s">
        <v>4825</v>
      </c>
      <c r="E64" s="357">
        <v>400</v>
      </c>
      <c r="F64" s="357" t="s">
        <v>4826</v>
      </c>
      <c r="G64" s="355" t="s">
        <v>3872</v>
      </c>
      <c r="H64" s="355" t="s">
        <v>4093</v>
      </c>
      <c r="I64" s="355" t="s">
        <v>4094</v>
      </c>
      <c r="J64" s="355" t="s">
        <v>4095</v>
      </c>
      <c r="K64" s="358" t="s">
        <v>4827</v>
      </c>
    </row>
    <row r="65" spans="1:11" s="346" customFormat="1" ht="27.95" customHeight="1">
      <c r="A65" s="339">
        <v>42</v>
      </c>
      <c r="B65" s="306" t="s">
        <v>4096</v>
      </c>
      <c r="C65" s="307" t="s">
        <v>4097</v>
      </c>
      <c r="D65" s="359" t="s">
        <v>4825</v>
      </c>
      <c r="E65" s="309">
        <v>120</v>
      </c>
      <c r="F65" s="307">
        <v>100</v>
      </c>
      <c r="G65" s="307" t="s">
        <v>3349</v>
      </c>
      <c r="H65" s="307" t="s">
        <v>4098</v>
      </c>
      <c r="I65" s="360" t="s">
        <v>4099</v>
      </c>
      <c r="J65" s="307" t="s">
        <v>4100</v>
      </c>
      <c r="K65" s="361" t="s">
        <v>4828</v>
      </c>
    </row>
    <row r="66" spans="1:11" s="304" customFormat="1" ht="26.1" customHeight="1">
      <c r="A66" s="339">
        <v>43</v>
      </c>
      <c r="B66" s="306" t="s">
        <v>4101</v>
      </c>
      <c r="C66" s="307" t="s">
        <v>4102</v>
      </c>
      <c r="D66" s="308" t="s">
        <v>4825</v>
      </c>
      <c r="E66" s="310">
        <v>400</v>
      </c>
      <c r="F66" s="310">
        <v>100</v>
      </c>
      <c r="G66" s="307" t="s">
        <v>3349</v>
      </c>
      <c r="H66" s="307" t="s">
        <v>4103</v>
      </c>
      <c r="I66" s="307" t="s">
        <v>4104</v>
      </c>
      <c r="J66" s="307" t="s">
        <v>4105</v>
      </c>
      <c r="K66" s="311" t="s">
        <v>4829</v>
      </c>
    </row>
    <row r="67" spans="1:11" s="304" customFormat="1" ht="48.95" customHeight="1">
      <c r="A67" s="339">
        <v>44</v>
      </c>
      <c r="B67" s="306" t="s">
        <v>4106</v>
      </c>
      <c r="C67" s="307" t="s">
        <v>4107</v>
      </c>
      <c r="D67" s="359" t="s">
        <v>4825</v>
      </c>
      <c r="E67" s="310">
        <v>590</v>
      </c>
      <c r="F67" s="310">
        <v>100</v>
      </c>
      <c r="G67" s="307" t="s">
        <v>3326</v>
      </c>
      <c r="H67" s="307" t="s">
        <v>4108</v>
      </c>
      <c r="I67" s="310" t="s">
        <v>4830</v>
      </c>
      <c r="J67" s="307" t="s">
        <v>3961</v>
      </c>
      <c r="K67" s="311" t="s">
        <v>4831</v>
      </c>
    </row>
    <row r="68" spans="1:11" s="333" customFormat="1" ht="15" customHeight="1">
      <c r="A68" s="362"/>
      <c r="B68" s="960" t="s">
        <v>4832</v>
      </c>
      <c r="C68" s="972"/>
      <c r="D68" s="973"/>
      <c r="E68" s="363">
        <f>SUM(E63:E67)</f>
        <v>2040</v>
      </c>
      <c r="F68" s="364"/>
      <c r="G68" s="365"/>
      <c r="H68" s="365"/>
      <c r="I68" s="364"/>
      <c r="J68" s="365"/>
      <c r="K68" s="338"/>
    </row>
    <row r="69" spans="1:11" s="346" customFormat="1" ht="38.25">
      <c r="A69" s="300" t="s">
        <v>4833</v>
      </c>
      <c r="B69" s="366" t="s">
        <v>4834</v>
      </c>
      <c r="C69" s="367" t="s">
        <v>4092</v>
      </c>
      <c r="D69" s="368" t="s">
        <v>4825</v>
      </c>
      <c r="E69" s="369">
        <v>400</v>
      </c>
      <c r="F69" s="369" t="s">
        <v>4826</v>
      </c>
      <c r="G69" s="367" t="s">
        <v>3872</v>
      </c>
      <c r="H69" s="367" t="s">
        <v>4093</v>
      </c>
      <c r="I69" s="367" t="s">
        <v>4094</v>
      </c>
      <c r="J69" s="367" t="s">
        <v>4095</v>
      </c>
      <c r="K69" s="370" t="s">
        <v>4835</v>
      </c>
    </row>
    <row r="70" spans="1:11" s="374" customFormat="1" ht="17.100000000000001" customHeight="1">
      <c r="A70" s="362">
        <v>45</v>
      </c>
      <c r="B70" s="306" t="s">
        <v>4109</v>
      </c>
      <c r="C70" s="307" t="s">
        <v>4110</v>
      </c>
      <c r="D70" s="359" t="s">
        <v>4825</v>
      </c>
      <c r="E70" s="371">
        <v>96</v>
      </c>
      <c r="F70" s="307">
        <v>100</v>
      </c>
      <c r="G70" s="307" t="s">
        <v>3326</v>
      </c>
      <c r="H70" s="372" t="s">
        <v>4836</v>
      </c>
      <c r="I70" s="373" t="s">
        <v>4837</v>
      </c>
      <c r="J70" s="367" t="s">
        <v>4838</v>
      </c>
      <c r="K70" s="353" t="s">
        <v>4839</v>
      </c>
    </row>
    <row r="71" spans="1:11" s="304" customFormat="1" ht="38.1" customHeight="1">
      <c r="A71" s="313"/>
      <c r="B71" s="306" t="s">
        <v>4840</v>
      </c>
      <c r="C71" s="307" t="s">
        <v>4111</v>
      </c>
      <c r="D71" s="359" t="s">
        <v>4825</v>
      </c>
      <c r="E71" s="309" t="s">
        <v>4112</v>
      </c>
      <c r="F71" s="310">
        <v>100</v>
      </c>
      <c r="G71" s="307" t="s">
        <v>3872</v>
      </c>
      <c r="H71" s="307" t="s">
        <v>4113</v>
      </c>
      <c r="I71" s="375" t="s">
        <v>4114</v>
      </c>
      <c r="J71" s="307" t="s">
        <v>4069</v>
      </c>
      <c r="K71" s="311" t="s">
        <v>4841</v>
      </c>
    </row>
    <row r="72" spans="1:11" s="374" customFormat="1" ht="45.95" customHeight="1">
      <c r="A72" s="362">
        <v>46</v>
      </c>
      <c r="B72" s="306" t="s">
        <v>4115</v>
      </c>
      <c r="C72" s="307" t="s">
        <v>4116</v>
      </c>
      <c r="D72" s="359" t="s">
        <v>4825</v>
      </c>
      <c r="E72" s="309">
        <v>163</v>
      </c>
      <c r="F72" s="307">
        <v>100</v>
      </c>
      <c r="G72" s="307" t="s">
        <v>3384</v>
      </c>
      <c r="H72" s="360" t="s">
        <v>4842</v>
      </c>
      <c r="I72" s="376" t="s">
        <v>4117</v>
      </c>
      <c r="J72" s="376" t="s">
        <v>4843</v>
      </c>
      <c r="K72" s="377">
        <v>40452</v>
      </c>
    </row>
    <row r="73" spans="1:11" s="374" customFormat="1" ht="30" customHeight="1">
      <c r="A73" s="362">
        <v>47</v>
      </c>
      <c r="B73" s="306" t="s">
        <v>4844</v>
      </c>
      <c r="C73" s="307" t="s">
        <v>4118</v>
      </c>
      <c r="D73" s="359" t="s">
        <v>4825</v>
      </c>
      <c r="E73" s="309">
        <v>660</v>
      </c>
      <c r="F73" s="307">
        <v>100</v>
      </c>
      <c r="G73" s="307" t="s">
        <v>4119</v>
      </c>
      <c r="H73" s="307" t="s">
        <v>4120</v>
      </c>
      <c r="I73" s="360" t="s">
        <v>4121</v>
      </c>
      <c r="J73" s="307" t="s">
        <v>4841</v>
      </c>
      <c r="K73" s="378" t="s">
        <v>4845</v>
      </c>
    </row>
    <row r="74" spans="1:11" s="374" customFormat="1" ht="30" customHeight="1">
      <c r="A74" s="362"/>
      <c r="B74" s="974" t="s">
        <v>4846</v>
      </c>
      <c r="C74" s="975"/>
      <c r="D74" s="976"/>
      <c r="E74" s="379">
        <f>SUM(E69+E70+E72+E73)</f>
        <v>1319</v>
      </c>
      <c r="F74" s="380"/>
      <c r="G74" s="380"/>
      <c r="H74" s="380"/>
      <c r="I74" s="381"/>
      <c r="J74" s="380"/>
      <c r="K74" s="382"/>
    </row>
    <row r="75" spans="1:11" s="346" customFormat="1" ht="26.1" customHeight="1">
      <c r="A75" s="339">
        <v>48</v>
      </c>
      <c r="B75" s="306" t="s">
        <v>4847</v>
      </c>
      <c r="C75" s="307" t="s">
        <v>4122</v>
      </c>
      <c r="D75" s="383" t="s">
        <v>4825</v>
      </c>
      <c r="E75" s="371">
        <v>96</v>
      </c>
      <c r="F75" s="307">
        <v>100</v>
      </c>
      <c r="G75" s="307" t="s">
        <v>3872</v>
      </c>
      <c r="H75" s="367" t="s">
        <v>4123</v>
      </c>
      <c r="I75" s="373" t="s">
        <v>4848</v>
      </c>
      <c r="J75" s="384" t="s">
        <v>4849</v>
      </c>
      <c r="K75" s="353" t="s">
        <v>4850</v>
      </c>
    </row>
    <row r="76" spans="1:11" s="346" customFormat="1" ht="26.1" customHeight="1">
      <c r="A76" s="362">
        <v>49</v>
      </c>
      <c r="B76" s="350" t="s">
        <v>4124</v>
      </c>
      <c r="C76" s="351" t="s">
        <v>4851</v>
      </c>
      <c r="D76" s="385" t="s">
        <v>4825</v>
      </c>
      <c r="E76" s="386">
        <v>200</v>
      </c>
      <c r="F76" s="351">
        <v>100</v>
      </c>
      <c r="G76" s="351" t="s">
        <v>3932</v>
      </c>
      <c r="H76" s="351" t="s">
        <v>4852</v>
      </c>
      <c r="I76" s="344" t="s">
        <v>4853</v>
      </c>
      <c r="J76" s="351" t="s">
        <v>4854</v>
      </c>
      <c r="K76" s="353" t="s">
        <v>4855</v>
      </c>
    </row>
    <row r="77" spans="1:11" s="346" customFormat="1" ht="26.1" customHeight="1" thickBot="1">
      <c r="A77" s="362"/>
      <c r="B77" s="947" t="s">
        <v>4856</v>
      </c>
      <c r="C77" s="948"/>
      <c r="D77" s="949"/>
      <c r="E77" s="387">
        <f>SUM(E75:E76)</f>
        <v>296</v>
      </c>
      <c r="F77" s="388"/>
      <c r="G77" s="389"/>
      <c r="H77" s="389"/>
      <c r="I77" s="389"/>
      <c r="J77" s="389"/>
      <c r="K77" s="390"/>
    </row>
    <row r="78" spans="1:11" s="346" customFormat="1" ht="26.1" customHeight="1">
      <c r="A78" s="362">
        <v>50</v>
      </c>
      <c r="B78" s="391" t="s">
        <v>4857</v>
      </c>
      <c r="C78" s="392" t="s">
        <v>4858</v>
      </c>
      <c r="D78" s="393" t="s">
        <v>4825</v>
      </c>
      <c r="E78" s="392">
        <v>174</v>
      </c>
      <c r="F78" s="392">
        <v>100</v>
      </c>
      <c r="G78" s="392" t="s">
        <v>4859</v>
      </c>
      <c r="H78" s="394">
        <v>40527</v>
      </c>
      <c r="I78" s="394" t="s">
        <v>4860</v>
      </c>
      <c r="J78" s="394" t="s">
        <v>4861</v>
      </c>
      <c r="K78" s="395" t="s">
        <v>4862</v>
      </c>
    </row>
    <row r="79" spans="1:11" s="346" customFormat="1" ht="26.1" customHeight="1">
      <c r="A79" s="362">
        <v>51</v>
      </c>
      <c r="B79" s="396" t="s">
        <v>4125</v>
      </c>
      <c r="C79" s="397" t="s">
        <v>4863</v>
      </c>
      <c r="D79" s="393" t="s">
        <v>4825</v>
      </c>
      <c r="E79" s="397">
        <v>200</v>
      </c>
      <c r="F79" s="397">
        <v>100</v>
      </c>
      <c r="G79" s="397" t="s">
        <v>4126</v>
      </c>
      <c r="H79" s="398" t="s">
        <v>4864</v>
      </c>
      <c r="I79" s="394" t="s">
        <v>4865</v>
      </c>
      <c r="J79" s="399" t="s">
        <v>4866</v>
      </c>
      <c r="K79" s="400" t="s">
        <v>4867</v>
      </c>
    </row>
    <row r="80" spans="1:11" s="346" customFormat="1" ht="26.1" customHeight="1">
      <c r="A80" s="312">
        <v>52</v>
      </c>
      <c r="B80" s="306" t="s">
        <v>4129</v>
      </c>
      <c r="C80" s="307" t="s">
        <v>4868</v>
      </c>
      <c r="D80" s="401" t="s">
        <v>4825</v>
      </c>
      <c r="E80" s="310">
        <v>128</v>
      </c>
      <c r="F80" s="310">
        <v>100</v>
      </c>
      <c r="G80" s="307" t="s">
        <v>4081</v>
      </c>
      <c r="H80" s="360">
        <v>39085</v>
      </c>
      <c r="I80" s="307" t="s">
        <v>4869</v>
      </c>
      <c r="J80" s="307" t="s">
        <v>4870</v>
      </c>
      <c r="K80" s="311" t="s">
        <v>4867</v>
      </c>
    </row>
    <row r="81" spans="1:11" s="346" customFormat="1" ht="26.1" customHeight="1">
      <c r="A81" s="402">
        <v>53</v>
      </c>
      <c r="B81" s="340" t="s">
        <v>4134</v>
      </c>
      <c r="C81" s="341" t="s">
        <v>4871</v>
      </c>
      <c r="D81" s="385" t="s">
        <v>4825</v>
      </c>
      <c r="E81" s="386">
        <v>145</v>
      </c>
      <c r="F81" s="341">
        <v>100</v>
      </c>
      <c r="G81" s="341" t="s">
        <v>3965</v>
      </c>
      <c r="H81" s="343" t="s">
        <v>4872</v>
      </c>
      <c r="I81" s="403" t="s">
        <v>4873</v>
      </c>
      <c r="J81" s="404" t="s">
        <v>4874</v>
      </c>
      <c r="K81" s="345" t="s">
        <v>4875</v>
      </c>
    </row>
    <row r="82" spans="1:11" s="346" customFormat="1" ht="26.1" customHeight="1">
      <c r="A82" s="362">
        <v>54</v>
      </c>
      <c r="B82" s="340" t="s">
        <v>4135</v>
      </c>
      <c r="C82" s="341" t="s">
        <v>4876</v>
      </c>
      <c r="D82" s="385" t="s">
        <v>4825</v>
      </c>
      <c r="E82" s="405">
        <v>255</v>
      </c>
      <c r="F82" s="341">
        <v>100</v>
      </c>
      <c r="G82" s="341" t="s">
        <v>3965</v>
      </c>
      <c r="H82" s="372" t="s">
        <v>4877</v>
      </c>
      <c r="I82" s="373" t="s">
        <v>4878</v>
      </c>
      <c r="J82" s="367" t="s">
        <v>4879</v>
      </c>
      <c r="K82" s="406" t="s">
        <v>4880</v>
      </c>
    </row>
    <row r="83" spans="1:11" s="346" customFormat="1" ht="26.1" customHeight="1" thickBot="1">
      <c r="A83" s="320"/>
      <c r="B83" s="947" t="s">
        <v>4881</v>
      </c>
      <c r="C83" s="948"/>
      <c r="D83" s="949"/>
      <c r="E83" s="387">
        <f>SUM(E78:E82)</f>
        <v>902</v>
      </c>
      <c r="F83" s="388"/>
      <c r="G83" s="389"/>
      <c r="H83" s="389"/>
      <c r="I83" s="389"/>
      <c r="J83" s="389"/>
      <c r="K83" s="390"/>
    </row>
    <row r="84" spans="1:11" s="346" customFormat="1" ht="26.1" customHeight="1">
      <c r="A84" s="407">
        <v>55</v>
      </c>
      <c r="B84" s="408" t="s">
        <v>4133</v>
      </c>
      <c r="C84" s="409" t="s">
        <v>4882</v>
      </c>
      <c r="D84" s="410" t="s">
        <v>4825</v>
      </c>
      <c r="E84" s="309">
        <v>500</v>
      </c>
      <c r="F84" s="409">
        <v>100</v>
      </c>
      <c r="G84" s="409" t="s">
        <v>4018</v>
      </c>
      <c r="H84" s="307" t="s">
        <v>4883</v>
      </c>
      <c r="I84" s="411" t="s">
        <v>4884</v>
      </c>
      <c r="J84" s="409" t="s">
        <v>4130</v>
      </c>
      <c r="K84" s="311" t="s">
        <v>4885</v>
      </c>
    </row>
    <row r="85" spans="1:11" s="346" customFormat="1" ht="26.1" customHeight="1">
      <c r="A85" s="412">
        <v>56</v>
      </c>
      <c r="B85" s="408" t="s">
        <v>4136</v>
      </c>
      <c r="C85" s="409" t="s">
        <v>4886</v>
      </c>
      <c r="D85" s="410" t="s">
        <v>4825</v>
      </c>
      <c r="E85" s="309">
        <v>760</v>
      </c>
      <c r="F85" s="409">
        <v>100</v>
      </c>
      <c r="G85" s="409" t="s">
        <v>3861</v>
      </c>
      <c r="H85" s="372" t="s">
        <v>4887</v>
      </c>
      <c r="I85" s="373" t="s">
        <v>4888</v>
      </c>
      <c r="J85" s="384" t="s">
        <v>4889</v>
      </c>
      <c r="K85" s="413" t="s">
        <v>4885</v>
      </c>
    </row>
    <row r="86" spans="1:11" s="346" customFormat="1" ht="26.1" customHeight="1">
      <c r="A86" s="362">
        <v>57</v>
      </c>
      <c r="B86" s="366" t="s">
        <v>4137</v>
      </c>
      <c r="C86" s="367" t="s">
        <v>4890</v>
      </c>
      <c r="D86" s="410" t="s">
        <v>4825</v>
      </c>
      <c r="E86" s="414">
        <v>850</v>
      </c>
      <c r="F86" s="367">
        <v>100</v>
      </c>
      <c r="G86" s="367" t="s">
        <v>3872</v>
      </c>
      <c r="H86" s="372" t="s">
        <v>4891</v>
      </c>
      <c r="I86" s="373" t="s">
        <v>4884</v>
      </c>
      <c r="J86" s="367" t="s">
        <v>4892</v>
      </c>
      <c r="K86" s="353" t="s">
        <v>4885</v>
      </c>
    </row>
    <row r="87" spans="1:11" s="346" customFormat="1" ht="26.1" customHeight="1">
      <c r="A87" s="305" t="s">
        <v>4893</v>
      </c>
      <c r="B87" s="408" t="s">
        <v>4894</v>
      </c>
      <c r="C87" s="409" t="s">
        <v>4895</v>
      </c>
      <c r="D87" s="410" t="s">
        <v>4825</v>
      </c>
      <c r="E87" s="309">
        <v>560</v>
      </c>
      <c r="F87" s="409">
        <v>100</v>
      </c>
      <c r="G87" s="409" t="s">
        <v>4018</v>
      </c>
      <c r="H87" s="415">
        <v>40359</v>
      </c>
      <c r="I87" s="384" t="s">
        <v>4896</v>
      </c>
      <c r="J87" s="416" t="s">
        <v>4897</v>
      </c>
      <c r="K87" s="353" t="s">
        <v>4898</v>
      </c>
    </row>
    <row r="88" spans="1:11" s="346" customFormat="1" ht="26.1" customHeight="1">
      <c r="A88" s="402">
        <v>59</v>
      </c>
      <c r="B88" s="306" t="s">
        <v>4131</v>
      </c>
      <c r="C88" s="307" t="s">
        <v>4899</v>
      </c>
      <c r="D88" s="401" t="s">
        <v>4825</v>
      </c>
      <c r="E88" s="310">
        <v>600</v>
      </c>
      <c r="F88" s="310">
        <v>100</v>
      </c>
      <c r="G88" s="307" t="s">
        <v>4126</v>
      </c>
      <c r="H88" s="307" t="s">
        <v>4132</v>
      </c>
      <c r="I88" s="375" t="s">
        <v>4900</v>
      </c>
      <c r="J88" s="307">
        <v>2013</v>
      </c>
      <c r="K88" s="417" t="s">
        <v>4901</v>
      </c>
    </row>
    <row r="89" spans="1:11" s="346" customFormat="1" ht="26.1" customHeight="1">
      <c r="A89" s="313">
        <v>60</v>
      </c>
      <c r="B89" s="306" t="s">
        <v>4128</v>
      </c>
      <c r="C89" s="307" t="s">
        <v>4902</v>
      </c>
      <c r="D89" s="401" t="s">
        <v>4825</v>
      </c>
      <c r="E89" s="309">
        <v>140</v>
      </c>
      <c r="F89" s="310">
        <v>100</v>
      </c>
      <c r="G89" s="307" t="s">
        <v>3909</v>
      </c>
      <c r="H89" s="307" t="s">
        <v>4113</v>
      </c>
      <c r="I89" s="307" t="s">
        <v>4903</v>
      </c>
      <c r="J89" s="310" t="s">
        <v>4904</v>
      </c>
      <c r="K89" s="377" t="s">
        <v>4905</v>
      </c>
    </row>
    <row r="90" spans="1:11" s="346" customFormat="1" ht="36.950000000000003" customHeight="1">
      <c r="A90" s="418" t="s">
        <v>4906</v>
      </c>
      <c r="B90" s="419" t="s">
        <v>4907</v>
      </c>
      <c r="C90" s="369" t="s">
        <v>4908</v>
      </c>
      <c r="D90" s="420" t="s">
        <v>4825</v>
      </c>
      <c r="E90" s="421">
        <v>125</v>
      </c>
      <c r="F90" s="369">
        <v>100</v>
      </c>
      <c r="G90" s="369" t="s">
        <v>4909</v>
      </c>
      <c r="H90" s="372" t="s">
        <v>4910</v>
      </c>
      <c r="I90" s="367" t="s">
        <v>4911</v>
      </c>
      <c r="J90" s="369" t="s">
        <v>4130</v>
      </c>
      <c r="K90" s="422" t="s">
        <v>4912</v>
      </c>
    </row>
    <row r="91" spans="1:11" s="304" customFormat="1" ht="18" customHeight="1" thickBot="1">
      <c r="A91" s="423"/>
      <c r="B91" s="947" t="s">
        <v>4913</v>
      </c>
      <c r="C91" s="948"/>
      <c r="D91" s="949"/>
      <c r="E91" s="387">
        <f>SUM($E$84:$E$90)</f>
        <v>3535</v>
      </c>
      <c r="F91" s="424"/>
      <c r="G91" s="424"/>
      <c r="H91" s="424"/>
      <c r="I91" s="424"/>
      <c r="J91" s="424"/>
      <c r="K91" s="425"/>
    </row>
    <row r="92" spans="1:11" s="304" customFormat="1" ht="17.100000000000001" customHeight="1">
      <c r="A92" s="320"/>
      <c r="B92" s="426"/>
      <c r="C92" s="426"/>
      <c r="D92" s="427" t="s">
        <v>4914</v>
      </c>
      <c r="E92" s="428">
        <f>SUM(E16+E17+E18+E19+E20+E21+E22+E24+E25)</f>
        <v>684</v>
      </c>
      <c r="F92" s="429"/>
      <c r="G92" s="430"/>
      <c r="H92" s="430"/>
      <c r="I92" s="430"/>
      <c r="J92" s="430"/>
      <c r="K92" s="430"/>
    </row>
    <row r="93" spans="1:11" s="304" customFormat="1" ht="17.100000000000001" customHeight="1">
      <c r="A93" s="320"/>
      <c r="B93" s="426"/>
      <c r="C93" s="426"/>
      <c r="D93" s="427" t="s">
        <v>4915</v>
      </c>
      <c r="E93" s="428">
        <f>SUM(E38+E46+E56+E61+E75+E80)</f>
        <v>589</v>
      </c>
      <c r="F93" s="429"/>
      <c r="G93" s="430"/>
      <c r="H93" s="430"/>
      <c r="I93" s="430"/>
      <c r="J93" s="430"/>
      <c r="K93" s="430"/>
    </row>
    <row r="94" spans="1:11" s="304" customFormat="1" ht="17.100000000000001" customHeight="1" thickBot="1">
      <c r="A94" s="320"/>
      <c r="B94" s="426"/>
      <c r="C94" s="426"/>
      <c r="D94" s="427" t="s">
        <v>4916</v>
      </c>
      <c r="E94" s="428">
        <f>(E95-(E93+E92))</f>
        <v>20037</v>
      </c>
      <c r="F94" s="429"/>
      <c r="G94" s="430"/>
      <c r="H94" s="430"/>
      <c r="I94" s="430"/>
      <c r="J94" s="430"/>
      <c r="K94" s="430"/>
    </row>
    <row r="95" spans="1:11" s="304" customFormat="1" ht="17.100000000000001" customHeight="1">
      <c r="A95" s="320"/>
      <c r="B95" s="935" t="s">
        <v>4917</v>
      </c>
      <c r="C95" s="950"/>
      <c r="D95" s="950"/>
      <c r="E95" s="431">
        <f>$E$23 + $E$31 + $E$42 + $E$50 + $E$57 + $E$60+$E$62+$E$68+$E$74+$E$77+$E$83+$E$91</f>
        <v>21310</v>
      </c>
      <c r="F95" s="432"/>
      <c r="G95" s="433"/>
      <c r="H95" s="433"/>
      <c r="I95" s="433"/>
      <c r="J95" s="433"/>
      <c r="K95" s="433"/>
    </row>
    <row r="96" spans="1:11" s="304" customFormat="1" ht="15.75" thickBot="1">
      <c r="A96" s="320"/>
      <c r="B96" s="951" t="s">
        <v>4918</v>
      </c>
      <c r="C96" s="951"/>
      <c r="D96" s="951"/>
      <c r="E96" s="434">
        <f>$E$23 + $E$31 + $E$42 + $E$50 + $E$57 + $E$60+$E$62+$E$68+$E$74+$E$77+$E$83+$E$91</f>
        <v>21310</v>
      </c>
      <c r="F96" s="435"/>
      <c r="G96" s="436"/>
      <c r="H96" s="436"/>
      <c r="I96" s="436"/>
      <c r="J96" s="436"/>
      <c r="K96" s="436"/>
    </row>
    <row r="97" spans="1:20" s="304" customFormat="1" ht="30" customHeight="1" thickBot="1">
      <c r="A97" s="320"/>
      <c r="B97" s="437"/>
      <c r="C97" s="437"/>
      <c r="D97" s="437"/>
      <c r="E97" s="431"/>
      <c r="F97" s="432"/>
      <c r="G97" s="433"/>
      <c r="H97" s="433"/>
      <c r="I97" s="433"/>
      <c r="J97" s="433"/>
      <c r="K97" s="433"/>
    </row>
    <row r="98" spans="1:20" s="304" customFormat="1" ht="173.25">
      <c r="A98" s="300"/>
      <c r="B98" s="438" t="s">
        <v>4127</v>
      </c>
      <c r="C98" s="439" t="s">
        <v>3837</v>
      </c>
      <c r="D98" s="439" t="s">
        <v>3838</v>
      </c>
      <c r="E98" s="439" t="s">
        <v>3839</v>
      </c>
      <c r="F98" s="440" t="s">
        <v>3840</v>
      </c>
      <c r="G98" s="439" t="s">
        <v>3841</v>
      </c>
      <c r="H98" s="439" t="s">
        <v>3842</v>
      </c>
      <c r="I98" s="440" t="s">
        <v>3843</v>
      </c>
      <c r="J98" s="440" t="s">
        <v>3844</v>
      </c>
      <c r="K98" s="441" t="s">
        <v>3845</v>
      </c>
      <c r="L98" s="848" t="s">
        <v>5423</v>
      </c>
    </row>
    <row r="99" spans="1:20" s="447" customFormat="1" ht="27" customHeight="1">
      <c r="A99" s="442">
        <v>1</v>
      </c>
      <c r="B99" s="419" t="s">
        <v>4919</v>
      </c>
      <c r="C99" s="369" t="s">
        <v>4920</v>
      </c>
      <c r="D99" s="443" t="s">
        <v>4921</v>
      </c>
      <c r="E99" s="444">
        <v>250</v>
      </c>
      <c r="F99" s="369">
        <v>80</v>
      </c>
      <c r="G99" s="369" t="s">
        <v>4922</v>
      </c>
      <c r="H99" s="372" t="s">
        <v>4923</v>
      </c>
      <c r="I99" s="369" t="s">
        <v>4130</v>
      </c>
      <c r="J99" s="369" t="s">
        <v>4130</v>
      </c>
      <c r="K99" s="445" t="s">
        <v>4130</v>
      </c>
      <c r="L99" s="623"/>
      <c r="M99" s="446"/>
      <c r="N99" s="446"/>
      <c r="O99" s="446"/>
      <c r="P99" s="446"/>
      <c r="Q99" s="446"/>
      <c r="R99" s="446"/>
      <c r="S99" s="446"/>
      <c r="T99" s="446"/>
    </row>
    <row r="100" spans="1:20" s="304" customFormat="1" ht="26.1" customHeight="1">
      <c r="A100" s="448">
        <v>2</v>
      </c>
      <c r="B100" s="419" t="s">
        <v>4924</v>
      </c>
      <c r="C100" s="369" t="s">
        <v>4925</v>
      </c>
      <c r="D100" s="443" t="s">
        <v>4921</v>
      </c>
      <c r="E100" s="444">
        <v>1000</v>
      </c>
      <c r="F100" s="369" t="s">
        <v>4926</v>
      </c>
      <c r="G100" s="369" t="s">
        <v>4909</v>
      </c>
      <c r="H100" s="372" t="s">
        <v>4927</v>
      </c>
      <c r="I100" s="369" t="s">
        <v>4928</v>
      </c>
      <c r="J100" s="369" t="s">
        <v>4130</v>
      </c>
      <c r="K100" s="353">
        <v>2015</v>
      </c>
      <c r="L100" s="622"/>
    </row>
    <row r="101" spans="1:20" s="374" customFormat="1" ht="27.95" customHeight="1">
      <c r="A101" s="448">
        <v>3</v>
      </c>
      <c r="B101" s="350" t="s">
        <v>4929</v>
      </c>
      <c r="C101" s="351" t="s">
        <v>4930</v>
      </c>
      <c r="D101" s="449" t="s">
        <v>4921</v>
      </c>
      <c r="E101" s="450">
        <v>370</v>
      </c>
      <c r="F101" s="351">
        <v>98</v>
      </c>
      <c r="G101" s="351" t="s">
        <v>3876</v>
      </c>
      <c r="H101" s="343" t="s">
        <v>4931</v>
      </c>
      <c r="I101" s="403" t="s">
        <v>4932</v>
      </c>
      <c r="J101" s="351" t="s">
        <v>4933</v>
      </c>
      <c r="K101" s="353" t="s">
        <v>4934</v>
      </c>
      <c r="L101" s="624"/>
    </row>
    <row r="102" spans="1:20" s="304" customFormat="1" ht="27" customHeight="1">
      <c r="A102" s="418">
        <v>4</v>
      </c>
      <c r="B102" s="419" t="s">
        <v>4907</v>
      </c>
      <c r="C102" s="369" t="s">
        <v>4908</v>
      </c>
      <c r="D102" s="443" t="s">
        <v>4921</v>
      </c>
      <c r="E102" s="444">
        <v>125</v>
      </c>
      <c r="F102" s="369" t="s">
        <v>4935</v>
      </c>
      <c r="G102" s="369" t="s">
        <v>4909</v>
      </c>
      <c r="H102" s="372" t="s">
        <v>4910</v>
      </c>
      <c r="I102" s="367" t="s">
        <v>4911</v>
      </c>
      <c r="J102" s="369" t="s">
        <v>4130</v>
      </c>
      <c r="K102" s="422" t="s">
        <v>4936</v>
      </c>
      <c r="L102" s="622"/>
    </row>
    <row r="103" spans="1:20" s="374" customFormat="1" ht="27.95" customHeight="1">
      <c r="A103" s="442">
        <v>5</v>
      </c>
      <c r="B103" s="451" t="s">
        <v>4138</v>
      </c>
      <c r="C103" s="452" t="s">
        <v>4937</v>
      </c>
      <c r="D103" s="453" t="s">
        <v>4921</v>
      </c>
      <c r="E103" s="454">
        <v>624</v>
      </c>
      <c r="F103" s="452">
        <v>10</v>
      </c>
      <c r="G103" s="452" t="s">
        <v>3861</v>
      </c>
      <c r="H103" s="398" t="s">
        <v>4864</v>
      </c>
      <c r="I103" s="372" t="s">
        <v>4865</v>
      </c>
      <c r="J103" s="452">
        <v>2013</v>
      </c>
      <c r="K103" s="413">
        <v>2016</v>
      </c>
      <c r="L103" s="797"/>
      <c r="M103" s="847" t="s">
        <v>5424</v>
      </c>
    </row>
    <row r="104" spans="1:20" s="374" customFormat="1" ht="27.95" customHeight="1">
      <c r="A104" s="455"/>
      <c r="B104" s="456"/>
      <c r="C104" s="952" t="s">
        <v>4139</v>
      </c>
      <c r="D104" s="953"/>
      <c r="E104" s="457">
        <f>SUM(125+E101+E100+E99)</f>
        <v>1745</v>
      </c>
      <c r="F104" s="458"/>
      <c r="G104" s="458"/>
      <c r="H104" s="459"/>
      <c r="I104" s="460"/>
      <c r="J104" s="461"/>
      <c r="K104" s="462"/>
      <c r="L104" s="624"/>
    </row>
    <row r="105" spans="1:20" ht="24" customHeight="1" thickBot="1">
      <c r="A105" s="339"/>
      <c r="B105" s="954" t="s">
        <v>4938</v>
      </c>
      <c r="C105" s="955"/>
      <c r="D105" s="956"/>
      <c r="E105" s="463">
        <f>SUM(125+E101+E100+E99+E103)</f>
        <v>2369</v>
      </c>
      <c r="F105" s="388"/>
      <c r="G105" s="389"/>
      <c r="H105" s="464"/>
      <c r="I105" s="389"/>
      <c r="J105" s="389"/>
      <c r="K105" s="390"/>
      <c r="L105" s="625"/>
    </row>
    <row r="106" spans="1:20" s="374" customFormat="1" ht="24" customHeight="1">
      <c r="L106" s="626"/>
      <c r="M106" s="465"/>
      <c r="N106" s="465"/>
      <c r="O106" s="465"/>
      <c r="P106" s="465"/>
      <c r="Q106" s="465"/>
      <c r="R106" s="465"/>
      <c r="S106" s="465"/>
      <c r="T106" s="465"/>
    </row>
    <row r="107" spans="1:20" s="374" customFormat="1" ht="24" customHeight="1" thickBot="1">
      <c r="L107" s="624"/>
      <c r="M107" s="466"/>
      <c r="N107" s="466"/>
      <c r="O107" s="466"/>
      <c r="P107" s="466"/>
      <c r="Q107" s="466"/>
      <c r="R107" s="466"/>
      <c r="S107" s="466"/>
      <c r="T107" s="466"/>
    </row>
    <row r="108" spans="1:20" s="447" customFormat="1" ht="29.1" customHeight="1">
      <c r="A108" s="300"/>
      <c r="B108" s="438" t="s">
        <v>4140</v>
      </c>
      <c r="C108" s="439" t="s">
        <v>3837</v>
      </c>
      <c r="D108" s="439" t="s">
        <v>3838</v>
      </c>
      <c r="E108" s="439" t="s">
        <v>3839</v>
      </c>
      <c r="F108" s="440" t="s">
        <v>4939</v>
      </c>
      <c r="G108" s="439" t="s">
        <v>3841</v>
      </c>
      <c r="H108" s="439" t="s">
        <v>3842</v>
      </c>
      <c r="I108" s="440" t="s">
        <v>3843</v>
      </c>
      <c r="J108" s="440" t="s">
        <v>3844</v>
      </c>
      <c r="K108" s="441" t="s">
        <v>3845</v>
      </c>
      <c r="L108" s="627"/>
    </row>
    <row r="109" spans="1:20" s="447" customFormat="1" ht="29.1" customHeight="1">
      <c r="A109" s="304">
        <v>1</v>
      </c>
      <c r="B109" s="306" t="s">
        <v>4940</v>
      </c>
      <c r="C109" s="307" t="s">
        <v>4941</v>
      </c>
      <c r="D109" s="467" t="s">
        <v>4141</v>
      </c>
      <c r="E109" s="309">
        <v>563</v>
      </c>
      <c r="F109" s="307">
        <v>0</v>
      </c>
      <c r="G109" s="307" t="s">
        <v>3876</v>
      </c>
      <c r="H109" s="360" t="s">
        <v>4942</v>
      </c>
      <c r="I109" s="468" t="s">
        <v>4943</v>
      </c>
      <c r="J109" s="307" t="s">
        <v>4897</v>
      </c>
      <c r="K109" s="469" t="s">
        <v>4944</v>
      </c>
      <c r="L109" s="627"/>
    </row>
    <row r="110" spans="1:20" s="472" customFormat="1" ht="21.95" customHeight="1">
      <c r="A110" s="362">
        <v>2</v>
      </c>
      <c r="B110" s="306" t="s">
        <v>4142</v>
      </c>
      <c r="C110" s="307" t="s">
        <v>4945</v>
      </c>
      <c r="D110" s="470" t="s">
        <v>4946</v>
      </c>
      <c r="E110" s="371">
        <v>600</v>
      </c>
      <c r="F110" s="310" t="s">
        <v>4947</v>
      </c>
      <c r="G110" s="307" t="s">
        <v>3883</v>
      </c>
      <c r="H110" s="307" t="s">
        <v>4948</v>
      </c>
      <c r="I110" s="468" t="s">
        <v>4944</v>
      </c>
      <c r="J110" s="375" t="s">
        <v>4855</v>
      </c>
      <c r="K110" s="471" t="s">
        <v>4944</v>
      </c>
      <c r="L110" s="627"/>
    </row>
    <row r="111" spans="1:20" s="472" customFormat="1" ht="39.950000000000003" customHeight="1">
      <c r="A111" s="312">
        <v>3</v>
      </c>
      <c r="B111" s="473" t="s">
        <v>4143</v>
      </c>
      <c r="C111" s="369" t="s">
        <v>4949</v>
      </c>
      <c r="D111" s="443" t="s">
        <v>4946</v>
      </c>
      <c r="E111" s="309">
        <v>25</v>
      </c>
      <c r="F111" s="307">
        <v>0</v>
      </c>
      <c r="G111" s="310" t="s">
        <v>4950</v>
      </c>
      <c r="H111" s="360" t="s">
        <v>4872</v>
      </c>
      <c r="I111" s="468" t="s">
        <v>4944</v>
      </c>
      <c r="J111" s="307" t="s">
        <v>4867</v>
      </c>
      <c r="K111" s="417" t="s">
        <v>4951</v>
      </c>
      <c r="L111" s="627"/>
    </row>
    <row r="112" spans="1:20" ht="33.950000000000003" customHeight="1">
      <c r="A112" s="402">
        <v>4</v>
      </c>
      <c r="B112" s="419" t="s">
        <v>4952</v>
      </c>
      <c r="C112" s="369" t="s">
        <v>4953</v>
      </c>
      <c r="D112" s="443" t="s">
        <v>4946</v>
      </c>
      <c r="E112" s="309">
        <v>25</v>
      </c>
      <c r="F112" s="307">
        <v>0</v>
      </c>
      <c r="G112" s="310" t="s">
        <v>4950</v>
      </c>
      <c r="H112" s="360" t="s">
        <v>4872</v>
      </c>
      <c r="I112" s="376" t="s">
        <v>4951</v>
      </c>
      <c r="J112" s="307" t="s">
        <v>4867</v>
      </c>
      <c r="K112" s="311" t="s">
        <v>4951</v>
      </c>
      <c r="L112" s="625"/>
    </row>
    <row r="113" spans="1:20" s="447" customFormat="1" ht="29.1" customHeight="1">
      <c r="A113" s="448">
        <v>5</v>
      </c>
      <c r="B113" s="419" t="s">
        <v>4954</v>
      </c>
      <c r="C113" s="369" t="s">
        <v>4955</v>
      </c>
      <c r="D113" s="443" t="s">
        <v>4946</v>
      </c>
      <c r="E113" s="444">
        <v>150</v>
      </c>
      <c r="F113" s="369">
        <v>90</v>
      </c>
      <c r="G113" s="369" t="s">
        <v>4909</v>
      </c>
      <c r="H113" s="372">
        <v>40527</v>
      </c>
      <c r="I113" s="474" t="s">
        <v>4956</v>
      </c>
      <c r="J113" s="369" t="s">
        <v>4130</v>
      </c>
      <c r="K113" s="422" t="s">
        <v>4130</v>
      </c>
      <c r="L113" s="627"/>
    </row>
    <row r="114" spans="1:20" s="447" customFormat="1" ht="29.1" customHeight="1">
      <c r="A114" s="448">
        <v>6</v>
      </c>
      <c r="B114" s="419" t="s">
        <v>4957</v>
      </c>
      <c r="C114" s="369" t="s">
        <v>4958</v>
      </c>
      <c r="D114" s="443" t="s">
        <v>4946</v>
      </c>
      <c r="E114" s="444">
        <v>500</v>
      </c>
      <c r="F114" s="369" t="s">
        <v>4947</v>
      </c>
      <c r="G114" s="369" t="s">
        <v>4909</v>
      </c>
      <c r="H114" s="372">
        <v>40527</v>
      </c>
      <c r="I114" s="384" t="s">
        <v>4869</v>
      </c>
      <c r="J114" s="369" t="s">
        <v>4130</v>
      </c>
      <c r="K114" s="422" t="s">
        <v>4130</v>
      </c>
      <c r="L114" s="627"/>
    </row>
    <row r="115" spans="1:20" s="447" customFormat="1" ht="33" customHeight="1">
      <c r="A115" s="442">
        <v>7</v>
      </c>
      <c r="B115" s="408" t="s">
        <v>4959</v>
      </c>
      <c r="C115" s="475" t="s">
        <v>4960</v>
      </c>
      <c r="D115" s="476" t="s">
        <v>4946</v>
      </c>
      <c r="E115" s="477">
        <v>570</v>
      </c>
      <c r="F115" s="475" t="s">
        <v>4961</v>
      </c>
      <c r="G115" s="475" t="s">
        <v>4962</v>
      </c>
      <c r="H115" s="478" t="s">
        <v>4963</v>
      </c>
      <c r="I115" s="479" t="s">
        <v>4944</v>
      </c>
      <c r="J115" s="475"/>
      <c r="K115" s="480">
        <v>2013</v>
      </c>
      <c r="L115" s="627"/>
      <c r="M115" s="374"/>
    </row>
    <row r="116" spans="1:20" s="447" customFormat="1" ht="33" customHeight="1">
      <c r="A116" s="362">
        <v>8</v>
      </c>
      <c r="B116" s="340" t="s">
        <v>4145</v>
      </c>
      <c r="C116" s="351" t="s">
        <v>4964</v>
      </c>
      <c r="D116" s="449" t="s">
        <v>4946</v>
      </c>
      <c r="E116" s="386">
        <v>85</v>
      </c>
      <c r="F116" s="341">
        <v>0</v>
      </c>
      <c r="G116" s="341" t="s">
        <v>4018</v>
      </c>
      <c r="H116" s="351" t="s">
        <v>4965</v>
      </c>
      <c r="I116" s="344" t="s">
        <v>4944</v>
      </c>
      <c r="J116" s="341" t="s">
        <v>4944</v>
      </c>
      <c r="K116" s="422" t="s">
        <v>4944</v>
      </c>
      <c r="L116" s="627"/>
    </row>
    <row r="117" spans="1:20" s="447" customFormat="1" ht="33" customHeight="1">
      <c r="A117" s="362">
        <v>9</v>
      </c>
      <c r="B117" s="306" t="s">
        <v>4146</v>
      </c>
      <c r="C117" s="307" t="s">
        <v>4147</v>
      </c>
      <c r="D117" s="467" t="s">
        <v>4946</v>
      </c>
      <c r="E117" s="371">
        <v>558</v>
      </c>
      <c r="F117" s="307">
        <v>0</v>
      </c>
      <c r="G117" s="307" t="s">
        <v>3326</v>
      </c>
      <c r="H117" s="360" t="s">
        <v>4966</v>
      </c>
      <c r="I117" s="468" t="s">
        <v>4944</v>
      </c>
      <c r="J117" s="310"/>
      <c r="K117" s="469" t="s">
        <v>4944</v>
      </c>
      <c r="L117" s="627"/>
    </row>
    <row r="118" spans="1:20" s="447" customFormat="1" ht="33" customHeight="1">
      <c r="A118" s="455">
        <v>10</v>
      </c>
      <c r="B118" s="419" t="s">
        <v>4967</v>
      </c>
      <c r="C118" s="369" t="s">
        <v>4968</v>
      </c>
      <c r="D118" s="443" t="s">
        <v>4946</v>
      </c>
      <c r="E118" s="454">
        <v>300</v>
      </c>
      <c r="F118" s="369">
        <v>0</v>
      </c>
      <c r="G118" s="369" t="s">
        <v>4969</v>
      </c>
      <c r="H118" s="372" t="s">
        <v>4970</v>
      </c>
      <c r="I118" s="367" t="s">
        <v>4971</v>
      </c>
      <c r="J118" s="481"/>
      <c r="K118" s="353" t="s">
        <v>4972</v>
      </c>
      <c r="L118" s="797">
        <v>2016</v>
      </c>
      <c r="M118" s="847" t="s">
        <v>5425</v>
      </c>
    </row>
    <row r="119" spans="1:20" s="304" customFormat="1" ht="21" customHeight="1" thickBot="1">
      <c r="A119" s="339"/>
      <c r="B119" s="954" t="s">
        <v>4973</v>
      </c>
      <c r="C119" s="955"/>
      <c r="D119" s="956"/>
      <c r="E119" s="463">
        <f>SUM(E110+E111+E112+513+520+50+E116+50+E113+E114+E117+E118)</f>
        <v>3376</v>
      </c>
      <c r="F119" s="388"/>
      <c r="G119" s="389"/>
      <c r="H119" s="464"/>
      <c r="I119" s="389"/>
      <c r="J119" s="389"/>
      <c r="K119" s="390"/>
      <c r="L119" s="622"/>
    </row>
    <row r="120" spans="1:20" s="304" customFormat="1" ht="21" customHeight="1">
      <c r="A120" s="339"/>
      <c r="B120" s="957" t="s">
        <v>4974</v>
      </c>
      <c r="C120" s="958"/>
      <c r="D120" s="959"/>
      <c r="E120" s="482">
        <f>SUM(E104+E113+E114)</f>
        <v>2395</v>
      </c>
      <c r="F120" s="483"/>
      <c r="G120" s="433"/>
      <c r="H120" s="484"/>
      <c r="I120" s="433"/>
      <c r="J120" s="433"/>
      <c r="K120" s="485"/>
      <c r="L120" s="622"/>
    </row>
    <row r="121" spans="1:20" s="304" customFormat="1" ht="21" customHeight="1" thickBot="1">
      <c r="A121" s="486"/>
      <c r="B121" s="954" t="s">
        <v>4975</v>
      </c>
      <c r="C121" s="955"/>
      <c r="D121" s="956"/>
      <c r="E121" s="463">
        <f>SUM(E105+E119)</f>
        <v>5745</v>
      </c>
      <c r="F121" s="487"/>
      <c r="G121" s="436"/>
      <c r="H121" s="488"/>
      <c r="I121" s="436"/>
      <c r="J121" s="436"/>
      <c r="K121" s="489"/>
      <c r="L121" s="622"/>
    </row>
    <row r="122" spans="1:20" s="494" customFormat="1" ht="39" customHeight="1" thickBot="1">
      <c r="A122" s="339"/>
      <c r="B122" s="490"/>
      <c r="C122" s="430"/>
      <c r="D122" s="491"/>
      <c r="E122" s="492"/>
      <c r="F122" s="429"/>
      <c r="G122" s="430"/>
      <c r="H122" s="493"/>
      <c r="I122" s="430"/>
      <c r="J122" s="430"/>
      <c r="K122" s="430"/>
      <c r="L122" s="304"/>
      <c r="M122" s="304"/>
      <c r="N122" s="304"/>
      <c r="O122" s="304"/>
      <c r="P122" s="304"/>
      <c r="Q122" s="304"/>
      <c r="R122" s="304"/>
      <c r="S122" s="304"/>
      <c r="T122" s="304"/>
    </row>
    <row r="123" spans="1:20" s="304" customFormat="1" ht="33.75">
      <c r="A123" s="300"/>
      <c r="B123" s="438" t="s">
        <v>4148</v>
      </c>
      <c r="C123" s="495" t="s">
        <v>3837</v>
      </c>
      <c r="D123" s="495" t="s">
        <v>3838</v>
      </c>
      <c r="E123" s="495" t="s">
        <v>3839</v>
      </c>
      <c r="F123" s="496" t="s">
        <v>3840</v>
      </c>
      <c r="G123" s="495" t="s">
        <v>3841</v>
      </c>
      <c r="H123" s="495" t="s">
        <v>3842</v>
      </c>
      <c r="I123" s="496" t="s">
        <v>3843</v>
      </c>
      <c r="J123" s="496" t="s">
        <v>3844</v>
      </c>
      <c r="K123" s="497" t="s">
        <v>3845</v>
      </c>
    </row>
    <row r="124" spans="1:20" s="304" customFormat="1" ht="10.5"/>
    <row r="125" spans="1:20" s="304" customFormat="1" ht="78.95" customHeight="1">
      <c r="A125" s="313">
        <v>1</v>
      </c>
      <c r="B125" s="473" t="s">
        <v>4976</v>
      </c>
      <c r="C125" s="307" t="s">
        <v>4977</v>
      </c>
      <c r="D125" s="498" t="s">
        <v>4150</v>
      </c>
      <c r="E125" s="309">
        <v>159</v>
      </c>
      <c r="F125" s="307">
        <v>0</v>
      </c>
      <c r="G125" s="307" t="s">
        <v>4081</v>
      </c>
      <c r="H125" s="307" t="s">
        <v>4093</v>
      </c>
      <c r="I125" s="307" t="s">
        <v>4978</v>
      </c>
      <c r="J125" s="307" t="s">
        <v>4156</v>
      </c>
      <c r="K125" s="499" t="s">
        <v>4979</v>
      </c>
      <c r="L125" s="374"/>
      <c r="M125" s="374"/>
      <c r="N125" s="374"/>
      <c r="O125" s="374"/>
      <c r="P125" s="374"/>
      <c r="Q125" s="374"/>
      <c r="R125" s="374"/>
      <c r="S125" s="374"/>
      <c r="T125" s="374"/>
    </row>
    <row r="126" spans="1:20" s="304" customFormat="1" ht="15.95" customHeight="1">
      <c r="A126" s="313">
        <v>2</v>
      </c>
      <c r="B126" s="306" t="s">
        <v>4157</v>
      </c>
      <c r="C126" s="307" t="s">
        <v>4980</v>
      </c>
      <c r="D126" s="498" t="s">
        <v>4150</v>
      </c>
      <c r="E126" s="309">
        <v>520</v>
      </c>
      <c r="F126" s="307">
        <v>0</v>
      </c>
      <c r="G126" s="307" t="s">
        <v>3872</v>
      </c>
      <c r="H126" s="307" t="s">
        <v>4158</v>
      </c>
      <c r="I126" s="307" t="s">
        <v>4150</v>
      </c>
      <c r="J126" s="307" t="s">
        <v>4150</v>
      </c>
      <c r="K126" s="499" t="s">
        <v>4150</v>
      </c>
      <c r="L126" s="374"/>
      <c r="M126" s="374"/>
      <c r="N126" s="374"/>
      <c r="O126" s="374"/>
      <c r="P126" s="374"/>
      <c r="Q126" s="374"/>
      <c r="R126" s="374"/>
      <c r="S126" s="374"/>
      <c r="T126" s="374"/>
    </row>
    <row r="127" spans="1:20" s="374" customFormat="1" ht="18.95" customHeight="1">
      <c r="A127" s="362"/>
      <c r="B127" s="960" t="s">
        <v>4159</v>
      </c>
      <c r="C127" s="961"/>
      <c r="D127" s="962"/>
      <c r="E127" s="500">
        <f>SUM(E124:E126)</f>
        <v>679</v>
      </c>
      <c r="F127" s="501"/>
      <c r="G127" s="501"/>
      <c r="H127" s="502"/>
      <c r="I127" s="503"/>
      <c r="J127" s="501"/>
      <c r="K127" s="504"/>
      <c r="L127" s="346"/>
      <c r="M127" s="346"/>
      <c r="N127" s="346"/>
      <c r="O127" s="346"/>
      <c r="P127" s="346"/>
      <c r="Q127" s="346"/>
      <c r="R127" s="346"/>
      <c r="S127" s="346"/>
      <c r="T127" s="346"/>
    </row>
    <row r="128" spans="1:20" s="374" customFormat="1" ht="27.95" customHeight="1">
      <c r="A128" s="334" t="s">
        <v>4981</v>
      </c>
      <c r="B128" s="306" t="s">
        <v>4160</v>
      </c>
      <c r="C128" s="307" t="s">
        <v>4982</v>
      </c>
      <c r="D128" s="505" t="s">
        <v>4983</v>
      </c>
      <c r="E128" s="309">
        <v>1120</v>
      </c>
      <c r="F128" s="310">
        <v>0</v>
      </c>
      <c r="G128" s="307" t="s">
        <v>4126</v>
      </c>
      <c r="H128" s="307" t="s">
        <v>4161</v>
      </c>
      <c r="I128" s="310" t="s">
        <v>4984</v>
      </c>
      <c r="J128" s="310" t="s">
        <v>4904</v>
      </c>
      <c r="K128" s="506" t="s">
        <v>4983</v>
      </c>
      <c r="L128" s="304"/>
      <c r="M128" s="304"/>
      <c r="N128" s="304"/>
      <c r="O128" s="304"/>
      <c r="P128" s="304"/>
      <c r="Q128" s="304"/>
      <c r="R128" s="304"/>
      <c r="S128" s="304"/>
      <c r="T128" s="304"/>
    </row>
    <row r="129" spans="1:20" s="346" customFormat="1" ht="30" customHeight="1">
      <c r="A129" s="334" t="s">
        <v>4985</v>
      </c>
      <c r="B129" s="306" t="s">
        <v>4162</v>
      </c>
      <c r="C129" s="307" t="s">
        <v>4986</v>
      </c>
      <c r="D129" s="505" t="s">
        <v>4983</v>
      </c>
      <c r="E129" s="309">
        <v>1087</v>
      </c>
      <c r="F129" s="307">
        <v>0</v>
      </c>
      <c r="G129" s="307" t="s">
        <v>3349</v>
      </c>
      <c r="H129" s="307" t="s">
        <v>4163</v>
      </c>
      <c r="I129" s="307" t="s">
        <v>4164</v>
      </c>
      <c r="J129" s="307" t="s">
        <v>4987</v>
      </c>
      <c r="K129" s="506" t="s">
        <v>4165</v>
      </c>
      <c r="L129" s="304"/>
      <c r="M129" s="304"/>
      <c r="N129" s="304"/>
      <c r="O129" s="304"/>
      <c r="P129" s="304"/>
      <c r="Q129" s="304"/>
      <c r="R129" s="304"/>
      <c r="S129" s="304"/>
      <c r="T129" s="304"/>
    </row>
    <row r="130" spans="1:20" s="304" customFormat="1" ht="29.1" customHeight="1">
      <c r="A130" s="507" t="s">
        <v>4988</v>
      </c>
      <c r="B130" s="306" t="s">
        <v>4166</v>
      </c>
      <c r="C130" s="307" t="s">
        <v>4989</v>
      </c>
      <c r="D130" s="508" t="s">
        <v>4165</v>
      </c>
      <c r="E130" s="309">
        <v>500</v>
      </c>
      <c r="F130" s="307">
        <v>0</v>
      </c>
      <c r="G130" s="307" t="s">
        <v>4167</v>
      </c>
      <c r="H130" s="307" t="s">
        <v>4168</v>
      </c>
      <c r="I130" s="307" t="s">
        <v>4164</v>
      </c>
      <c r="J130" s="307" t="s">
        <v>4990</v>
      </c>
      <c r="K130" s="509" t="s">
        <v>4165</v>
      </c>
    </row>
    <row r="131" spans="1:20" s="304" customFormat="1" ht="29.1" customHeight="1">
      <c r="A131" s="507" t="s">
        <v>4991</v>
      </c>
      <c r="B131" s="306" t="s">
        <v>4169</v>
      </c>
      <c r="C131" s="307" t="s">
        <v>4992</v>
      </c>
      <c r="D131" s="508" t="s">
        <v>4165</v>
      </c>
      <c r="E131" s="309">
        <v>500</v>
      </c>
      <c r="F131" s="307">
        <v>0</v>
      </c>
      <c r="G131" s="307" t="s">
        <v>3370</v>
      </c>
      <c r="H131" s="307" t="s">
        <v>3982</v>
      </c>
      <c r="I131" s="307" t="s">
        <v>4164</v>
      </c>
      <c r="J131" s="307" t="s">
        <v>4993</v>
      </c>
      <c r="K131" s="509" t="s">
        <v>4165</v>
      </c>
    </row>
    <row r="132" spans="1:20" s="304" customFormat="1" ht="29.1" customHeight="1">
      <c r="A132" s="507" t="s">
        <v>4994</v>
      </c>
      <c r="B132" s="306" t="s">
        <v>4170</v>
      </c>
      <c r="C132" s="307" t="s">
        <v>4995</v>
      </c>
      <c r="D132" s="508" t="s">
        <v>4165</v>
      </c>
      <c r="E132" s="309">
        <v>51</v>
      </c>
      <c r="F132" s="307">
        <v>0</v>
      </c>
      <c r="G132" s="307" t="s">
        <v>4171</v>
      </c>
      <c r="H132" s="307" t="s">
        <v>4172</v>
      </c>
      <c r="I132" s="307" t="s">
        <v>4164</v>
      </c>
      <c r="J132" s="307" t="s">
        <v>4996</v>
      </c>
      <c r="K132" s="509" t="s">
        <v>4165</v>
      </c>
    </row>
    <row r="133" spans="1:20" s="304" customFormat="1" ht="15" customHeight="1">
      <c r="A133" s="507" t="s">
        <v>4997</v>
      </c>
      <c r="B133" s="314" t="s">
        <v>4173</v>
      </c>
      <c r="C133" s="315" t="s">
        <v>4998</v>
      </c>
      <c r="D133" s="510" t="s">
        <v>4164</v>
      </c>
      <c r="E133" s="317">
        <v>181</v>
      </c>
      <c r="F133" s="318">
        <v>0</v>
      </c>
      <c r="G133" s="315" t="s">
        <v>3876</v>
      </c>
      <c r="H133" s="315" t="s">
        <v>3892</v>
      </c>
      <c r="I133" s="315" t="s">
        <v>4164</v>
      </c>
      <c r="J133" s="315" t="s">
        <v>4164</v>
      </c>
      <c r="K133" s="511" t="s">
        <v>4164</v>
      </c>
    </row>
    <row r="134" spans="1:20" s="304" customFormat="1" ht="14.1" customHeight="1">
      <c r="A134" s="507" t="s">
        <v>4999</v>
      </c>
      <c r="B134" s="314" t="s">
        <v>4174</v>
      </c>
      <c r="C134" s="315" t="s">
        <v>5000</v>
      </c>
      <c r="D134" s="510" t="s">
        <v>4164</v>
      </c>
      <c r="E134" s="317">
        <v>62</v>
      </c>
      <c r="F134" s="318">
        <v>0</v>
      </c>
      <c r="G134" s="315" t="s">
        <v>3326</v>
      </c>
      <c r="H134" s="315" t="s">
        <v>4175</v>
      </c>
      <c r="I134" s="315" t="s">
        <v>4164</v>
      </c>
      <c r="J134" s="315" t="s">
        <v>4164</v>
      </c>
      <c r="K134" s="511" t="s">
        <v>4164</v>
      </c>
    </row>
    <row r="135" spans="1:20" s="304" customFormat="1" ht="15" customHeight="1">
      <c r="A135" s="507" t="s">
        <v>5001</v>
      </c>
      <c r="B135" s="306" t="s">
        <v>4176</v>
      </c>
      <c r="C135" s="307" t="s">
        <v>5002</v>
      </c>
      <c r="D135" s="508" t="s">
        <v>4164</v>
      </c>
      <c r="E135" s="309">
        <v>99</v>
      </c>
      <c r="F135" s="310">
        <v>0</v>
      </c>
      <c r="G135" s="307" t="s">
        <v>3883</v>
      </c>
      <c r="H135" s="307" t="s">
        <v>4177</v>
      </c>
      <c r="I135" s="307" t="s">
        <v>4164</v>
      </c>
      <c r="J135" s="307" t="s">
        <v>4164</v>
      </c>
      <c r="K135" s="509" t="s">
        <v>4164</v>
      </c>
    </row>
    <row r="136" spans="1:20" s="304" customFormat="1" ht="30.95" customHeight="1">
      <c r="A136" s="507" t="s">
        <v>5003</v>
      </c>
      <c r="B136" s="306" t="s">
        <v>4178</v>
      </c>
      <c r="C136" s="307" t="s">
        <v>5004</v>
      </c>
      <c r="D136" s="508" t="s">
        <v>4165</v>
      </c>
      <c r="E136" s="309">
        <v>51</v>
      </c>
      <c r="F136" s="307">
        <v>37</v>
      </c>
      <c r="G136" s="307" t="s">
        <v>3938</v>
      </c>
      <c r="H136" s="307" t="s">
        <v>3939</v>
      </c>
      <c r="I136" s="307" t="s">
        <v>4179</v>
      </c>
      <c r="J136" s="307" t="s">
        <v>5005</v>
      </c>
      <c r="K136" s="509" t="s">
        <v>4165</v>
      </c>
    </row>
    <row r="137" spans="1:20" s="304" customFormat="1" ht="17.100000000000001" customHeight="1">
      <c r="A137" s="305" t="s">
        <v>5006</v>
      </c>
      <c r="B137" s="306" t="s">
        <v>5007</v>
      </c>
      <c r="C137" s="307" t="s">
        <v>5008</v>
      </c>
      <c r="D137" s="505" t="s">
        <v>5009</v>
      </c>
      <c r="E137" s="309">
        <v>145</v>
      </c>
      <c r="F137" s="307">
        <v>0</v>
      </c>
      <c r="G137" s="307" t="s">
        <v>4180</v>
      </c>
      <c r="H137" s="307" t="s">
        <v>4181</v>
      </c>
      <c r="I137" s="310" t="s">
        <v>4984</v>
      </c>
      <c r="J137" s="310" t="s">
        <v>4984</v>
      </c>
      <c r="K137" s="506" t="s">
        <v>5009</v>
      </c>
    </row>
    <row r="138" spans="1:20" s="304" customFormat="1" ht="15.95" customHeight="1">
      <c r="A138" s="334" t="s">
        <v>5010</v>
      </c>
      <c r="B138" s="306" t="s">
        <v>4182</v>
      </c>
      <c r="C138" s="307" t="s">
        <v>5011</v>
      </c>
      <c r="D138" s="505" t="s">
        <v>5012</v>
      </c>
      <c r="E138" s="309">
        <v>1100</v>
      </c>
      <c r="F138" s="307">
        <v>0</v>
      </c>
      <c r="G138" s="307" t="s">
        <v>4126</v>
      </c>
      <c r="H138" s="307" t="s">
        <v>4183</v>
      </c>
      <c r="I138" s="375" t="s">
        <v>4184</v>
      </c>
      <c r="J138" s="307" t="s">
        <v>4185</v>
      </c>
      <c r="K138" s="505" t="s">
        <v>5012</v>
      </c>
    </row>
    <row r="139" spans="1:20" s="472" customFormat="1" ht="29.1" customHeight="1">
      <c r="A139" s="418" t="s">
        <v>5013</v>
      </c>
      <c r="B139" s="350" t="s">
        <v>5014</v>
      </c>
      <c r="C139" s="341" t="s">
        <v>5015</v>
      </c>
      <c r="D139" s="505" t="s">
        <v>5012</v>
      </c>
      <c r="E139" s="450">
        <v>709</v>
      </c>
      <c r="F139" s="351">
        <v>0</v>
      </c>
      <c r="G139" s="351" t="s">
        <v>4081</v>
      </c>
      <c r="H139" s="343" t="s">
        <v>4910</v>
      </c>
      <c r="I139" s="344" t="s">
        <v>4130</v>
      </c>
      <c r="J139" s="341" t="s">
        <v>4130</v>
      </c>
      <c r="K139" s="505" t="s">
        <v>5012</v>
      </c>
    </row>
    <row r="140" spans="1:20" s="472" customFormat="1" ht="24" customHeight="1">
      <c r="A140" s="334" t="s">
        <v>5016</v>
      </c>
      <c r="B140" s="306" t="s">
        <v>4153</v>
      </c>
      <c r="C140" s="307" t="s">
        <v>5017</v>
      </c>
      <c r="D140" s="505" t="s">
        <v>4983</v>
      </c>
      <c r="E140" s="309">
        <v>160</v>
      </c>
      <c r="F140" s="307" t="s">
        <v>4154</v>
      </c>
      <c r="G140" s="307" t="s">
        <v>3370</v>
      </c>
      <c r="H140" s="307" t="s">
        <v>4155</v>
      </c>
      <c r="I140" s="307" t="s">
        <v>4150</v>
      </c>
      <c r="J140" s="307" t="s">
        <v>4069</v>
      </c>
      <c r="K140" s="506" t="s">
        <v>4983</v>
      </c>
    </row>
    <row r="141" spans="1:20" s="472" customFormat="1" ht="24" customHeight="1">
      <c r="A141" s="334" t="s">
        <v>5018</v>
      </c>
      <c r="B141" s="306" t="s">
        <v>4149</v>
      </c>
      <c r="C141" s="307" t="s">
        <v>5019</v>
      </c>
      <c r="D141" s="505" t="s">
        <v>5020</v>
      </c>
      <c r="E141" s="309">
        <v>1200</v>
      </c>
      <c r="F141" s="310">
        <v>0</v>
      </c>
      <c r="G141" s="307" t="s">
        <v>4151</v>
      </c>
      <c r="H141" s="307" t="s">
        <v>4152</v>
      </c>
      <c r="I141" s="307"/>
      <c r="J141" s="307"/>
      <c r="K141" s="506" t="s">
        <v>5020</v>
      </c>
    </row>
    <row r="142" spans="1:20" s="472" customFormat="1" ht="24" customHeight="1">
      <c r="A142" s="362">
        <v>0</v>
      </c>
      <c r="B142" s="512" t="s">
        <v>4144</v>
      </c>
      <c r="C142" s="513" t="s">
        <v>5021</v>
      </c>
      <c r="D142" s="514" t="s">
        <v>5012</v>
      </c>
      <c r="E142" s="515">
        <v>250</v>
      </c>
      <c r="F142" s="513" t="s">
        <v>4961</v>
      </c>
      <c r="G142" s="513" t="s">
        <v>3370</v>
      </c>
      <c r="H142" s="343" t="s">
        <v>4887</v>
      </c>
      <c r="I142" s="344" t="s">
        <v>4944</v>
      </c>
      <c r="J142" s="513" t="s">
        <v>4130</v>
      </c>
      <c r="K142" s="516" t="s">
        <v>5012</v>
      </c>
    </row>
    <row r="143" spans="1:20" s="472" customFormat="1" ht="24" customHeight="1">
      <c r="A143" s="418" t="s">
        <v>5022</v>
      </c>
      <c r="B143" s="340" t="s">
        <v>5023</v>
      </c>
      <c r="C143" s="341" t="s">
        <v>5024</v>
      </c>
      <c r="D143" s="517" t="s">
        <v>5012</v>
      </c>
      <c r="E143" s="518">
        <v>663.5</v>
      </c>
      <c r="F143" s="341" t="s">
        <v>5025</v>
      </c>
      <c r="G143" s="351" t="s">
        <v>3876</v>
      </c>
      <c r="H143" s="343" t="s">
        <v>5026</v>
      </c>
      <c r="I143" s="519" t="s">
        <v>4944</v>
      </c>
      <c r="J143" s="341" t="s">
        <v>4130</v>
      </c>
      <c r="K143" s="516" t="s">
        <v>5012</v>
      </c>
    </row>
    <row r="144" spans="1:20" s="304" customFormat="1" ht="18.95" customHeight="1">
      <c r="A144" s="520"/>
      <c r="B144" s="960" t="s">
        <v>4186</v>
      </c>
      <c r="C144" s="961"/>
      <c r="D144" s="962"/>
      <c r="E144" s="521">
        <f>SUM(E128:E143)</f>
        <v>7878.5</v>
      </c>
      <c r="F144" s="365"/>
      <c r="G144" s="365"/>
      <c r="H144" s="365"/>
      <c r="I144" s="365"/>
      <c r="J144" s="365"/>
      <c r="K144" s="522"/>
    </row>
    <row r="145" spans="1:20" s="304" customFormat="1" ht="24" customHeight="1" thickBot="1">
      <c r="A145" s="320"/>
      <c r="B145" s="947" t="s">
        <v>4187</v>
      </c>
      <c r="C145" s="948"/>
      <c r="D145" s="949"/>
      <c r="E145" s="523">
        <f>SUM(E127+E144)</f>
        <v>8557.5</v>
      </c>
      <c r="F145" s="389"/>
      <c r="G145" s="389"/>
      <c r="H145" s="389"/>
      <c r="I145" s="389"/>
      <c r="J145" s="389"/>
      <c r="K145" s="390"/>
    </row>
    <row r="146" spans="1:20" s="304" customFormat="1" ht="15">
      <c r="A146" s="320"/>
      <c r="B146" s="933" t="s">
        <v>4188</v>
      </c>
      <c r="C146" s="933"/>
      <c r="D146" s="933"/>
      <c r="E146" s="524">
        <f>E96+E121+E145</f>
        <v>35612.5</v>
      </c>
      <c r="F146" s="430"/>
      <c r="G146" s="430"/>
      <c r="H146" s="430"/>
      <c r="I146" s="430"/>
      <c r="J146" s="430"/>
      <c r="K146" s="430"/>
    </row>
    <row r="147" spans="1:20" s="304" customFormat="1" ht="15.75" thickBot="1">
      <c r="A147" s="320"/>
      <c r="B147" s="525"/>
      <c r="C147" s="525"/>
      <c r="D147" s="525"/>
      <c r="E147" s="526"/>
      <c r="F147" s="430"/>
      <c r="G147" s="430"/>
      <c r="H147" s="430"/>
      <c r="I147" s="430"/>
      <c r="J147" s="430"/>
      <c r="K147" s="430"/>
      <c r="L147" s="284"/>
      <c r="M147" s="284"/>
      <c r="N147" s="284"/>
      <c r="O147" s="284"/>
      <c r="P147" s="284"/>
      <c r="Q147" s="284"/>
      <c r="R147" s="284"/>
      <c r="S147" s="284"/>
      <c r="T147" s="284"/>
    </row>
    <row r="148" spans="1:20" s="304" customFormat="1" ht="22.5">
      <c r="A148" s="320"/>
      <c r="B148" s="438" t="s">
        <v>4189</v>
      </c>
      <c r="C148" s="495" t="s">
        <v>3837</v>
      </c>
      <c r="D148" s="495" t="s">
        <v>4190</v>
      </c>
      <c r="E148" s="495" t="s">
        <v>3839</v>
      </c>
      <c r="F148" s="495" t="s">
        <v>4191</v>
      </c>
      <c r="G148" s="495" t="s">
        <v>3841</v>
      </c>
      <c r="H148" s="495" t="s">
        <v>4192</v>
      </c>
      <c r="I148" s="495" t="s">
        <v>4193</v>
      </c>
      <c r="J148" s="495"/>
      <c r="K148" s="527"/>
      <c r="L148" s="447"/>
      <c r="M148" s="447"/>
      <c r="N148" s="447"/>
      <c r="O148" s="447"/>
      <c r="P148" s="447"/>
      <c r="Q148" s="447"/>
      <c r="R148" s="447"/>
      <c r="S148" s="447"/>
      <c r="T148" s="447"/>
    </row>
    <row r="149" spans="1:20" ht="18.95" customHeight="1">
      <c r="A149" s="402" t="s">
        <v>4154</v>
      </c>
      <c r="B149" s="528" t="s">
        <v>4194</v>
      </c>
      <c r="C149" s="529" t="s">
        <v>4195</v>
      </c>
      <c r="D149" s="529" t="s">
        <v>4196</v>
      </c>
      <c r="E149" s="530">
        <v>116</v>
      </c>
      <c r="F149" s="529" t="s">
        <v>4197</v>
      </c>
      <c r="G149" s="529" t="s">
        <v>4126</v>
      </c>
      <c r="H149" s="529" t="s">
        <v>4198</v>
      </c>
      <c r="I149" s="531" t="s">
        <v>5027</v>
      </c>
      <c r="J149" s="532"/>
      <c r="K149" s="533"/>
    </row>
    <row r="150" spans="1:20" s="447" customFormat="1" ht="26.1" customHeight="1">
      <c r="A150" s="362"/>
      <c r="B150" s="534" t="s">
        <v>4199</v>
      </c>
      <c r="C150" s="535" t="s">
        <v>4200</v>
      </c>
      <c r="D150" s="535" t="s">
        <v>4196</v>
      </c>
      <c r="E150" s="536">
        <v>100</v>
      </c>
      <c r="F150" s="535" t="s">
        <v>4201</v>
      </c>
      <c r="G150" s="535" t="s">
        <v>3326</v>
      </c>
      <c r="H150" s="535" t="s">
        <v>4202</v>
      </c>
      <c r="I150" s="537" t="s">
        <v>5028</v>
      </c>
      <c r="J150" s="538"/>
      <c r="K150" s="539"/>
      <c r="L150" s="304"/>
      <c r="M150" s="304"/>
      <c r="N150" s="304"/>
      <c r="O150" s="304"/>
      <c r="P150" s="304"/>
      <c r="Q150" s="304"/>
      <c r="R150" s="304"/>
      <c r="S150" s="304"/>
      <c r="T150" s="304"/>
    </row>
    <row r="151" spans="1:20" s="447" customFormat="1" ht="26.1" customHeight="1">
      <c r="A151" s="362"/>
      <c r="B151" s="540" t="s">
        <v>5029</v>
      </c>
      <c r="C151" s="541" t="s">
        <v>5030</v>
      </c>
      <c r="D151" s="541" t="s">
        <v>5031</v>
      </c>
      <c r="E151" s="541">
        <v>300</v>
      </c>
      <c r="F151" s="541" t="s">
        <v>5032</v>
      </c>
      <c r="G151" s="541" t="s">
        <v>5033</v>
      </c>
      <c r="H151" s="542">
        <v>38862</v>
      </c>
      <c r="I151" s="542">
        <v>40213</v>
      </c>
      <c r="J151" s="541"/>
      <c r="K151" s="543"/>
      <c r="L151" s="304"/>
      <c r="M151" s="304"/>
      <c r="N151" s="304"/>
      <c r="O151" s="304"/>
      <c r="P151" s="304"/>
      <c r="Q151" s="304"/>
      <c r="R151" s="304"/>
      <c r="S151" s="304"/>
      <c r="T151" s="304"/>
    </row>
    <row r="152" spans="1:20" ht="33" customHeight="1">
      <c r="A152" s="412"/>
      <c r="B152" s="544" t="s">
        <v>4210</v>
      </c>
      <c r="C152" s="545" t="s">
        <v>5034</v>
      </c>
      <c r="D152" s="545" t="s">
        <v>4211</v>
      </c>
      <c r="E152" s="545">
        <v>500</v>
      </c>
      <c r="F152" s="545" t="s">
        <v>4209</v>
      </c>
      <c r="G152" s="545" t="s">
        <v>4212</v>
      </c>
      <c r="H152" s="546" t="s">
        <v>5035</v>
      </c>
      <c r="I152" s="547" t="s">
        <v>5036</v>
      </c>
      <c r="J152" s="548"/>
      <c r="K152" s="549"/>
      <c r="L152" s="304"/>
      <c r="M152" s="304"/>
      <c r="N152" s="304"/>
      <c r="O152" s="304"/>
      <c r="P152" s="304"/>
      <c r="Q152" s="304"/>
      <c r="R152" s="304"/>
      <c r="S152" s="304"/>
      <c r="T152" s="304"/>
    </row>
    <row r="153" spans="1:20" ht="33" customHeight="1" thickBot="1">
      <c r="A153" s="362"/>
      <c r="B153" s="550" t="s">
        <v>4207</v>
      </c>
      <c r="C153" s="551" t="s">
        <v>4208</v>
      </c>
      <c r="D153" s="551" t="s">
        <v>4196</v>
      </c>
      <c r="E153" s="552">
        <v>660</v>
      </c>
      <c r="F153" s="551" t="s">
        <v>4209</v>
      </c>
      <c r="G153" s="551" t="s">
        <v>3938</v>
      </c>
      <c r="H153" s="553" t="s">
        <v>5037</v>
      </c>
      <c r="I153" s="551" t="s">
        <v>5038</v>
      </c>
      <c r="J153" s="551"/>
      <c r="K153" s="554"/>
      <c r="L153" s="304"/>
      <c r="M153" s="304"/>
      <c r="N153" s="304"/>
      <c r="O153" s="304"/>
      <c r="P153" s="304"/>
      <c r="Q153" s="304"/>
      <c r="R153" s="304"/>
      <c r="S153" s="304"/>
      <c r="T153" s="304"/>
    </row>
    <row r="154" spans="1:20" s="304" customFormat="1" ht="21" customHeight="1">
      <c r="A154" s="320"/>
      <c r="B154" s="934" t="s">
        <v>4203</v>
      </c>
      <c r="C154" s="934"/>
      <c r="D154" s="934"/>
      <c r="E154" s="526">
        <f>SUM(E149:E153)</f>
        <v>1676</v>
      </c>
      <c r="F154" s="430"/>
      <c r="G154" s="430"/>
      <c r="H154" s="430"/>
      <c r="I154" s="430"/>
      <c r="J154" s="430"/>
      <c r="K154" s="430"/>
      <c r="L154" s="284"/>
      <c r="M154" s="284"/>
      <c r="N154" s="284"/>
      <c r="O154" s="284"/>
      <c r="P154" s="284"/>
      <c r="Q154" s="284"/>
      <c r="R154" s="284"/>
      <c r="S154" s="284"/>
      <c r="T154" s="284"/>
    </row>
    <row r="155" spans="1:20" s="304" customFormat="1" ht="30.95" customHeight="1" thickBot="1">
      <c r="A155" s="320"/>
      <c r="B155" s="490"/>
      <c r="C155" s="430"/>
      <c r="D155" s="555"/>
      <c r="E155" s="526"/>
      <c r="F155" s="430"/>
      <c r="G155" s="430"/>
      <c r="H155" s="430"/>
      <c r="I155" s="430"/>
      <c r="J155" s="430"/>
      <c r="K155" s="430"/>
      <c r="L155" s="447"/>
      <c r="M155" s="447"/>
      <c r="N155" s="447"/>
      <c r="O155" s="447"/>
      <c r="P155" s="447"/>
      <c r="Q155" s="447"/>
      <c r="R155" s="447"/>
      <c r="S155" s="447"/>
      <c r="T155" s="447"/>
    </row>
    <row r="156" spans="1:20" ht="62.1" customHeight="1">
      <c r="A156" s="448"/>
      <c r="B156" s="438" t="s">
        <v>4204</v>
      </c>
      <c r="C156" s="495" t="s">
        <v>3837</v>
      </c>
      <c r="D156" s="495" t="s">
        <v>4190</v>
      </c>
      <c r="E156" s="495" t="s">
        <v>5039</v>
      </c>
      <c r="F156" s="495" t="s">
        <v>4191</v>
      </c>
      <c r="G156" s="495" t="s">
        <v>3841</v>
      </c>
      <c r="H156" s="495" t="s">
        <v>4192</v>
      </c>
      <c r="I156" s="495" t="s">
        <v>4205</v>
      </c>
      <c r="J156" s="495"/>
      <c r="K156" s="527" t="s">
        <v>5040</v>
      </c>
    </row>
    <row r="157" spans="1:20" ht="96" customHeight="1">
      <c r="A157" s="448">
        <v>1</v>
      </c>
      <c r="B157" s="556" t="s">
        <v>5041</v>
      </c>
      <c r="C157" s="557" t="s">
        <v>5042</v>
      </c>
      <c r="D157" s="558" t="s">
        <v>4196</v>
      </c>
      <c r="E157" s="559">
        <v>390</v>
      </c>
      <c r="F157" s="558" t="s">
        <v>4197</v>
      </c>
      <c r="G157" s="557" t="s">
        <v>4206</v>
      </c>
      <c r="H157" s="558" t="s">
        <v>5043</v>
      </c>
      <c r="I157" s="557" t="s">
        <v>4944</v>
      </c>
      <c r="J157" s="560"/>
      <c r="K157" s="561" t="s">
        <v>5044</v>
      </c>
    </row>
    <row r="158" spans="1:20" ht="39.950000000000003" customHeight="1">
      <c r="A158" s="562">
        <v>2</v>
      </c>
      <c r="B158" s="563" t="s">
        <v>5045</v>
      </c>
      <c r="C158" s="564" t="s">
        <v>5046</v>
      </c>
      <c r="D158" s="564" t="s">
        <v>5047</v>
      </c>
      <c r="E158" s="565">
        <v>435</v>
      </c>
      <c r="F158" s="564" t="s">
        <v>5032</v>
      </c>
      <c r="G158" s="564" t="s">
        <v>4018</v>
      </c>
      <c r="H158" s="566" t="s">
        <v>5048</v>
      </c>
      <c r="I158" s="567"/>
      <c r="J158" s="568"/>
      <c r="K158" s="569"/>
    </row>
    <row r="159" spans="1:20" ht="24.95" customHeight="1">
      <c r="A159" s="362">
        <v>3</v>
      </c>
      <c r="B159" s="570" t="s">
        <v>5049</v>
      </c>
      <c r="C159" s="557" t="s">
        <v>5050</v>
      </c>
      <c r="D159" s="557" t="s">
        <v>5031</v>
      </c>
      <c r="E159" s="565" t="s">
        <v>5051</v>
      </c>
      <c r="F159" s="557" t="s">
        <v>5052</v>
      </c>
      <c r="G159" s="557" t="s">
        <v>5053</v>
      </c>
      <c r="H159" s="571">
        <v>40760</v>
      </c>
      <c r="I159" s="572" t="s">
        <v>4215</v>
      </c>
      <c r="J159" s="557"/>
      <c r="K159" s="573" t="s">
        <v>5054</v>
      </c>
    </row>
    <row r="160" spans="1:20" ht="24.95" customHeight="1">
      <c r="A160" s="362">
        <v>4</v>
      </c>
      <c r="B160" s="570" t="s">
        <v>5055</v>
      </c>
      <c r="C160" s="557" t="s">
        <v>5056</v>
      </c>
      <c r="D160" s="557" t="s">
        <v>5031</v>
      </c>
      <c r="E160" s="565">
        <v>939</v>
      </c>
      <c r="F160" s="557" t="s">
        <v>5032</v>
      </c>
      <c r="G160" s="557" t="s">
        <v>5057</v>
      </c>
      <c r="H160" s="571" t="s">
        <v>5058</v>
      </c>
      <c r="I160" s="574" t="s">
        <v>4944</v>
      </c>
      <c r="J160" s="557"/>
      <c r="K160" s="575" t="s">
        <v>5059</v>
      </c>
    </row>
    <row r="161" spans="1:20" ht="26.1" customHeight="1">
      <c r="A161" s="448">
        <v>5</v>
      </c>
      <c r="B161" s="576" t="s">
        <v>5060</v>
      </c>
      <c r="C161" s="568" t="s">
        <v>5061</v>
      </c>
      <c r="D161" s="568" t="s">
        <v>5047</v>
      </c>
      <c r="E161" s="568">
        <v>100</v>
      </c>
      <c r="F161" s="568" t="s">
        <v>5052</v>
      </c>
      <c r="G161" s="568" t="s">
        <v>5062</v>
      </c>
      <c r="H161" s="577" t="s">
        <v>5063</v>
      </c>
      <c r="I161" s="568" t="s">
        <v>4944</v>
      </c>
      <c r="J161" s="578"/>
      <c r="K161" s="569" t="s">
        <v>4944</v>
      </c>
      <c r="L161" s="447"/>
      <c r="M161" s="447"/>
      <c r="N161" s="447"/>
      <c r="O161" s="447"/>
      <c r="P161" s="447"/>
      <c r="Q161" s="447"/>
      <c r="R161" s="447"/>
      <c r="S161" s="447"/>
      <c r="T161" s="447"/>
    </row>
    <row r="162" spans="1:20" ht="26.1" customHeight="1">
      <c r="A162" s="448">
        <v>6</v>
      </c>
      <c r="B162" s="576" t="s">
        <v>5064</v>
      </c>
      <c r="C162" s="568" t="s">
        <v>5047</v>
      </c>
      <c r="D162" s="568" t="s">
        <v>5031</v>
      </c>
      <c r="E162" s="568">
        <v>496</v>
      </c>
      <c r="F162" s="568" t="s">
        <v>5032</v>
      </c>
      <c r="G162" s="568" t="s">
        <v>5065</v>
      </c>
      <c r="H162" s="577" t="s">
        <v>5066</v>
      </c>
      <c r="I162" s="568" t="s">
        <v>4944</v>
      </c>
      <c r="J162" s="578"/>
      <c r="K162" s="579"/>
      <c r="L162" s="447"/>
      <c r="M162" s="447"/>
      <c r="N162" s="447"/>
      <c r="O162" s="447"/>
      <c r="P162" s="447"/>
      <c r="Q162" s="447"/>
      <c r="R162" s="447"/>
      <c r="S162" s="447"/>
      <c r="T162" s="447"/>
    </row>
    <row r="163" spans="1:20" s="374" customFormat="1" ht="29.1" customHeight="1">
      <c r="A163" s="448">
        <v>7</v>
      </c>
      <c r="B163" s="580" t="s">
        <v>5067</v>
      </c>
      <c r="C163" s="581" t="s">
        <v>5068</v>
      </c>
      <c r="D163" s="581" t="s">
        <v>4196</v>
      </c>
      <c r="E163" s="582">
        <v>656</v>
      </c>
      <c r="F163" s="581" t="s">
        <v>4213</v>
      </c>
      <c r="G163" s="581" t="s">
        <v>3876</v>
      </c>
      <c r="H163" s="583" t="s">
        <v>4214</v>
      </c>
      <c r="I163" s="572" t="s">
        <v>4215</v>
      </c>
      <c r="J163" s="584"/>
      <c r="K163" s="585" t="s">
        <v>4215</v>
      </c>
      <c r="L163" s="284"/>
      <c r="M163" s="284"/>
      <c r="N163" s="284"/>
      <c r="O163" s="284"/>
      <c r="P163" s="284"/>
      <c r="Q163" s="284"/>
      <c r="R163" s="284"/>
      <c r="S163" s="284"/>
      <c r="T163" s="284"/>
    </row>
    <row r="164" spans="1:20" s="374" customFormat="1" ht="29.1" customHeight="1">
      <c r="A164" s="448">
        <v>8</v>
      </c>
      <c r="B164" s="576" t="s">
        <v>5069</v>
      </c>
      <c r="C164" s="568" t="s">
        <v>5070</v>
      </c>
      <c r="D164" s="568" t="s">
        <v>5031</v>
      </c>
      <c r="E164" s="586" t="s">
        <v>5071</v>
      </c>
      <c r="F164" s="568" t="s">
        <v>5052</v>
      </c>
      <c r="G164" s="568" t="s">
        <v>5072</v>
      </c>
      <c r="H164" s="587" t="s">
        <v>5073</v>
      </c>
      <c r="I164" s="588" t="s">
        <v>4215</v>
      </c>
      <c r="J164" s="568"/>
      <c r="K164" s="589" t="s">
        <v>4215</v>
      </c>
      <c r="L164" s="284"/>
      <c r="M164" s="284"/>
      <c r="N164" s="284"/>
      <c r="O164" s="284"/>
      <c r="P164" s="284"/>
      <c r="Q164" s="284"/>
      <c r="R164" s="284"/>
      <c r="S164" s="284"/>
      <c r="T164" s="284"/>
    </row>
    <row r="165" spans="1:20" s="447" customFormat="1" ht="24" customHeight="1">
      <c r="A165" s="362">
        <v>9</v>
      </c>
      <c r="B165" s="590" t="s">
        <v>4216</v>
      </c>
      <c r="C165" s="591" t="s">
        <v>4217</v>
      </c>
      <c r="D165" s="591" t="s">
        <v>4196</v>
      </c>
      <c r="E165" s="592">
        <v>500</v>
      </c>
      <c r="F165" s="591" t="s">
        <v>4209</v>
      </c>
      <c r="G165" s="591" t="s">
        <v>3872</v>
      </c>
      <c r="H165" s="591" t="s">
        <v>4218</v>
      </c>
      <c r="I165" s="593" t="s">
        <v>5054</v>
      </c>
      <c r="J165" s="594"/>
      <c r="K165" s="573" t="s">
        <v>5054</v>
      </c>
      <c r="L165" s="284"/>
      <c r="M165" s="284"/>
      <c r="N165" s="284"/>
      <c r="O165" s="284"/>
      <c r="P165" s="284"/>
      <c r="Q165" s="284"/>
      <c r="R165" s="284"/>
      <c r="S165" s="284"/>
      <c r="T165" s="284"/>
    </row>
    <row r="166" spans="1:20" ht="29.1" customHeight="1" thickBot="1">
      <c r="A166" s="362">
        <v>10</v>
      </c>
      <c r="B166" s="595" t="s">
        <v>4219</v>
      </c>
      <c r="C166" s="596" t="s">
        <v>5074</v>
      </c>
      <c r="D166" s="597" t="s">
        <v>4196</v>
      </c>
      <c r="E166" s="598">
        <v>550</v>
      </c>
      <c r="F166" s="599" t="s">
        <v>4197</v>
      </c>
      <c r="G166" s="599" t="s">
        <v>3861</v>
      </c>
      <c r="H166" s="600" t="s">
        <v>4220</v>
      </c>
      <c r="I166" s="601" t="s">
        <v>5075</v>
      </c>
      <c r="J166" s="602"/>
      <c r="K166" s="603" t="s">
        <v>4944</v>
      </c>
      <c r="L166" s="374"/>
      <c r="M166" s="374"/>
      <c r="N166" s="374"/>
      <c r="O166" s="374"/>
      <c r="P166" s="374"/>
      <c r="Q166" s="374"/>
      <c r="R166" s="374"/>
      <c r="S166" s="374"/>
      <c r="T166" s="374"/>
    </row>
    <row r="167" spans="1:20" s="447" customFormat="1" ht="29.1" customHeight="1">
      <c r="A167" s="362"/>
      <c r="B167" s="935" t="s">
        <v>5076</v>
      </c>
      <c r="C167" s="935"/>
      <c r="D167" s="935"/>
      <c r="E167" s="604">
        <f>SUM(E157+E161+E166+E160+E162+E163+E165+E158)</f>
        <v>4066</v>
      </c>
      <c r="F167" s="430"/>
      <c r="G167" s="430"/>
      <c r="H167" s="430"/>
      <c r="I167" s="430"/>
      <c r="J167" s="429"/>
      <c r="K167" s="430"/>
    </row>
    <row r="168" spans="1:20" s="447" customFormat="1" ht="12.95" customHeight="1">
      <c r="A168" s="362"/>
      <c r="B168" s="936" t="s">
        <v>5077</v>
      </c>
      <c r="C168" s="936"/>
      <c r="D168" s="936"/>
      <c r="E168" s="605">
        <f>SUM(500+250)</f>
        <v>750</v>
      </c>
      <c r="F168" s="430"/>
      <c r="G168" s="430"/>
      <c r="H168" s="430"/>
      <c r="I168" s="430"/>
      <c r="J168" s="429"/>
      <c r="K168" s="430"/>
    </row>
    <row r="169" spans="1:20" s="447" customFormat="1" ht="12.95" customHeight="1">
      <c r="A169" s="362"/>
      <c r="B169" s="606"/>
      <c r="C169" s="937"/>
      <c r="D169" s="937"/>
      <c r="E169" s="605"/>
      <c r="F169" s="430"/>
      <c r="G169" s="430"/>
      <c r="H169" s="430"/>
      <c r="I169" s="430"/>
      <c r="J169" s="429"/>
      <c r="K169" s="430"/>
    </row>
    <row r="170" spans="1:20" s="447" customFormat="1" ht="12.95" customHeight="1">
      <c r="A170" s="362"/>
      <c r="B170" s="934" t="s">
        <v>5078</v>
      </c>
      <c r="C170" s="934"/>
      <c r="D170" s="934"/>
      <c r="E170" s="605">
        <f>SUM($E$167+$E$168-500-250-656-500)</f>
        <v>2910</v>
      </c>
      <c r="F170" s="430"/>
      <c r="G170" s="430"/>
      <c r="H170" s="430"/>
      <c r="I170" s="430"/>
      <c r="J170" s="429"/>
      <c r="K170" s="430"/>
      <c r="L170" s="284"/>
      <c r="M170" s="284"/>
      <c r="N170" s="284"/>
      <c r="O170" s="284"/>
      <c r="P170" s="284"/>
      <c r="Q170" s="284"/>
      <c r="R170" s="284"/>
      <c r="S170" s="284"/>
      <c r="T170" s="284"/>
    </row>
    <row r="171" spans="1:20" s="447" customFormat="1" ht="29.1" customHeight="1" thickBot="1">
      <c r="A171" s="362"/>
      <c r="B171" s="525"/>
      <c r="C171" s="525"/>
      <c r="D171" s="525"/>
      <c r="E171" s="607"/>
      <c r="F171" s="430"/>
      <c r="G171" s="430"/>
      <c r="H171" s="430"/>
      <c r="I171" s="430"/>
      <c r="J171" s="429"/>
      <c r="K171" s="430"/>
      <c r="L171" s="284"/>
      <c r="M171" s="284"/>
      <c r="N171" s="284"/>
      <c r="O171" s="284"/>
      <c r="P171" s="284"/>
      <c r="Q171" s="284"/>
      <c r="R171" s="284"/>
      <c r="S171" s="284"/>
      <c r="T171" s="284"/>
    </row>
    <row r="172" spans="1:20" ht="29.1" customHeight="1">
      <c r="A172" s="448"/>
      <c r="B172" s="438" t="s">
        <v>4324</v>
      </c>
      <c r="C172" s="495" t="s">
        <v>5079</v>
      </c>
      <c r="D172" s="495" t="s">
        <v>5080</v>
      </c>
      <c r="E172" s="495" t="s">
        <v>4221</v>
      </c>
      <c r="F172" s="495" t="s">
        <v>4191</v>
      </c>
      <c r="G172" s="495" t="s">
        <v>3841</v>
      </c>
      <c r="H172" s="495" t="s">
        <v>4222</v>
      </c>
      <c r="I172" s="495"/>
      <c r="J172" s="495"/>
      <c r="K172" s="527"/>
    </row>
    <row r="173" spans="1:20" ht="29.1" customHeight="1">
      <c r="A173" s="448">
        <v>1</v>
      </c>
      <c r="B173" s="608" t="s">
        <v>5081</v>
      </c>
      <c r="C173" s="609" t="s">
        <v>5047</v>
      </c>
      <c r="D173" s="609" t="s">
        <v>5082</v>
      </c>
      <c r="E173" s="609">
        <v>163</v>
      </c>
      <c r="F173" s="609" t="s">
        <v>5032</v>
      </c>
      <c r="G173" s="609" t="s">
        <v>5083</v>
      </c>
      <c r="H173" s="610" t="s">
        <v>5084</v>
      </c>
      <c r="I173" s="611"/>
      <c r="J173" s="611"/>
      <c r="K173" s="612"/>
    </row>
    <row r="174" spans="1:20" ht="29.1" customHeight="1" thickBot="1">
      <c r="A174" s="448">
        <v>2</v>
      </c>
      <c r="B174" s="608" t="s">
        <v>5085</v>
      </c>
      <c r="C174" s="609" t="s">
        <v>5047</v>
      </c>
      <c r="D174" s="609" t="s">
        <v>5086</v>
      </c>
      <c r="E174" s="613">
        <v>235</v>
      </c>
      <c r="F174" s="613" t="s">
        <v>5052</v>
      </c>
      <c r="G174" s="613" t="s">
        <v>5087</v>
      </c>
      <c r="H174" s="614" t="s">
        <v>5088</v>
      </c>
      <c r="I174" s="615"/>
      <c r="J174" s="615"/>
      <c r="K174" s="616"/>
    </row>
    <row r="175" spans="1:20" ht="29.1" customHeight="1">
      <c r="A175" s="362"/>
      <c r="B175" s="933" t="s">
        <v>4223</v>
      </c>
      <c r="C175" s="933"/>
      <c r="D175" s="933"/>
      <c r="E175" s="524">
        <f>SUM(E173:E174)</f>
        <v>398</v>
      </c>
      <c r="F175" s="430"/>
      <c r="G175" s="430"/>
      <c r="H175" s="493"/>
      <c r="I175" s="429"/>
      <c r="J175" s="429"/>
      <c r="K175" s="429"/>
    </row>
    <row r="176" spans="1:20" ht="29.1" customHeight="1" thickBot="1">
      <c r="B176" s="617"/>
      <c r="C176" s="618"/>
      <c r="D176" s="618"/>
      <c r="E176" s="619"/>
      <c r="F176" s="619"/>
      <c r="G176" s="619"/>
      <c r="H176" s="619"/>
      <c r="I176" s="619"/>
      <c r="J176" s="619"/>
      <c r="K176" s="619"/>
    </row>
    <row r="177" spans="2:11" ht="29.1" customHeight="1" thickTop="1">
      <c r="B177" s="938" t="s">
        <v>4224</v>
      </c>
      <c r="C177" s="939"/>
      <c r="D177" s="940"/>
      <c r="F177" s="941" t="s">
        <v>4225</v>
      </c>
      <c r="G177" s="942"/>
      <c r="H177" s="942"/>
      <c r="I177" s="942"/>
      <c r="J177" s="942"/>
      <c r="K177" s="943"/>
    </row>
    <row r="178" spans="2:11" ht="36.950000000000003" customHeight="1">
      <c r="B178" s="944" t="s">
        <v>4226</v>
      </c>
      <c r="C178" s="945"/>
      <c r="D178" s="946"/>
      <c r="F178" s="620" t="s">
        <v>4209</v>
      </c>
      <c r="G178" s="926" t="s">
        <v>4227</v>
      </c>
      <c r="H178" s="926"/>
      <c r="I178" s="926"/>
      <c r="J178" s="926"/>
      <c r="K178" s="927"/>
    </row>
    <row r="179" spans="2:11" ht="32.1" customHeight="1">
      <c r="B179" s="923" t="s">
        <v>4228</v>
      </c>
      <c r="C179" s="924"/>
      <c r="D179" s="925"/>
      <c r="F179" s="620" t="s">
        <v>4197</v>
      </c>
      <c r="G179" s="926" t="s">
        <v>4229</v>
      </c>
      <c r="H179" s="926"/>
      <c r="I179" s="926"/>
      <c r="J179" s="926"/>
      <c r="K179" s="927"/>
    </row>
    <row r="180" spans="2:11" ht="12" customHeight="1">
      <c r="B180" s="923" t="s">
        <v>4230</v>
      </c>
      <c r="C180" s="924"/>
      <c r="D180" s="925"/>
      <c r="F180" s="620" t="s">
        <v>4213</v>
      </c>
      <c r="G180" s="926" t="s">
        <v>4231</v>
      </c>
      <c r="H180" s="926"/>
      <c r="I180" s="926"/>
      <c r="J180" s="926"/>
      <c r="K180" s="927"/>
    </row>
    <row r="181" spans="2:11" ht="12" customHeight="1">
      <c r="B181" s="928" t="s">
        <v>4232</v>
      </c>
      <c r="C181" s="929"/>
      <c r="D181" s="930"/>
      <c r="F181" s="620" t="s">
        <v>4233</v>
      </c>
      <c r="G181" s="926" t="s">
        <v>4234</v>
      </c>
      <c r="H181" s="926"/>
      <c r="I181" s="926"/>
      <c r="J181" s="926"/>
      <c r="K181" s="927"/>
    </row>
    <row r="182" spans="2:11">
      <c r="B182" s="923" t="s">
        <v>4235</v>
      </c>
      <c r="C182" s="924"/>
      <c r="D182" s="925"/>
      <c r="F182" s="620" t="s">
        <v>4201</v>
      </c>
      <c r="G182" s="926" t="s">
        <v>4236</v>
      </c>
      <c r="H182" s="926"/>
      <c r="I182" s="926"/>
      <c r="J182" s="926"/>
      <c r="K182" s="927"/>
    </row>
    <row r="183" spans="2:11" ht="12" customHeight="1">
      <c r="B183" s="923" t="s">
        <v>4237</v>
      </c>
      <c r="C183" s="924"/>
      <c r="D183" s="925"/>
      <c r="F183" s="620" t="s">
        <v>4150</v>
      </c>
      <c r="G183" s="926" t="s">
        <v>4238</v>
      </c>
      <c r="H183" s="926"/>
      <c r="I183" s="926"/>
      <c r="J183" s="926"/>
      <c r="K183" s="927"/>
    </row>
    <row r="184" spans="2:11" ht="12" customHeight="1" thickBot="1">
      <c r="B184" s="923" t="s">
        <v>4239</v>
      </c>
      <c r="C184" s="924"/>
      <c r="D184" s="925"/>
      <c r="F184" s="621" t="s">
        <v>4240</v>
      </c>
      <c r="G184" s="931" t="s">
        <v>4241</v>
      </c>
      <c r="H184" s="931"/>
      <c r="I184" s="931"/>
      <c r="J184" s="931"/>
      <c r="K184" s="932"/>
    </row>
    <row r="185" spans="2:11" ht="12.95" customHeight="1" thickTop="1">
      <c r="B185" s="923" t="s">
        <v>4242</v>
      </c>
      <c r="C185" s="924"/>
      <c r="D185" s="925"/>
      <c r="H185" s="619"/>
      <c r="I185" s="619"/>
      <c r="J185" s="619"/>
    </row>
    <row r="186" spans="2:11" ht="12" customHeight="1" thickBot="1">
      <c r="B186" s="920" t="s">
        <v>4243</v>
      </c>
      <c r="C186" s="921"/>
      <c r="D186" s="922"/>
    </row>
    <row r="187" spans="2:11" ht="12.95" customHeight="1"/>
    <row r="188" spans="2:11" ht="12.95" customHeight="1"/>
  </sheetData>
  <mergeCells count="49">
    <mergeCell ref="B77:D77"/>
    <mergeCell ref="B2:K2"/>
    <mergeCell ref="A3:K3"/>
    <mergeCell ref="B23:D23"/>
    <mergeCell ref="B31:D31"/>
    <mergeCell ref="B42:D42"/>
    <mergeCell ref="B50:D50"/>
    <mergeCell ref="B57:D57"/>
    <mergeCell ref="B60:D60"/>
    <mergeCell ref="B62:D62"/>
    <mergeCell ref="B68:D68"/>
    <mergeCell ref="B74:D74"/>
    <mergeCell ref="B145:D145"/>
    <mergeCell ref="B83:D83"/>
    <mergeCell ref="B91:D91"/>
    <mergeCell ref="B95:D95"/>
    <mergeCell ref="B96:D96"/>
    <mergeCell ref="C104:D104"/>
    <mergeCell ref="B105:D105"/>
    <mergeCell ref="B119:D119"/>
    <mergeCell ref="B120:D120"/>
    <mergeCell ref="B121:D121"/>
    <mergeCell ref="B127:D127"/>
    <mergeCell ref="B144:D144"/>
    <mergeCell ref="B179:D179"/>
    <mergeCell ref="G179:K179"/>
    <mergeCell ref="B146:D146"/>
    <mergeCell ref="B154:D154"/>
    <mergeCell ref="B167:D167"/>
    <mergeCell ref="B168:D168"/>
    <mergeCell ref="C169:D169"/>
    <mergeCell ref="B170:D170"/>
    <mergeCell ref="B175:D175"/>
    <mergeCell ref="B177:D177"/>
    <mergeCell ref="F177:K177"/>
    <mergeCell ref="B178:D178"/>
    <mergeCell ref="G178:K178"/>
    <mergeCell ref="B186:D186"/>
    <mergeCell ref="B180:D180"/>
    <mergeCell ref="G180:K180"/>
    <mergeCell ref="B181:D181"/>
    <mergeCell ref="G181:K181"/>
    <mergeCell ref="B182:D182"/>
    <mergeCell ref="G182:K182"/>
    <mergeCell ref="B183:D183"/>
    <mergeCell ref="G183:K183"/>
    <mergeCell ref="B184:D184"/>
    <mergeCell ref="G184:K184"/>
    <mergeCell ref="B185:D185"/>
  </mergeCells>
  <printOptions horizontalCentered="1"/>
  <pageMargins left="0" right="0.21" top="0.1" bottom="0" header="0" footer="0"/>
  <pageSetup scale="26" fitToHeight="0" orientation="portrait"/>
  <headerFooter alignWithMargins="0">
    <oddFooter>&amp;L&amp;"Verdana,Bold"&amp;10Energy Facility Status&amp;C&amp;"Verdana,Bold"&amp;10&amp;P&amp;R&amp;"Verdana,Bold"&amp;10Updated &amp;D</oddFooter>
  </headerFooter>
  <rowBreaks count="4" manualBreakCount="4">
    <brk id="50" max="10" man="1"/>
    <brk id="121" max="10" man="1"/>
    <brk id="154" max="16383" man="1"/>
    <brk id="170" max="10"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J9"/>
  <sheetViews>
    <sheetView topLeftCell="R1" zoomScale="80" zoomScaleNormal="80" zoomScalePageLayoutView="80" workbookViewId="0">
      <selection activeCell="AI1" sqref="AI1"/>
    </sheetView>
  </sheetViews>
  <sheetFormatPr defaultColWidth="10.140625" defaultRowHeight="14.25"/>
  <cols>
    <col min="1" max="1" width="11.7109375" style="659" bestFit="1" customWidth="1"/>
    <col min="2" max="2" width="10.140625" style="659"/>
    <col min="3" max="3" width="26.140625" style="659" bestFit="1" customWidth="1"/>
    <col min="4" max="4" width="33.85546875" style="659" bestFit="1" customWidth="1"/>
    <col min="5" max="5" width="11.42578125" style="659" bestFit="1" customWidth="1"/>
    <col min="6" max="6" width="16.85546875" style="659" bestFit="1" customWidth="1"/>
    <col min="7" max="7" width="27.85546875" style="659" bestFit="1" customWidth="1"/>
    <col min="8" max="8" width="10.140625" style="659"/>
    <col min="9" max="9" width="12.7109375" style="659" bestFit="1" customWidth="1"/>
    <col min="10" max="11" width="61.28515625" style="659" bestFit="1" customWidth="1"/>
    <col min="12" max="12" width="14.42578125" style="659" bestFit="1" customWidth="1"/>
    <col min="13" max="13" width="13.140625" style="659" bestFit="1" customWidth="1"/>
    <col min="14" max="14" width="21.7109375" style="659" bestFit="1" customWidth="1"/>
    <col min="15" max="15" width="13.7109375" style="659" bestFit="1" customWidth="1"/>
    <col min="16" max="16" width="11.7109375" style="659" bestFit="1" customWidth="1"/>
    <col min="17" max="21" width="10.140625" style="659"/>
    <col min="22" max="22" width="46.140625" style="659" bestFit="1" customWidth="1"/>
    <col min="23" max="34" width="10.140625" style="659"/>
    <col min="35" max="35" width="27" style="659" customWidth="1"/>
    <col min="36" max="16384" width="10.140625" style="659"/>
  </cols>
  <sheetData>
    <row r="1" spans="1:36" s="639" customFormat="1" ht="204.75">
      <c r="A1" s="632" t="s">
        <v>5092</v>
      </c>
      <c r="B1" s="632" t="s">
        <v>5093</v>
      </c>
      <c r="C1" s="633" t="s">
        <v>5094</v>
      </c>
      <c r="D1" s="632" t="s">
        <v>5095</v>
      </c>
      <c r="E1" s="634" t="s">
        <v>5096</v>
      </c>
      <c r="F1" s="634" t="s">
        <v>5097</v>
      </c>
      <c r="G1" s="635" t="s">
        <v>5098</v>
      </c>
      <c r="H1" s="635" t="s">
        <v>5099</v>
      </c>
      <c r="I1" s="636" t="s">
        <v>5100</v>
      </c>
      <c r="J1" s="635" t="s">
        <v>5101</v>
      </c>
      <c r="K1" s="636" t="s">
        <v>5102</v>
      </c>
      <c r="L1" s="636" t="s">
        <v>5103</v>
      </c>
      <c r="M1" s="636" t="s">
        <v>5104</v>
      </c>
      <c r="N1" s="636" t="s">
        <v>5105</v>
      </c>
      <c r="O1" s="636" t="s">
        <v>5106</v>
      </c>
      <c r="P1" s="636" t="s">
        <v>5107</v>
      </c>
      <c r="Q1" s="635" t="s">
        <v>5108</v>
      </c>
      <c r="R1" s="635" t="s">
        <v>5109</v>
      </c>
      <c r="S1" s="635" t="s">
        <v>5110</v>
      </c>
      <c r="T1" s="637" t="s">
        <v>5111</v>
      </c>
      <c r="U1" s="635" t="s">
        <v>5112</v>
      </c>
      <c r="V1" s="633" t="s">
        <v>5113</v>
      </c>
      <c r="W1" s="638">
        <v>2012</v>
      </c>
      <c r="X1" s="638" t="s">
        <v>5114</v>
      </c>
      <c r="Y1" s="638" t="s">
        <v>5115</v>
      </c>
      <c r="Z1" s="638" t="s">
        <v>5116</v>
      </c>
      <c r="AA1" s="638" t="s">
        <v>5117</v>
      </c>
      <c r="AB1" s="638" t="s">
        <v>5118</v>
      </c>
      <c r="AC1" s="638" t="s">
        <v>5119</v>
      </c>
      <c r="AD1" s="638" t="s">
        <v>5120</v>
      </c>
      <c r="AE1" s="638" t="s">
        <v>5121</v>
      </c>
      <c r="AF1" s="638" t="s">
        <v>5122</v>
      </c>
      <c r="AG1" s="638" t="s">
        <v>5123</v>
      </c>
      <c r="AH1" s="635" t="s">
        <v>5124</v>
      </c>
      <c r="AI1" s="848" t="s">
        <v>5423</v>
      </c>
    </row>
    <row r="2" spans="1:36" s="651" customFormat="1" ht="18">
      <c r="A2" s="640" t="s">
        <v>5125</v>
      </c>
      <c r="B2" s="641" t="s">
        <v>5126</v>
      </c>
      <c r="C2" s="642"/>
      <c r="D2" s="640" t="s">
        <v>5127</v>
      </c>
      <c r="E2" s="643">
        <v>41760</v>
      </c>
      <c r="F2" s="643">
        <v>50890</v>
      </c>
      <c r="G2" s="644" t="s">
        <v>5128</v>
      </c>
      <c r="H2" s="644" t="s">
        <v>21</v>
      </c>
      <c r="I2" s="644" t="s">
        <v>3386</v>
      </c>
      <c r="J2" s="644"/>
      <c r="K2" s="645" t="s">
        <v>5129</v>
      </c>
      <c r="L2" s="645"/>
      <c r="M2" s="645"/>
      <c r="N2" s="645"/>
      <c r="O2" s="645" t="s">
        <v>3349</v>
      </c>
      <c r="P2" s="645"/>
      <c r="Q2" s="644" t="s">
        <v>5130</v>
      </c>
      <c r="R2" s="644" t="s">
        <v>5125</v>
      </c>
      <c r="S2" s="646" t="s">
        <v>5131</v>
      </c>
      <c r="T2" s="645" t="s">
        <v>5132</v>
      </c>
      <c r="U2" s="647" t="s">
        <v>859</v>
      </c>
      <c r="V2" s="648" t="s">
        <v>5133</v>
      </c>
      <c r="W2" s="649"/>
      <c r="X2" s="650"/>
      <c r="Y2" s="650">
        <v>20</v>
      </c>
      <c r="Z2" s="650">
        <v>20</v>
      </c>
      <c r="AA2" s="650">
        <v>20</v>
      </c>
      <c r="AB2" s="650">
        <v>20</v>
      </c>
      <c r="AC2" s="650">
        <v>20</v>
      </c>
      <c r="AD2" s="650">
        <v>20</v>
      </c>
      <c r="AE2" s="650">
        <v>20</v>
      </c>
      <c r="AF2" s="650">
        <v>20</v>
      </c>
      <c r="AG2" s="650">
        <v>20</v>
      </c>
      <c r="AH2" s="640" t="s">
        <v>5134</v>
      </c>
      <c r="AI2" s="850"/>
      <c r="AJ2" s="849"/>
    </row>
    <row r="3" spans="1:36" s="651" customFormat="1" ht="18">
      <c r="A3" s="640" t="s">
        <v>5125</v>
      </c>
      <c r="B3" s="641" t="s">
        <v>5126</v>
      </c>
      <c r="C3" s="647"/>
      <c r="D3" s="652" t="s">
        <v>5135</v>
      </c>
      <c r="E3" s="643">
        <v>41639</v>
      </c>
      <c r="F3" s="643">
        <v>50770</v>
      </c>
      <c r="G3" s="644" t="s">
        <v>5136</v>
      </c>
      <c r="H3" s="644" t="s">
        <v>30</v>
      </c>
      <c r="I3" s="644" t="s">
        <v>3386</v>
      </c>
      <c r="J3" s="644"/>
      <c r="K3" s="645" t="s">
        <v>5129</v>
      </c>
      <c r="L3" s="645"/>
      <c r="M3" s="645"/>
      <c r="N3" s="645"/>
      <c r="O3" s="645" t="s">
        <v>3370</v>
      </c>
      <c r="P3" s="645" t="s">
        <v>5137</v>
      </c>
      <c r="Q3" s="644" t="s">
        <v>5130</v>
      </c>
      <c r="R3" s="644" t="s">
        <v>5125</v>
      </c>
      <c r="S3" s="653" t="s">
        <v>5138</v>
      </c>
      <c r="T3" s="645" t="s">
        <v>5139</v>
      </c>
      <c r="U3" s="647" t="s">
        <v>3381</v>
      </c>
      <c r="V3" s="652" t="s">
        <v>5140</v>
      </c>
      <c r="W3" s="649"/>
      <c r="X3" s="654"/>
      <c r="Y3" s="654">
        <v>16.8</v>
      </c>
      <c r="Z3" s="654">
        <v>16.8</v>
      </c>
      <c r="AA3" s="654">
        <v>16.8</v>
      </c>
      <c r="AB3" s="654">
        <v>16.8</v>
      </c>
      <c r="AC3" s="654">
        <v>16.8</v>
      </c>
      <c r="AD3" s="654">
        <v>16.8</v>
      </c>
      <c r="AE3" s="654">
        <v>16.8</v>
      </c>
      <c r="AF3" s="654">
        <v>16.8</v>
      </c>
      <c r="AG3" s="654">
        <v>16.8</v>
      </c>
      <c r="AH3" s="640" t="s">
        <v>5134</v>
      </c>
      <c r="AI3" s="851"/>
      <c r="AJ3" s="849"/>
    </row>
    <row r="4" spans="1:36" s="651" customFormat="1" ht="18">
      <c r="A4" s="640" t="s">
        <v>5125</v>
      </c>
      <c r="B4" s="641" t="s">
        <v>5126</v>
      </c>
      <c r="C4" s="642"/>
      <c r="D4" s="640"/>
      <c r="E4" s="643">
        <v>41640</v>
      </c>
      <c r="F4" s="643">
        <v>45291</v>
      </c>
      <c r="G4" s="644" t="s">
        <v>5141</v>
      </c>
      <c r="H4" s="644" t="s">
        <v>30</v>
      </c>
      <c r="I4" s="644" t="s">
        <v>5142</v>
      </c>
      <c r="J4" s="644" t="s">
        <v>5143</v>
      </c>
      <c r="K4" s="655" t="s">
        <v>5143</v>
      </c>
      <c r="L4" s="655" t="s">
        <v>5144</v>
      </c>
      <c r="M4" s="655" t="s">
        <v>5145</v>
      </c>
      <c r="N4" s="655" t="s">
        <v>387</v>
      </c>
      <c r="O4" s="655" t="s">
        <v>5146</v>
      </c>
      <c r="P4" s="655" t="s">
        <v>5147</v>
      </c>
      <c r="Q4" s="644" t="s">
        <v>5130</v>
      </c>
      <c r="R4" s="644" t="s">
        <v>5125</v>
      </c>
      <c r="S4" s="653" t="s">
        <v>5148</v>
      </c>
      <c r="T4" s="645" t="s">
        <v>5149</v>
      </c>
      <c r="U4" s="647" t="s">
        <v>3381</v>
      </c>
      <c r="V4" s="652" t="s">
        <v>5150</v>
      </c>
      <c r="W4" s="654"/>
      <c r="X4" s="654"/>
      <c r="Y4" s="654">
        <v>8.36</v>
      </c>
      <c r="Z4" s="654">
        <v>8.36</v>
      </c>
      <c r="AA4" s="654">
        <v>8.36</v>
      </c>
      <c r="AB4" s="654">
        <v>8.36</v>
      </c>
      <c r="AC4" s="654">
        <v>8.36</v>
      </c>
      <c r="AD4" s="654">
        <v>8.36</v>
      </c>
      <c r="AE4" s="654">
        <v>8.36</v>
      </c>
      <c r="AF4" s="654">
        <v>8.36</v>
      </c>
      <c r="AG4" s="654">
        <v>8.36</v>
      </c>
      <c r="AH4" s="640" t="s">
        <v>5134</v>
      </c>
      <c r="AI4" s="797"/>
      <c r="AJ4" s="849" t="s">
        <v>5416</v>
      </c>
    </row>
    <row r="5" spans="1:36" s="651" customFormat="1" ht="18">
      <c r="A5" s="640" t="s">
        <v>5125</v>
      </c>
      <c r="B5" s="641" t="s">
        <v>5126</v>
      </c>
      <c r="C5" s="640" t="s">
        <v>4743</v>
      </c>
      <c r="D5" s="640"/>
      <c r="E5" s="643">
        <v>41271</v>
      </c>
      <c r="F5" s="643">
        <v>48200</v>
      </c>
      <c r="G5" s="644" t="s">
        <v>5151</v>
      </c>
      <c r="H5" s="644" t="s">
        <v>30</v>
      </c>
      <c r="I5" s="644" t="s">
        <v>5152</v>
      </c>
      <c r="J5" s="644"/>
      <c r="K5" s="645" t="s">
        <v>5153</v>
      </c>
      <c r="L5" s="645"/>
      <c r="M5" s="645"/>
      <c r="N5" s="645"/>
      <c r="O5" s="645" t="s">
        <v>3903</v>
      </c>
      <c r="P5" s="645" t="s">
        <v>5154</v>
      </c>
      <c r="Q5" s="644" t="s">
        <v>5130</v>
      </c>
      <c r="R5" s="644" t="s">
        <v>5125</v>
      </c>
      <c r="S5" s="646" t="s">
        <v>5155</v>
      </c>
      <c r="T5" s="645" t="s">
        <v>5156</v>
      </c>
      <c r="U5" s="647" t="s">
        <v>859</v>
      </c>
      <c r="V5" s="648" t="s">
        <v>5157</v>
      </c>
      <c r="W5" s="650"/>
      <c r="X5" s="650"/>
      <c r="Y5" s="650">
        <v>1.9</v>
      </c>
      <c r="Z5" s="650">
        <v>1.9</v>
      </c>
      <c r="AA5" s="650">
        <v>1.9</v>
      </c>
      <c r="AB5" s="650">
        <v>1.9</v>
      </c>
      <c r="AC5" s="650">
        <v>1.9</v>
      </c>
      <c r="AD5" s="650">
        <v>1.9</v>
      </c>
      <c r="AE5" s="650">
        <v>1.9</v>
      </c>
      <c r="AF5" s="650">
        <v>1.9</v>
      </c>
      <c r="AG5" s="650">
        <v>1.9</v>
      </c>
      <c r="AH5" s="640" t="s">
        <v>5134</v>
      </c>
      <c r="AI5" s="851">
        <v>2014</v>
      </c>
      <c r="AJ5" s="849"/>
    </row>
    <row r="6" spans="1:36" s="651" customFormat="1" ht="18">
      <c r="A6" s="640" t="s">
        <v>5125</v>
      </c>
      <c r="B6" s="641" t="s">
        <v>5126</v>
      </c>
      <c r="C6" s="642"/>
      <c r="D6" s="640" t="s">
        <v>5158</v>
      </c>
      <c r="E6" s="643">
        <v>42278</v>
      </c>
      <c r="F6" s="643">
        <v>51410</v>
      </c>
      <c r="G6" s="644" t="s">
        <v>5159</v>
      </c>
      <c r="H6" s="644" t="s">
        <v>21</v>
      </c>
      <c r="I6" s="644" t="s">
        <v>3386</v>
      </c>
      <c r="J6" s="644"/>
      <c r="K6" s="645" t="s">
        <v>5160</v>
      </c>
      <c r="L6" s="645"/>
      <c r="M6" s="645"/>
      <c r="N6" s="645"/>
      <c r="O6" s="645" t="s">
        <v>4018</v>
      </c>
      <c r="P6" s="645" t="s">
        <v>5161</v>
      </c>
      <c r="Q6" s="644" t="s">
        <v>5130</v>
      </c>
      <c r="R6" s="644" t="s">
        <v>5125</v>
      </c>
      <c r="S6" s="656" t="s">
        <v>5155</v>
      </c>
      <c r="T6" s="645" t="s">
        <v>5156</v>
      </c>
      <c r="U6" s="647" t="s">
        <v>5162</v>
      </c>
      <c r="V6" s="640" t="s">
        <v>5163</v>
      </c>
      <c r="W6" s="649"/>
      <c r="X6" s="657"/>
      <c r="Y6" s="657"/>
      <c r="Z6" s="657">
        <v>13</v>
      </c>
      <c r="AA6" s="658">
        <v>12.935</v>
      </c>
      <c r="AB6" s="658">
        <v>12.870325000000001</v>
      </c>
      <c r="AC6" s="658">
        <v>12.805973375000001</v>
      </c>
      <c r="AD6" s="658">
        <v>12.741943508125001</v>
      </c>
      <c r="AE6" s="658">
        <v>12.678233790584375</v>
      </c>
      <c r="AF6" s="658">
        <v>12.614842621631453</v>
      </c>
      <c r="AG6" s="658">
        <v>12.551768408523296</v>
      </c>
      <c r="AH6" s="640" t="s">
        <v>5134</v>
      </c>
      <c r="AI6" s="797"/>
      <c r="AJ6" s="849"/>
    </row>
    <row r="7" spans="1:36" s="651" customFormat="1" ht="18">
      <c r="A7" s="640" t="s">
        <v>5125</v>
      </c>
      <c r="B7" s="641" t="s">
        <v>5126</v>
      </c>
      <c r="C7" s="642"/>
      <c r="D7" s="640"/>
      <c r="E7" s="643">
        <v>42094</v>
      </c>
      <c r="F7" s="643">
        <v>48457</v>
      </c>
      <c r="G7" s="644" t="s">
        <v>5164</v>
      </c>
      <c r="H7" s="644" t="s">
        <v>30</v>
      </c>
      <c r="I7" s="644" t="s">
        <v>5142</v>
      </c>
      <c r="J7" s="655" t="s">
        <v>5165</v>
      </c>
      <c r="K7" s="655" t="s">
        <v>5165</v>
      </c>
      <c r="L7" s="655" t="s">
        <v>5166</v>
      </c>
      <c r="M7" s="655" t="s">
        <v>5167</v>
      </c>
      <c r="N7" s="655" t="s">
        <v>1197</v>
      </c>
      <c r="O7" s="655" t="s">
        <v>5168</v>
      </c>
      <c r="P7" s="655" t="s">
        <v>5169</v>
      </c>
      <c r="Q7" s="644" t="s">
        <v>5130</v>
      </c>
      <c r="R7" s="644" t="s">
        <v>5125</v>
      </c>
      <c r="S7" s="653" t="s">
        <v>5170</v>
      </c>
      <c r="T7" s="645" t="s">
        <v>5171</v>
      </c>
      <c r="U7" s="647" t="s">
        <v>3381</v>
      </c>
      <c r="V7" s="652" t="s">
        <v>5172</v>
      </c>
      <c r="W7" s="649"/>
      <c r="X7" s="654"/>
      <c r="Y7" s="654"/>
      <c r="Z7" s="654">
        <v>7</v>
      </c>
      <c r="AA7" s="654">
        <v>7</v>
      </c>
      <c r="AB7" s="654">
        <v>7</v>
      </c>
      <c r="AC7" s="654">
        <v>7</v>
      </c>
      <c r="AD7" s="654">
        <v>7</v>
      </c>
      <c r="AE7" s="654">
        <v>7</v>
      </c>
      <c r="AF7" s="654">
        <v>7</v>
      </c>
      <c r="AG7" s="654">
        <v>7</v>
      </c>
      <c r="AH7" s="640" t="s">
        <v>5134</v>
      </c>
      <c r="AI7" s="850"/>
      <c r="AJ7" s="849" t="s">
        <v>5416</v>
      </c>
    </row>
    <row r="8" spans="1:36" s="651" customFormat="1" ht="18">
      <c r="A8" s="640" t="s">
        <v>5125</v>
      </c>
      <c r="B8" s="641" t="s">
        <v>5126</v>
      </c>
      <c r="C8" s="642"/>
      <c r="D8" s="640"/>
      <c r="E8" s="643">
        <v>42370</v>
      </c>
      <c r="F8" s="643">
        <v>48457</v>
      </c>
      <c r="G8" s="644" t="s">
        <v>5173</v>
      </c>
      <c r="H8" s="644" t="s">
        <v>30</v>
      </c>
      <c r="I8" s="644" t="s">
        <v>5142</v>
      </c>
      <c r="J8" s="655" t="s">
        <v>5165</v>
      </c>
      <c r="K8" s="655" t="s">
        <v>5165</v>
      </c>
      <c r="L8" s="655" t="s">
        <v>5166</v>
      </c>
      <c r="M8" s="655" t="s">
        <v>5167</v>
      </c>
      <c r="N8" s="655" t="s">
        <v>1197</v>
      </c>
      <c r="O8" s="655" t="s">
        <v>5168</v>
      </c>
      <c r="P8" s="655" t="s">
        <v>5169</v>
      </c>
      <c r="Q8" s="644" t="s">
        <v>5130</v>
      </c>
      <c r="R8" s="644" t="s">
        <v>5125</v>
      </c>
      <c r="S8" s="653" t="s">
        <v>5155</v>
      </c>
      <c r="T8" s="645" t="s">
        <v>5156</v>
      </c>
      <c r="U8" s="647" t="s">
        <v>3381</v>
      </c>
      <c r="V8" s="652" t="s">
        <v>5174</v>
      </c>
      <c r="W8" s="649"/>
      <c r="X8" s="654"/>
      <c r="Y8" s="654"/>
      <c r="Z8" s="654"/>
      <c r="AA8" s="654">
        <v>22</v>
      </c>
      <c r="AB8" s="654">
        <v>22</v>
      </c>
      <c r="AC8" s="654">
        <v>22</v>
      </c>
      <c r="AD8" s="654">
        <v>22</v>
      </c>
      <c r="AE8" s="654">
        <v>22</v>
      </c>
      <c r="AF8" s="654">
        <v>22</v>
      </c>
      <c r="AG8" s="654">
        <v>22</v>
      </c>
      <c r="AH8" s="640" t="s">
        <v>5134</v>
      </c>
      <c r="AI8" s="851"/>
      <c r="AJ8" s="849" t="s">
        <v>5416</v>
      </c>
    </row>
    <row r="9" spans="1:36" s="651" customFormat="1" ht="18">
      <c r="A9" s="640" t="s">
        <v>5125</v>
      </c>
      <c r="B9" s="641" t="s">
        <v>5126</v>
      </c>
      <c r="C9" s="642"/>
      <c r="D9" s="640"/>
      <c r="E9" s="643">
        <v>42522</v>
      </c>
      <c r="F9" s="643">
        <v>45291</v>
      </c>
      <c r="G9" s="644" t="s">
        <v>27</v>
      </c>
      <c r="H9" s="644" t="s">
        <v>30</v>
      </c>
      <c r="I9" s="644" t="s">
        <v>5142</v>
      </c>
      <c r="J9" s="644" t="s">
        <v>5175</v>
      </c>
      <c r="K9" s="645" t="s">
        <v>5176</v>
      </c>
      <c r="L9" s="645" t="s">
        <v>5176</v>
      </c>
      <c r="M9" s="645"/>
      <c r="N9" s="645"/>
      <c r="O9" s="645"/>
      <c r="P9" s="645"/>
      <c r="Q9" s="644" t="s">
        <v>5130</v>
      </c>
      <c r="R9" s="644" t="s">
        <v>5125</v>
      </c>
      <c r="S9" s="653" t="s">
        <v>5177</v>
      </c>
      <c r="T9" s="645" t="s">
        <v>5178</v>
      </c>
      <c r="U9" s="647" t="s">
        <v>3381</v>
      </c>
      <c r="V9" s="652" t="s">
        <v>5179</v>
      </c>
      <c r="W9" s="654"/>
      <c r="X9" s="654"/>
      <c r="Y9" s="654"/>
      <c r="Z9" s="654"/>
      <c r="AA9" s="654">
        <v>14</v>
      </c>
      <c r="AB9" s="654">
        <v>14</v>
      </c>
      <c r="AC9" s="654">
        <v>14</v>
      </c>
      <c r="AD9" s="654">
        <v>14</v>
      </c>
      <c r="AE9" s="654">
        <v>14</v>
      </c>
      <c r="AF9" s="654">
        <v>14</v>
      </c>
      <c r="AG9" s="654">
        <v>14</v>
      </c>
      <c r="AH9" s="640" t="s">
        <v>5134</v>
      </c>
      <c r="AI9" s="797">
        <v>2016</v>
      </c>
      <c r="AJ9" s="849"/>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W53"/>
  <sheetViews>
    <sheetView zoomScale="80" zoomScaleNormal="80" workbookViewId="0"/>
  </sheetViews>
  <sheetFormatPr defaultColWidth="8.85546875" defaultRowHeight="15"/>
  <cols>
    <col min="1" max="1" width="14.42578125" style="19" customWidth="1"/>
    <col min="2" max="2" width="8.85546875" style="19"/>
    <col min="3" max="17" width="10.140625" style="19" bestFit="1" customWidth="1"/>
    <col min="18" max="23" width="11.28515625" style="19" bestFit="1" customWidth="1"/>
    <col min="24" max="256" width="8.85546875" style="19"/>
    <col min="257" max="257" width="12.28515625" style="19" customWidth="1"/>
    <col min="258" max="258" width="8.85546875" style="19"/>
    <col min="259" max="262" width="9.28515625" style="19" bestFit="1" customWidth="1"/>
    <col min="263" max="279" width="9.42578125" style="19" bestFit="1" customWidth="1"/>
    <col min="280" max="512" width="8.85546875" style="19"/>
    <col min="513" max="513" width="12.28515625" style="19" customWidth="1"/>
    <col min="514" max="514" width="8.85546875" style="19"/>
    <col min="515" max="518" width="9.28515625" style="19" bestFit="1" customWidth="1"/>
    <col min="519" max="535" width="9.42578125" style="19" bestFit="1" customWidth="1"/>
    <col min="536" max="768" width="8.85546875" style="19"/>
    <col min="769" max="769" width="12.28515625" style="19" customWidth="1"/>
    <col min="770" max="770" width="8.85546875" style="19"/>
    <col min="771" max="774" width="9.28515625" style="19" bestFit="1" customWidth="1"/>
    <col min="775" max="791" width="9.42578125" style="19" bestFit="1" customWidth="1"/>
    <col min="792" max="1024" width="8.85546875" style="19"/>
    <col min="1025" max="1025" width="12.28515625" style="19" customWidth="1"/>
    <col min="1026" max="1026" width="8.85546875" style="19"/>
    <col min="1027" max="1030" width="9.28515625" style="19" bestFit="1" customWidth="1"/>
    <col min="1031" max="1047" width="9.42578125" style="19" bestFit="1" customWidth="1"/>
    <col min="1048" max="1280" width="8.85546875" style="19"/>
    <col min="1281" max="1281" width="12.28515625" style="19" customWidth="1"/>
    <col min="1282" max="1282" width="8.85546875" style="19"/>
    <col min="1283" max="1286" width="9.28515625" style="19" bestFit="1" customWidth="1"/>
    <col min="1287" max="1303" width="9.42578125" style="19" bestFit="1" customWidth="1"/>
    <col min="1304" max="1536" width="8.85546875" style="19"/>
    <col min="1537" max="1537" width="12.28515625" style="19" customWidth="1"/>
    <col min="1538" max="1538" width="8.85546875" style="19"/>
    <col min="1539" max="1542" width="9.28515625" style="19" bestFit="1" customWidth="1"/>
    <col min="1543" max="1559" width="9.42578125" style="19" bestFit="1" customWidth="1"/>
    <col min="1560" max="1792" width="8.85546875" style="19"/>
    <col min="1793" max="1793" width="12.28515625" style="19" customWidth="1"/>
    <col min="1794" max="1794" width="8.85546875" style="19"/>
    <col min="1795" max="1798" width="9.28515625" style="19" bestFit="1" customWidth="1"/>
    <col min="1799" max="1815" width="9.42578125" style="19" bestFit="1" customWidth="1"/>
    <col min="1816" max="2048" width="8.85546875" style="19"/>
    <col min="2049" max="2049" width="12.28515625" style="19" customWidth="1"/>
    <col min="2050" max="2050" width="8.85546875" style="19"/>
    <col min="2051" max="2054" width="9.28515625" style="19" bestFit="1" customWidth="1"/>
    <col min="2055" max="2071" width="9.42578125" style="19" bestFit="1" customWidth="1"/>
    <col min="2072" max="2304" width="8.85546875" style="19"/>
    <col min="2305" max="2305" width="12.28515625" style="19" customWidth="1"/>
    <col min="2306" max="2306" width="8.85546875" style="19"/>
    <col min="2307" max="2310" width="9.28515625" style="19" bestFit="1" customWidth="1"/>
    <col min="2311" max="2327" width="9.42578125" style="19" bestFit="1" customWidth="1"/>
    <col min="2328" max="2560" width="8.85546875" style="19"/>
    <col min="2561" max="2561" width="12.28515625" style="19" customWidth="1"/>
    <col min="2562" max="2562" width="8.85546875" style="19"/>
    <col min="2563" max="2566" width="9.28515625" style="19" bestFit="1" customWidth="1"/>
    <col min="2567" max="2583" width="9.42578125" style="19" bestFit="1" customWidth="1"/>
    <col min="2584" max="2816" width="8.85546875" style="19"/>
    <col min="2817" max="2817" width="12.28515625" style="19" customWidth="1"/>
    <col min="2818" max="2818" width="8.85546875" style="19"/>
    <col min="2819" max="2822" width="9.28515625" style="19" bestFit="1" customWidth="1"/>
    <col min="2823" max="2839" width="9.42578125" style="19" bestFit="1" customWidth="1"/>
    <col min="2840" max="3072" width="8.85546875" style="19"/>
    <col min="3073" max="3073" width="12.28515625" style="19" customWidth="1"/>
    <col min="3074" max="3074" width="8.85546875" style="19"/>
    <col min="3075" max="3078" width="9.28515625" style="19" bestFit="1" customWidth="1"/>
    <col min="3079" max="3095" width="9.42578125" style="19" bestFit="1" customWidth="1"/>
    <col min="3096" max="3328" width="8.85546875" style="19"/>
    <col min="3329" max="3329" width="12.28515625" style="19" customWidth="1"/>
    <col min="3330" max="3330" width="8.85546875" style="19"/>
    <col min="3331" max="3334" width="9.28515625" style="19" bestFit="1" customWidth="1"/>
    <col min="3335" max="3351" width="9.42578125" style="19" bestFit="1" customWidth="1"/>
    <col min="3352" max="3584" width="8.85546875" style="19"/>
    <col min="3585" max="3585" width="12.28515625" style="19" customWidth="1"/>
    <col min="3586" max="3586" width="8.85546875" style="19"/>
    <col min="3587" max="3590" width="9.28515625" style="19" bestFit="1" customWidth="1"/>
    <col min="3591" max="3607" width="9.42578125" style="19" bestFit="1" customWidth="1"/>
    <col min="3608" max="3840" width="8.85546875" style="19"/>
    <col min="3841" max="3841" width="12.28515625" style="19" customWidth="1"/>
    <col min="3842" max="3842" width="8.85546875" style="19"/>
    <col min="3843" max="3846" width="9.28515625" style="19" bestFit="1" customWidth="1"/>
    <col min="3847" max="3863" width="9.42578125" style="19" bestFit="1" customWidth="1"/>
    <col min="3864" max="4096" width="8.85546875" style="19"/>
    <col min="4097" max="4097" width="12.28515625" style="19" customWidth="1"/>
    <col min="4098" max="4098" width="8.85546875" style="19"/>
    <col min="4099" max="4102" width="9.28515625" style="19" bestFit="1" customWidth="1"/>
    <col min="4103" max="4119" width="9.42578125" style="19" bestFit="1" customWidth="1"/>
    <col min="4120" max="4352" width="8.85546875" style="19"/>
    <col min="4353" max="4353" width="12.28515625" style="19" customWidth="1"/>
    <col min="4354" max="4354" width="8.85546875" style="19"/>
    <col min="4355" max="4358" width="9.28515625" style="19" bestFit="1" customWidth="1"/>
    <col min="4359" max="4375" width="9.42578125" style="19" bestFit="1" customWidth="1"/>
    <col min="4376" max="4608" width="8.85546875" style="19"/>
    <col min="4609" max="4609" width="12.28515625" style="19" customWidth="1"/>
    <col min="4610" max="4610" width="8.85546875" style="19"/>
    <col min="4611" max="4614" width="9.28515625" style="19" bestFit="1" customWidth="1"/>
    <col min="4615" max="4631" width="9.42578125" style="19" bestFit="1" customWidth="1"/>
    <col min="4632" max="4864" width="8.85546875" style="19"/>
    <col min="4865" max="4865" width="12.28515625" style="19" customWidth="1"/>
    <col min="4866" max="4866" width="8.85546875" style="19"/>
    <col min="4867" max="4870" width="9.28515625" style="19" bestFit="1" customWidth="1"/>
    <col min="4871" max="4887" width="9.42578125" style="19" bestFit="1" customWidth="1"/>
    <col min="4888" max="5120" width="8.85546875" style="19"/>
    <col min="5121" max="5121" width="12.28515625" style="19" customWidth="1"/>
    <col min="5122" max="5122" width="8.85546875" style="19"/>
    <col min="5123" max="5126" width="9.28515625" style="19" bestFit="1" customWidth="1"/>
    <col min="5127" max="5143" width="9.42578125" style="19" bestFit="1" customWidth="1"/>
    <col min="5144" max="5376" width="8.85546875" style="19"/>
    <col min="5377" max="5377" width="12.28515625" style="19" customWidth="1"/>
    <col min="5378" max="5378" width="8.85546875" style="19"/>
    <col min="5379" max="5382" width="9.28515625" style="19" bestFit="1" customWidth="1"/>
    <col min="5383" max="5399" width="9.42578125" style="19" bestFit="1" customWidth="1"/>
    <col min="5400" max="5632" width="8.85546875" style="19"/>
    <col min="5633" max="5633" width="12.28515625" style="19" customWidth="1"/>
    <col min="5634" max="5634" width="8.85546875" style="19"/>
    <col min="5635" max="5638" width="9.28515625" style="19" bestFit="1" customWidth="1"/>
    <col min="5639" max="5655" width="9.42578125" style="19" bestFit="1" customWidth="1"/>
    <col min="5656" max="5888" width="8.85546875" style="19"/>
    <col min="5889" max="5889" width="12.28515625" style="19" customWidth="1"/>
    <col min="5890" max="5890" width="8.85546875" style="19"/>
    <col min="5891" max="5894" width="9.28515625" style="19" bestFit="1" customWidth="1"/>
    <col min="5895" max="5911" width="9.42578125" style="19" bestFit="1" customWidth="1"/>
    <col min="5912" max="6144" width="8.85546875" style="19"/>
    <col min="6145" max="6145" width="12.28515625" style="19" customWidth="1"/>
    <col min="6146" max="6146" width="8.85546875" style="19"/>
    <col min="6147" max="6150" width="9.28515625" style="19" bestFit="1" customWidth="1"/>
    <col min="6151" max="6167" width="9.42578125" style="19" bestFit="1" customWidth="1"/>
    <col min="6168" max="6400" width="8.85546875" style="19"/>
    <col min="6401" max="6401" width="12.28515625" style="19" customWidth="1"/>
    <col min="6402" max="6402" width="8.85546875" style="19"/>
    <col min="6403" max="6406" width="9.28515625" style="19" bestFit="1" customWidth="1"/>
    <col min="6407" max="6423" width="9.42578125" style="19" bestFit="1" customWidth="1"/>
    <col min="6424" max="6656" width="8.85546875" style="19"/>
    <col min="6657" max="6657" width="12.28515625" style="19" customWidth="1"/>
    <col min="6658" max="6658" width="8.85546875" style="19"/>
    <col min="6659" max="6662" width="9.28515625" style="19" bestFit="1" customWidth="1"/>
    <col min="6663" max="6679" width="9.42578125" style="19" bestFit="1" customWidth="1"/>
    <col min="6680" max="6912" width="8.85546875" style="19"/>
    <col min="6913" max="6913" width="12.28515625" style="19" customWidth="1"/>
    <col min="6914" max="6914" width="8.85546875" style="19"/>
    <col min="6915" max="6918" width="9.28515625" style="19" bestFit="1" customWidth="1"/>
    <col min="6919" max="6935" width="9.42578125" style="19" bestFit="1" customWidth="1"/>
    <col min="6936" max="7168" width="8.85546875" style="19"/>
    <col min="7169" max="7169" width="12.28515625" style="19" customWidth="1"/>
    <col min="7170" max="7170" width="8.85546875" style="19"/>
    <col min="7171" max="7174" width="9.28515625" style="19" bestFit="1" customWidth="1"/>
    <col min="7175" max="7191" width="9.42578125" style="19" bestFit="1" customWidth="1"/>
    <col min="7192" max="7424" width="8.85546875" style="19"/>
    <col min="7425" max="7425" width="12.28515625" style="19" customWidth="1"/>
    <col min="7426" max="7426" width="8.85546875" style="19"/>
    <col min="7427" max="7430" width="9.28515625" style="19" bestFit="1" customWidth="1"/>
    <col min="7431" max="7447" width="9.42578125" style="19" bestFit="1" customWidth="1"/>
    <col min="7448" max="7680" width="8.85546875" style="19"/>
    <col min="7681" max="7681" width="12.28515625" style="19" customWidth="1"/>
    <col min="7682" max="7682" width="8.85546875" style="19"/>
    <col min="7683" max="7686" width="9.28515625" style="19" bestFit="1" customWidth="1"/>
    <col min="7687" max="7703" width="9.42578125" style="19" bestFit="1" customWidth="1"/>
    <col min="7704" max="7936" width="8.85546875" style="19"/>
    <col min="7937" max="7937" width="12.28515625" style="19" customWidth="1"/>
    <col min="7938" max="7938" width="8.85546875" style="19"/>
    <col min="7939" max="7942" width="9.28515625" style="19" bestFit="1" customWidth="1"/>
    <col min="7943" max="7959" width="9.42578125" style="19" bestFit="1" customWidth="1"/>
    <col min="7960" max="8192" width="8.85546875" style="19"/>
    <col min="8193" max="8193" width="12.28515625" style="19" customWidth="1"/>
    <col min="8194" max="8194" width="8.85546875" style="19"/>
    <col min="8195" max="8198" width="9.28515625" style="19" bestFit="1" customWidth="1"/>
    <col min="8199" max="8215" width="9.42578125" style="19" bestFit="1" customWidth="1"/>
    <col min="8216" max="8448" width="8.85546875" style="19"/>
    <col min="8449" max="8449" width="12.28515625" style="19" customWidth="1"/>
    <col min="8450" max="8450" width="8.85546875" style="19"/>
    <col min="8451" max="8454" width="9.28515625" style="19" bestFit="1" customWidth="1"/>
    <col min="8455" max="8471" width="9.42578125" style="19" bestFit="1" customWidth="1"/>
    <col min="8472" max="8704" width="8.85546875" style="19"/>
    <col min="8705" max="8705" width="12.28515625" style="19" customWidth="1"/>
    <col min="8706" max="8706" width="8.85546875" style="19"/>
    <col min="8707" max="8710" width="9.28515625" style="19" bestFit="1" customWidth="1"/>
    <col min="8711" max="8727" width="9.42578125" style="19" bestFit="1" customWidth="1"/>
    <col min="8728" max="8960" width="8.85546875" style="19"/>
    <col min="8961" max="8961" width="12.28515625" style="19" customWidth="1"/>
    <col min="8962" max="8962" width="8.85546875" style="19"/>
    <col min="8963" max="8966" width="9.28515625" style="19" bestFit="1" customWidth="1"/>
    <col min="8967" max="8983" width="9.42578125" style="19" bestFit="1" customWidth="1"/>
    <col min="8984" max="9216" width="8.85546875" style="19"/>
    <col min="9217" max="9217" width="12.28515625" style="19" customWidth="1"/>
    <col min="9218" max="9218" width="8.85546875" style="19"/>
    <col min="9219" max="9222" width="9.28515625" style="19" bestFit="1" customWidth="1"/>
    <col min="9223" max="9239" width="9.42578125" style="19" bestFit="1" customWidth="1"/>
    <col min="9240" max="9472" width="8.85546875" style="19"/>
    <col min="9473" max="9473" width="12.28515625" style="19" customWidth="1"/>
    <col min="9474" max="9474" width="8.85546875" style="19"/>
    <col min="9475" max="9478" width="9.28515625" style="19" bestFit="1" customWidth="1"/>
    <col min="9479" max="9495" width="9.42578125" style="19" bestFit="1" customWidth="1"/>
    <col min="9496" max="9728" width="8.85546875" style="19"/>
    <col min="9729" max="9729" width="12.28515625" style="19" customWidth="1"/>
    <col min="9730" max="9730" width="8.85546875" style="19"/>
    <col min="9731" max="9734" width="9.28515625" style="19" bestFit="1" customWidth="1"/>
    <col min="9735" max="9751" width="9.42578125" style="19" bestFit="1" customWidth="1"/>
    <col min="9752" max="9984" width="8.85546875" style="19"/>
    <col min="9985" max="9985" width="12.28515625" style="19" customWidth="1"/>
    <col min="9986" max="9986" width="8.85546875" style="19"/>
    <col min="9987" max="9990" width="9.28515625" style="19" bestFit="1" customWidth="1"/>
    <col min="9991" max="10007" width="9.42578125" style="19" bestFit="1" customWidth="1"/>
    <col min="10008" max="10240" width="8.85546875" style="19"/>
    <col min="10241" max="10241" width="12.28515625" style="19" customWidth="1"/>
    <col min="10242" max="10242" width="8.85546875" style="19"/>
    <col min="10243" max="10246" width="9.28515625" style="19" bestFit="1" customWidth="1"/>
    <col min="10247" max="10263" width="9.42578125" style="19" bestFit="1" customWidth="1"/>
    <col min="10264" max="10496" width="8.85546875" style="19"/>
    <col min="10497" max="10497" width="12.28515625" style="19" customWidth="1"/>
    <col min="10498" max="10498" width="8.85546875" style="19"/>
    <col min="10499" max="10502" width="9.28515625" style="19" bestFit="1" customWidth="1"/>
    <col min="10503" max="10519" width="9.42578125" style="19" bestFit="1" customWidth="1"/>
    <col min="10520" max="10752" width="8.85546875" style="19"/>
    <col min="10753" max="10753" width="12.28515625" style="19" customWidth="1"/>
    <col min="10754" max="10754" width="8.85546875" style="19"/>
    <col min="10755" max="10758" width="9.28515625" style="19" bestFit="1" customWidth="1"/>
    <col min="10759" max="10775" width="9.42578125" style="19" bestFit="1" customWidth="1"/>
    <col min="10776" max="11008" width="8.85546875" style="19"/>
    <col min="11009" max="11009" width="12.28515625" style="19" customWidth="1"/>
    <col min="11010" max="11010" width="8.85546875" style="19"/>
    <col min="11011" max="11014" width="9.28515625" style="19" bestFit="1" customWidth="1"/>
    <col min="11015" max="11031" width="9.42578125" style="19" bestFit="1" customWidth="1"/>
    <col min="11032" max="11264" width="8.85546875" style="19"/>
    <col min="11265" max="11265" width="12.28515625" style="19" customWidth="1"/>
    <col min="11266" max="11266" width="8.85546875" style="19"/>
    <col min="11267" max="11270" width="9.28515625" style="19" bestFit="1" customWidth="1"/>
    <col min="11271" max="11287" width="9.42578125" style="19" bestFit="1" customWidth="1"/>
    <col min="11288" max="11520" width="8.85546875" style="19"/>
    <col min="11521" max="11521" width="12.28515625" style="19" customWidth="1"/>
    <col min="11522" max="11522" width="8.85546875" style="19"/>
    <col min="11523" max="11526" width="9.28515625" style="19" bestFit="1" customWidth="1"/>
    <col min="11527" max="11543" width="9.42578125" style="19" bestFit="1" customWidth="1"/>
    <col min="11544" max="11776" width="8.85546875" style="19"/>
    <col min="11777" max="11777" width="12.28515625" style="19" customWidth="1"/>
    <col min="11778" max="11778" width="8.85546875" style="19"/>
    <col min="11779" max="11782" width="9.28515625" style="19" bestFit="1" customWidth="1"/>
    <col min="11783" max="11799" width="9.42578125" style="19" bestFit="1" customWidth="1"/>
    <col min="11800" max="12032" width="8.85546875" style="19"/>
    <col min="12033" max="12033" width="12.28515625" style="19" customWidth="1"/>
    <col min="12034" max="12034" width="8.85546875" style="19"/>
    <col min="12035" max="12038" width="9.28515625" style="19" bestFit="1" customWidth="1"/>
    <col min="12039" max="12055" width="9.42578125" style="19" bestFit="1" customWidth="1"/>
    <col min="12056" max="12288" width="8.85546875" style="19"/>
    <col min="12289" max="12289" width="12.28515625" style="19" customWidth="1"/>
    <col min="12290" max="12290" width="8.85546875" style="19"/>
    <col min="12291" max="12294" width="9.28515625" style="19" bestFit="1" customWidth="1"/>
    <col min="12295" max="12311" width="9.42578125" style="19" bestFit="1" customWidth="1"/>
    <col min="12312" max="12544" width="8.85546875" style="19"/>
    <col min="12545" max="12545" width="12.28515625" style="19" customWidth="1"/>
    <col min="12546" max="12546" width="8.85546875" style="19"/>
    <col min="12547" max="12550" width="9.28515625" style="19" bestFit="1" customWidth="1"/>
    <col min="12551" max="12567" width="9.42578125" style="19" bestFit="1" customWidth="1"/>
    <col min="12568" max="12800" width="8.85546875" style="19"/>
    <col min="12801" max="12801" width="12.28515625" style="19" customWidth="1"/>
    <col min="12802" max="12802" width="8.85546875" style="19"/>
    <col min="12803" max="12806" width="9.28515625" style="19" bestFit="1" customWidth="1"/>
    <col min="12807" max="12823" width="9.42578125" style="19" bestFit="1" customWidth="1"/>
    <col min="12824" max="13056" width="8.85546875" style="19"/>
    <col min="13057" max="13057" width="12.28515625" style="19" customWidth="1"/>
    <col min="13058" max="13058" width="8.85546875" style="19"/>
    <col min="13059" max="13062" width="9.28515625" style="19" bestFit="1" customWidth="1"/>
    <col min="13063" max="13079" width="9.42578125" style="19" bestFit="1" customWidth="1"/>
    <col min="13080" max="13312" width="8.85546875" style="19"/>
    <col min="13313" max="13313" width="12.28515625" style="19" customWidth="1"/>
    <col min="13314" max="13314" width="8.85546875" style="19"/>
    <col min="13315" max="13318" width="9.28515625" style="19" bestFit="1" customWidth="1"/>
    <col min="13319" max="13335" width="9.42578125" style="19" bestFit="1" customWidth="1"/>
    <col min="13336" max="13568" width="8.85546875" style="19"/>
    <col min="13569" max="13569" width="12.28515625" style="19" customWidth="1"/>
    <col min="13570" max="13570" width="8.85546875" style="19"/>
    <col min="13571" max="13574" width="9.28515625" style="19" bestFit="1" customWidth="1"/>
    <col min="13575" max="13591" width="9.42578125" style="19" bestFit="1" customWidth="1"/>
    <col min="13592" max="13824" width="8.85546875" style="19"/>
    <col min="13825" max="13825" width="12.28515625" style="19" customWidth="1"/>
    <col min="13826" max="13826" width="8.85546875" style="19"/>
    <col min="13827" max="13830" width="9.28515625" style="19" bestFit="1" customWidth="1"/>
    <col min="13831" max="13847" width="9.42578125" style="19" bestFit="1" customWidth="1"/>
    <col min="13848" max="14080" width="8.85546875" style="19"/>
    <col min="14081" max="14081" width="12.28515625" style="19" customWidth="1"/>
    <col min="14082" max="14082" width="8.85546875" style="19"/>
    <col min="14083" max="14086" width="9.28515625" style="19" bestFit="1" customWidth="1"/>
    <col min="14087" max="14103" width="9.42578125" style="19" bestFit="1" customWidth="1"/>
    <col min="14104" max="14336" width="8.85546875" style="19"/>
    <col min="14337" max="14337" width="12.28515625" style="19" customWidth="1"/>
    <col min="14338" max="14338" width="8.85546875" style="19"/>
    <col min="14339" max="14342" width="9.28515625" style="19" bestFit="1" customWidth="1"/>
    <col min="14343" max="14359" width="9.42578125" style="19" bestFit="1" customWidth="1"/>
    <col min="14360" max="14592" width="8.85546875" style="19"/>
    <col min="14593" max="14593" width="12.28515625" style="19" customWidth="1"/>
    <col min="14594" max="14594" width="8.85546875" style="19"/>
    <col min="14595" max="14598" width="9.28515625" style="19" bestFit="1" customWidth="1"/>
    <col min="14599" max="14615" width="9.42578125" style="19" bestFit="1" customWidth="1"/>
    <col min="14616" max="14848" width="8.85546875" style="19"/>
    <col min="14849" max="14849" width="12.28515625" style="19" customWidth="1"/>
    <col min="14850" max="14850" width="8.85546875" style="19"/>
    <col min="14851" max="14854" width="9.28515625" style="19" bestFit="1" customWidth="1"/>
    <col min="14855" max="14871" width="9.42578125" style="19" bestFit="1" customWidth="1"/>
    <col min="14872" max="15104" width="8.85546875" style="19"/>
    <col min="15105" max="15105" width="12.28515625" style="19" customWidth="1"/>
    <col min="15106" max="15106" width="8.85546875" style="19"/>
    <col min="15107" max="15110" width="9.28515625" style="19" bestFit="1" customWidth="1"/>
    <col min="15111" max="15127" width="9.42578125" style="19" bestFit="1" customWidth="1"/>
    <col min="15128" max="15360" width="8.85546875" style="19"/>
    <col min="15361" max="15361" width="12.28515625" style="19" customWidth="1"/>
    <col min="15362" max="15362" width="8.85546875" style="19"/>
    <col min="15363" max="15366" width="9.28515625" style="19" bestFit="1" customWidth="1"/>
    <col min="15367" max="15383" width="9.42578125" style="19" bestFit="1" customWidth="1"/>
    <col min="15384" max="15616" width="8.85546875" style="19"/>
    <col min="15617" max="15617" width="12.28515625" style="19" customWidth="1"/>
    <col min="15618" max="15618" width="8.85546875" style="19"/>
    <col min="15619" max="15622" width="9.28515625" style="19" bestFit="1" customWidth="1"/>
    <col min="15623" max="15639" width="9.42578125" style="19" bestFit="1" customWidth="1"/>
    <col min="15640" max="15872" width="8.85546875" style="19"/>
    <col min="15873" max="15873" width="12.28515625" style="19" customWidth="1"/>
    <col min="15874" max="15874" width="8.85546875" style="19"/>
    <col min="15875" max="15878" width="9.28515625" style="19" bestFit="1" customWidth="1"/>
    <col min="15879" max="15895" width="9.42578125" style="19" bestFit="1" customWidth="1"/>
    <col min="15896" max="16128" width="8.85546875" style="19"/>
    <col min="16129" max="16129" width="12.28515625" style="19" customWidth="1"/>
    <col min="16130" max="16130" width="8.85546875" style="19"/>
    <col min="16131" max="16134" width="9.28515625" style="19" bestFit="1" customWidth="1"/>
    <col min="16135" max="16151" width="9.42578125" style="19" bestFit="1" customWidth="1"/>
    <col min="16152" max="16384" width="8.85546875" style="19"/>
  </cols>
  <sheetData>
    <row r="1" spans="1:23">
      <c r="A1" s="17" t="s">
        <v>5498</v>
      </c>
    </row>
    <row r="2" spans="1:23">
      <c r="B2" s="218" t="s">
        <v>5499</v>
      </c>
      <c r="C2" s="19">
        <v>14</v>
      </c>
      <c r="D2" s="19">
        <v>15</v>
      </c>
      <c r="E2" s="19">
        <v>16</v>
      </c>
      <c r="F2" s="19">
        <v>17</v>
      </c>
      <c r="G2" s="19">
        <v>18</v>
      </c>
      <c r="H2" s="19">
        <v>19</v>
      </c>
      <c r="I2" s="19">
        <v>20</v>
      </c>
      <c r="J2" s="19">
        <v>21</v>
      </c>
      <c r="K2" s="19">
        <v>22</v>
      </c>
      <c r="L2" s="19">
        <v>23</v>
      </c>
      <c r="M2" s="19">
        <v>24</v>
      </c>
      <c r="N2" s="19">
        <v>25</v>
      </c>
      <c r="O2" s="19">
        <v>26</v>
      </c>
      <c r="P2" s="19">
        <v>27</v>
      </c>
      <c r="Q2" s="19">
        <v>28</v>
      </c>
      <c r="R2" s="19">
        <v>29</v>
      </c>
      <c r="S2" s="19">
        <v>30</v>
      </c>
      <c r="T2" s="19">
        <v>31</v>
      </c>
      <c r="U2" s="19">
        <v>32</v>
      </c>
      <c r="V2" s="19">
        <v>33</v>
      </c>
      <c r="W2" s="19">
        <v>34</v>
      </c>
    </row>
    <row r="3" spans="1:23">
      <c r="A3" s="17" t="s">
        <v>5500</v>
      </c>
    </row>
    <row r="4" spans="1:23">
      <c r="A4" s="19" t="s">
        <v>5293</v>
      </c>
      <c r="B4" s="213"/>
      <c r="C4" s="732">
        <f>C47</f>
        <v>240.77212213857013</v>
      </c>
      <c r="D4" s="732">
        <f t="shared" ref="D4:M4" si="0">D47</f>
        <v>277.45760495358206</v>
      </c>
      <c r="E4" s="732">
        <f t="shared" si="0"/>
        <v>324.16562457460873</v>
      </c>
      <c r="F4" s="732">
        <f t="shared" si="0"/>
        <v>334.98944369929512</v>
      </c>
      <c r="G4" s="732">
        <f t="shared" si="0"/>
        <v>347.12655776038548</v>
      </c>
      <c r="H4" s="732">
        <f t="shared" si="0"/>
        <v>360.46888734635104</v>
      </c>
      <c r="I4" s="732">
        <f t="shared" si="0"/>
        <v>396.87489068423872</v>
      </c>
      <c r="J4" s="732">
        <f t="shared" si="0"/>
        <v>440.96277009790026</v>
      </c>
      <c r="K4" s="732">
        <f t="shared" si="0"/>
        <v>490.16097165929921</v>
      </c>
      <c r="L4" s="732">
        <f t="shared" si="0"/>
        <v>542.77238443011925</v>
      </c>
      <c r="M4" s="732">
        <f t="shared" si="0"/>
        <v>598.18948313246676</v>
      </c>
      <c r="N4" s="5"/>
      <c r="O4" s="5"/>
      <c r="P4" s="5"/>
      <c r="Q4" s="5"/>
      <c r="R4" s="5"/>
      <c r="S4" s="5"/>
      <c r="T4" s="5"/>
      <c r="U4" s="5"/>
      <c r="V4" s="5"/>
      <c r="W4" s="5"/>
    </row>
    <row r="5" spans="1:23">
      <c r="B5" s="213" t="s">
        <v>5350</v>
      </c>
      <c r="C5" s="733">
        <f>C4</f>
        <v>240.77212213857013</v>
      </c>
      <c r="D5" s="733">
        <f t="shared" ref="D5:M5" si="1">D4</f>
        <v>277.45760495358206</v>
      </c>
      <c r="E5" s="733">
        <f t="shared" si="1"/>
        <v>324.16562457460873</v>
      </c>
      <c r="F5" s="733">
        <f t="shared" si="1"/>
        <v>334.98944369929512</v>
      </c>
      <c r="G5" s="733">
        <f t="shared" si="1"/>
        <v>347.12655776038548</v>
      </c>
      <c r="H5" s="733">
        <f t="shared" si="1"/>
        <v>360.46888734635104</v>
      </c>
      <c r="I5" s="733">
        <f t="shared" si="1"/>
        <v>396.87489068423872</v>
      </c>
      <c r="J5" s="733">
        <f t="shared" si="1"/>
        <v>440.96277009790026</v>
      </c>
      <c r="K5" s="733">
        <f t="shared" si="1"/>
        <v>490.16097165929921</v>
      </c>
      <c r="L5" s="733">
        <f t="shared" si="1"/>
        <v>542.77238443011925</v>
      </c>
      <c r="M5" s="733">
        <f t="shared" si="1"/>
        <v>598.18948313246676</v>
      </c>
      <c r="N5" s="734">
        <f>1105*LN(N2)-2919.7</f>
        <v>637.15778647936168</v>
      </c>
      <c r="O5" s="734">
        <f t="shared" ref="O5:W5" si="2">1105*LN(O2)-2919.7</f>
        <v>680.49667451373807</v>
      </c>
      <c r="P5" s="734">
        <f t="shared" si="2"/>
        <v>722.19973693478369</v>
      </c>
      <c r="Q5" s="734">
        <f t="shared" si="2"/>
        <v>762.38598374360026</v>
      </c>
      <c r="R5" s="734">
        <f t="shared" si="2"/>
        <v>801.16189213505413</v>
      </c>
      <c r="S5" s="734">
        <f t="shared" si="2"/>
        <v>838.62310673668208</v>
      </c>
      <c r="T5" s="734">
        <f t="shared" si="2"/>
        <v>874.85586095608687</v>
      </c>
      <c r="U5" s="734">
        <f t="shared" si="2"/>
        <v>909.9381725936978</v>
      </c>
      <c r="V5" s="734">
        <f t="shared" si="2"/>
        <v>943.94085542046105</v>
      </c>
      <c r="W5" s="734">
        <f t="shared" si="2"/>
        <v>976.92837970085884</v>
      </c>
    </row>
    <row r="6" spans="1:23">
      <c r="A6" s="19" t="s">
        <v>5295</v>
      </c>
      <c r="B6" s="213"/>
      <c r="C6" s="732">
        <f>C48</f>
        <v>255.17460913628341</v>
      </c>
      <c r="D6" s="732">
        <f t="shared" ref="D6:M6" si="3">D48</f>
        <v>312.80110160518439</v>
      </c>
      <c r="E6" s="732">
        <f t="shared" si="3"/>
        <v>375.3559259622171</v>
      </c>
      <c r="F6" s="732">
        <f t="shared" si="3"/>
        <v>442.34299034848806</v>
      </c>
      <c r="G6" s="732">
        <f t="shared" si="3"/>
        <v>513.26620292566713</v>
      </c>
      <c r="H6" s="732">
        <f t="shared" si="3"/>
        <v>587.62947183851145</v>
      </c>
      <c r="I6" s="732">
        <f t="shared" si="3"/>
        <v>657.07408707208413</v>
      </c>
      <c r="J6" s="732">
        <f t="shared" si="3"/>
        <v>719.56700000000012</v>
      </c>
      <c r="K6" s="732">
        <f t="shared" si="3"/>
        <v>787.18400000000008</v>
      </c>
      <c r="L6" s="732">
        <f t="shared" si="3"/>
        <v>854.80100000000004</v>
      </c>
      <c r="M6" s="732">
        <f t="shared" si="3"/>
        <v>922.41800000000001</v>
      </c>
      <c r="N6" s="5"/>
      <c r="O6" s="5"/>
      <c r="P6" s="5"/>
      <c r="Q6" s="5"/>
      <c r="R6" s="5"/>
      <c r="S6" s="5"/>
      <c r="T6" s="5"/>
      <c r="U6" s="5"/>
      <c r="V6" s="5"/>
      <c r="W6" s="5"/>
    </row>
    <row r="7" spans="1:23">
      <c r="B7" s="213" t="s">
        <v>5350</v>
      </c>
      <c r="C7" s="733">
        <f>C6</f>
        <v>255.17460913628341</v>
      </c>
      <c r="D7" s="733">
        <f t="shared" ref="D7:M7" si="4">D6</f>
        <v>312.80110160518439</v>
      </c>
      <c r="E7" s="733">
        <f t="shared" si="4"/>
        <v>375.3559259622171</v>
      </c>
      <c r="F7" s="733">
        <f t="shared" si="4"/>
        <v>442.34299034848806</v>
      </c>
      <c r="G7" s="733">
        <f t="shared" si="4"/>
        <v>513.26620292566713</v>
      </c>
      <c r="H7" s="733">
        <f t="shared" si="4"/>
        <v>587.62947183851145</v>
      </c>
      <c r="I7" s="733">
        <f t="shared" si="4"/>
        <v>657.07408707208413</v>
      </c>
      <c r="J7" s="733">
        <f t="shared" si="4"/>
        <v>719.56700000000012</v>
      </c>
      <c r="K7" s="733">
        <f t="shared" si="4"/>
        <v>787.18400000000008</v>
      </c>
      <c r="L7" s="733">
        <f t="shared" si="4"/>
        <v>854.80100000000004</v>
      </c>
      <c r="M7" s="733">
        <f t="shared" si="4"/>
        <v>922.41800000000001</v>
      </c>
      <c r="N7" s="734">
        <f>1460*LN(N2)-3721.7</f>
        <v>977.85870430757313</v>
      </c>
      <c r="O7" s="734">
        <f t="shared" ref="O7:W7" si="5">1460*LN(O2)-3721.7</f>
        <v>1035.120945511364</v>
      </c>
      <c r="P7" s="734">
        <f t="shared" si="5"/>
        <v>1090.221824366321</v>
      </c>
      <c r="Q7" s="734">
        <f t="shared" si="5"/>
        <v>1143.3185848557978</v>
      </c>
      <c r="R7" s="734">
        <f t="shared" si="5"/>
        <v>1194.5519117802523</v>
      </c>
      <c r="S7" s="734">
        <f t="shared" si="5"/>
        <v>1244.0481772267467</v>
      </c>
      <c r="T7" s="734">
        <f t="shared" si="5"/>
        <v>1291.921318548314</v>
      </c>
      <c r="U7" s="734">
        <f t="shared" si="5"/>
        <v>1338.2744180876007</v>
      </c>
      <c r="V7" s="734">
        <f t="shared" si="5"/>
        <v>1383.2010397410613</v>
      </c>
      <c r="W7" s="734">
        <f t="shared" si="5"/>
        <v>1426.7863659395962</v>
      </c>
    </row>
    <row r="8" spans="1:23">
      <c r="A8" s="19" t="s">
        <v>5294</v>
      </c>
      <c r="B8" s="213"/>
      <c r="C8" s="732">
        <f>C49</f>
        <v>225.04725646891512</v>
      </c>
      <c r="D8" s="732">
        <f t="shared" ref="D8:M8" si="6">D49</f>
        <v>252.81008470150408</v>
      </c>
      <c r="E8" s="732">
        <f t="shared" si="6"/>
        <v>290.4623418671847</v>
      </c>
      <c r="F8" s="732">
        <f t="shared" si="6"/>
        <v>300.31769099053008</v>
      </c>
      <c r="G8" s="732">
        <f t="shared" si="6"/>
        <v>311.56616233650345</v>
      </c>
      <c r="H8" s="732">
        <f t="shared" si="6"/>
        <v>323.96801596704307</v>
      </c>
      <c r="I8" s="732">
        <f t="shared" si="6"/>
        <v>351.65659025973571</v>
      </c>
      <c r="J8" s="732">
        <f t="shared" si="6"/>
        <v>389.06828592015523</v>
      </c>
      <c r="K8" s="732">
        <f t="shared" si="6"/>
        <v>432.87212766361716</v>
      </c>
      <c r="L8" s="732">
        <f t="shared" si="6"/>
        <v>481.52160458883816</v>
      </c>
      <c r="M8" s="732">
        <f t="shared" si="6"/>
        <v>534.13296452847976</v>
      </c>
      <c r="N8" s="5"/>
      <c r="O8" s="5"/>
      <c r="P8" s="5"/>
      <c r="Q8" s="5"/>
      <c r="R8" s="5"/>
      <c r="S8" s="5"/>
      <c r="T8" s="5"/>
      <c r="U8" s="5"/>
      <c r="V8" s="5"/>
      <c r="W8" s="5"/>
    </row>
    <row r="9" spans="1:23">
      <c r="B9" s="213" t="s">
        <v>5350</v>
      </c>
      <c r="C9" s="733">
        <f>C8</f>
        <v>225.04725646891512</v>
      </c>
      <c r="D9" s="733">
        <f t="shared" ref="D9:M9" si="7">D8</f>
        <v>252.81008470150408</v>
      </c>
      <c r="E9" s="733">
        <f t="shared" si="7"/>
        <v>290.4623418671847</v>
      </c>
      <c r="F9" s="733">
        <f t="shared" si="7"/>
        <v>300.31769099053008</v>
      </c>
      <c r="G9" s="733">
        <f t="shared" si="7"/>
        <v>311.56616233650345</v>
      </c>
      <c r="H9" s="733">
        <f t="shared" si="7"/>
        <v>323.96801596704307</v>
      </c>
      <c r="I9" s="733">
        <f t="shared" si="7"/>
        <v>351.65659025973571</v>
      </c>
      <c r="J9" s="733">
        <f t="shared" si="7"/>
        <v>389.06828592015523</v>
      </c>
      <c r="K9" s="733">
        <f t="shared" si="7"/>
        <v>432.87212766361716</v>
      </c>
      <c r="L9" s="733">
        <f t="shared" si="7"/>
        <v>481.52160458883816</v>
      </c>
      <c r="M9" s="733">
        <f t="shared" si="7"/>
        <v>534.13296452847976</v>
      </c>
      <c r="N9" s="734">
        <f>1001.4*LN(N2)-2655.6</f>
        <v>567.78225102301622</v>
      </c>
      <c r="O9" s="734">
        <f t="shared" ref="O9:W9" si="8">1001.4*LN(O2)-2655.6</f>
        <v>607.05787317471231</v>
      </c>
      <c r="P9" s="734">
        <f t="shared" si="8"/>
        <v>644.85103761673508</v>
      </c>
      <c r="Q9" s="734">
        <f t="shared" si="8"/>
        <v>681.26959648944921</v>
      </c>
      <c r="R9" s="734">
        <f t="shared" si="8"/>
        <v>716.4100441484552</v>
      </c>
      <c r="S9" s="734">
        <f t="shared" si="8"/>
        <v>750.35905799648253</v>
      </c>
      <c r="T9" s="734">
        <f t="shared" si="8"/>
        <v>783.19478657142554</v>
      </c>
      <c r="U9" s="734">
        <f t="shared" si="8"/>
        <v>814.98793306364632</v>
      </c>
      <c r="V9" s="734">
        <f t="shared" si="8"/>
        <v>845.80267205253313</v>
      </c>
      <c r="W9" s="734">
        <f t="shared" si="8"/>
        <v>875.69742935062413</v>
      </c>
    </row>
    <row r="12" spans="1:23">
      <c r="O12" s="13" t="s">
        <v>3334</v>
      </c>
      <c r="P12" s="13"/>
      <c r="Q12" s="13"/>
      <c r="R12" s="13"/>
      <c r="S12" s="13"/>
    </row>
    <row r="13" spans="1:23">
      <c r="O13" s="13"/>
      <c r="P13" s="13"/>
      <c r="Q13" s="213" t="s">
        <v>5293</v>
      </c>
      <c r="R13" s="13" t="s">
        <v>5489</v>
      </c>
      <c r="S13" s="13"/>
    </row>
    <row r="14" spans="1:23">
      <c r="O14" s="13"/>
      <c r="P14" s="13"/>
      <c r="Q14" s="213" t="s">
        <v>5295</v>
      </c>
      <c r="R14" s="13" t="s">
        <v>5488</v>
      </c>
      <c r="S14" s="13"/>
    </row>
    <row r="15" spans="1:23">
      <c r="O15" s="13"/>
      <c r="P15" s="13"/>
      <c r="Q15" s="213" t="s">
        <v>5294</v>
      </c>
      <c r="R15" s="13" t="s">
        <v>5490</v>
      </c>
      <c r="S15" s="13"/>
    </row>
    <row r="16" spans="1:23">
      <c r="O16" s="13" t="s">
        <v>5</v>
      </c>
      <c r="P16" s="13"/>
      <c r="Q16" s="13"/>
      <c r="R16" s="13"/>
      <c r="S16" s="13"/>
    </row>
    <row r="17" spans="15:19">
      <c r="O17" s="13"/>
      <c r="P17" s="13"/>
      <c r="Q17" s="213" t="s">
        <v>5293</v>
      </c>
      <c r="R17" s="13" t="s">
        <v>5491</v>
      </c>
      <c r="S17" s="13"/>
    </row>
    <row r="18" spans="15:19">
      <c r="O18" s="13"/>
      <c r="P18" s="13"/>
      <c r="Q18" s="213" t="s">
        <v>5295</v>
      </c>
      <c r="R18" s="863" t="s">
        <v>5492</v>
      </c>
      <c r="S18" s="13"/>
    </row>
    <row r="19" spans="15:19">
      <c r="O19" s="13"/>
      <c r="P19" s="13"/>
      <c r="Q19" s="213" t="s">
        <v>5294</v>
      </c>
      <c r="R19" s="863" t="s">
        <v>5493</v>
      </c>
      <c r="S19" s="13"/>
    </row>
    <row r="20" spans="15:19">
      <c r="O20" s="13" t="s">
        <v>143</v>
      </c>
      <c r="P20" s="13"/>
      <c r="Q20" s="13"/>
      <c r="R20" s="13"/>
      <c r="S20" s="13"/>
    </row>
    <row r="21" spans="15:19">
      <c r="O21" s="13"/>
      <c r="P21" s="13"/>
      <c r="Q21" s="213" t="s">
        <v>5293</v>
      </c>
      <c r="R21" s="13" t="s">
        <v>5494</v>
      </c>
      <c r="S21" s="13"/>
    </row>
    <row r="22" spans="15:19">
      <c r="O22" s="13"/>
      <c r="P22" s="13"/>
      <c r="Q22" s="213" t="s">
        <v>5295</v>
      </c>
      <c r="R22" s="863" t="s">
        <v>5495</v>
      </c>
      <c r="S22" s="13"/>
    </row>
    <row r="23" spans="15:19">
      <c r="O23" s="13"/>
      <c r="P23" s="13"/>
      <c r="Q23" s="213" t="s">
        <v>5294</v>
      </c>
      <c r="R23" s="863" t="s">
        <v>5496</v>
      </c>
      <c r="S23" s="13"/>
    </row>
    <row r="38" spans="1:23">
      <c r="A38" s="19" t="s">
        <v>3334</v>
      </c>
      <c r="N38" s="2" t="s">
        <v>5517</v>
      </c>
    </row>
    <row r="39" spans="1:23">
      <c r="B39" s="218" t="s">
        <v>5293</v>
      </c>
      <c r="C39" s="33">
        <v>1285.3609793356331</v>
      </c>
      <c r="D39" s="33">
        <v>1390.8630578614191</v>
      </c>
      <c r="E39" s="33">
        <v>1535.0349442050501</v>
      </c>
      <c r="F39" s="33">
        <v>1609.4048007539145</v>
      </c>
      <c r="G39" s="33">
        <v>1696.7401469865367</v>
      </c>
      <c r="H39" s="33">
        <v>1797.6608547828118</v>
      </c>
      <c r="I39" s="33">
        <v>1943.0885989066319</v>
      </c>
      <c r="J39" s="33">
        <v>2118.7828258661225</v>
      </c>
      <c r="K39" s="33">
        <v>2322.2918081530888</v>
      </c>
      <c r="L39" s="33">
        <v>2551.0445890973901</v>
      </c>
      <c r="M39" s="33">
        <v>2803.9239307195412</v>
      </c>
      <c r="N39" s="868">
        <v>2960.3214018360541</v>
      </c>
      <c r="O39" s="869">
        <v>3145.2509864250915</v>
      </c>
      <c r="P39" s="869">
        <v>3323.2004068970127</v>
      </c>
      <c r="Q39" s="869">
        <v>3494.6774859271045</v>
      </c>
      <c r="R39" s="869">
        <v>3660.1365679692262</v>
      </c>
      <c r="S39" s="869">
        <v>3819.9857742752301</v>
      </c>
      <c r="T39" s="869">
        <v>3974.5930678679142</v>
      </c>
      <c r="U39" s="869">
        <v>4124.2913552909922</v>
      </c>
      <c r="V39" s="869">
        <v>4269.3828030706027</v>
      </c>
      <c r="W39" s="870">
        <v>4410.1425096176645</v>
      </c>
    </row>
    <row r="40" spans="1:23">
      <c r="B40" s="218" t="s">
        <v>5295</v>
      </c>
      <c r="C40" s="33">
        <v>1108.1042934142099</v>
      </c>
      <c r="D40" s="33">
        <v>1308.1347418077639</v>
      </c>
      <c r="E40" s="33">
        <v>1525.3424153689666</v>
      </c>
      <c r="F40" s="33">
        <v>1760.1500397888826</v>
      </c>
      <c r="G40" s="33">
        <v>2012.9803407507061</v>
      </c>
      <c r="H40" s="33">
        <v>2284.2560439494364</v>
      </c>
      <c r="I40" s="33">
        <v>2565.8400272947711</v>
      </c>
      <c r="J40" s="33">
        <v>2768.2200000000003</v>
      </c>
      <c r="K40" s="33">
        <v>3011.54</v>
      </c>
      <c r="L40" s="33">
        <v>3254.8599999999997</v>
      </c>
      <c r="M40" s="33">
        <v>3498.1800000000003</v>
      </c>
      <c r="N40" s="231">
        <v>3689.2233503808638</v>
      </c>
      <c r="O40" s="232">
        <v>3891.3198411170924</v>
      </c>
      <c r="P40" s="232">
        <v>4085.788203147109</v>
      </c>
      <c r="Q40" s="232">
        <v>4273.1834000307899</v>
      </c>
      <c r="R40" s="232">
        <v>4454.0019527543045</v>
      </c>
      <c r="S40" s="232">
        <v>4628.6898682287538</v>
      </c>
      <c r="T40" s="232">
        <v>4797.6492672710629</v>
      </c>
      <c r="U40" s="232">
        <v>4961.2439599464306</v>
      </c>
      <c r="V40" s="232">
        <v>5119.8041627244784</v>
      </c>
      <c r="W40" s="729">
        <v>5273.6305112421578</v>
      </c>
    </row>
    <row r="41" spans="1:23">
      <c r="B41" s="218" t="s">
        <v>5294</v>
      </c>
      <c r="C41" s="33">
        <v>1278.1392124126796</v>
      </c>
      <c r="D41" s="33">
        <v>1362.9969912339152</v>
      </c>
      <c r="E41" s="33">
        <v>1476.4070257774958</v>
      </c>
      <c r="F41" s="33">
        <v>1540.5888411616243</v>
      </c>
      <c r="G41" s="33">
        <v>1614.9490936436855</v>
      </c>
      <c r="H41" s="33">
        <v>1701.5586679979881</v>
      </c>
      <c r="I41" s="33">
        <v>1804.847766219121</v>
      </c>
      <c r="J41" s="33">
        <v>1932.0056836601173</v>
      </c>
      <c r="K41" s="33">
        <v>2084.8120150954101</v>
      </c>
      <c r="L41" s="33">
        <v>2262.5879984894432</v>
      </c>
      <c r="M41" s="33">
        <v>2461.4389655931795</v>
      </c>
      <c r="N41" s="234">
        <v>2576.5525668859445</v>
      </c>
      <c r="O41" s="235">
        <v>2717.6216279556666</v>
      </c>
      <c r="P41" s="235">
        <v>2853.366039644372</v>
      </c>
      <c r="Q41" s="235">
        <v>2984.1731821981739</v>
      </c>
      <c r="R41" s="235">
        <v>3110.3896412953509</v>
      </c>
      <c r="S41" s="235">
        <v>3232.3267423624402</v>
      </c>
      <c r="T41" s="235">
        <v>3350.2651770921748</v>
      </c>
      <c r="U41" s="235">
        <v>3464.4588951900569</v>
      </c>
      <c r="V41" s="235">
        <v>3575.1383970826355</v>
      </c>
      <c r="W41" s="730">
        <v>3682.5135349394095</v>
      </c>
    </row>
    <row r="42" spans="1:23">
      <c r="A42" s="19" t="s">
        <v>5</v>
      </c>
      <c r="C42" s="5"/>
      <c r="D42" s="5"/>
      <c r="E42" s="5"/>
      <c r="F42" s="5"/>
      <c r="G42" s="5"/>
      <c r="H42" s="5"/>
      <c r="I42" s="5"/>
      <c r="J42" s="5"/>
      <c r="K42" s="5"/>
      <c r="L42" s="5"/>
      <c r="M42" s="5"/>
      <c r="N42" s="871" t="s">
        <v>5517</v>
      </c>
      <c r="O42" s="5"/>
      <c r="P42" s="5"/>
      <c r="Q42" s="5"/>
      <c r="R42" s="5"/>
      <c r="S42" s="5"/>
      <c r="T42" s="5"/>
      <c r="U42" s="5"/>
      <c r="V42" s="5"/>
      <c r="W42" s="5"/>
    </row>
    <row r="43" spans="1:23">
      <c r="B43" s="218" t="s">
        <v>5293</v>
      </c>
      <c r="C43" s="33">
        <v>857.47845191785689</v>
      </c>
      <c r="D43" s="33">
        <v>924.10305022966361</v>
      </c>
      <c r="E43" s="33">
        <v>1017.6732130144687</v>
      </c>
      <c r="F43" s="33">
        <v>1058.8777521781421</v>
      </c>
      <c r="G43" s="33">
        <v>1106.5276695335365</v>
      </c>
      <c r="H43" s="33">
        <v>1166.0042723545328</v>
      </c>
      <c r="I43" s="33">
        <v>1260.6656129604487</v>
      </c>
      <c r="J43" s="33">
        <v>1371.726268585755</v>
      </c>
      <c r="K43" s="33">
        <v>1499.3419623982338</v>
      </c>
      <c r="L43" s="33">
        <v>1644.2393646903222</v>
      </c>
      <c r="M43" s="33">
        <v>1807.0832599555931</v>
      </c>
      <c r="N43" s="868">
        <v>1904.8104026186165</v>
      </c>
      <c r="O43" s="869">
        <v>2022.0215038771994</v>
      </c>
      <c r="P43" s="869">
        <v>2134.8084740539371</v>
      </c>
      <c r="Q43" s="869">
        <v>2243.4931786585958</v>
      </c>
      <c r="R43" s="869">
        <v>2348.3635879145777</v>
      </c>
      <c r="S43" s="869">
        <v>2449.6783750973509</v>
      </c>
      <c r="T43" s="869">
        <v>2547.670760603859</v>
      </c>
      <c r="U43" s="869">
        <v>2642.551745516982</v>
      </c>
      <c r="V43" s="869">
        <v>2734.5128474425755</v>
      </c>
      <c r="W43" s="870">
        <v>2823.7284278153993</v>
      </c>
    </row>
    <row r="44" spans="1:23">
      <c r="B44" s="218" t="s">
        <v>5295</v>
      </c>
      <c r="C44" s="33">
        <v>704.06010107253678</v>
      </c>
      <c r="D44" s="33">
        <v>897.93908079969697</v>
      </c>
      <c r="E44" s="33">
        <v>1121.964459664654</v>
      </c>
      <c r="F44" s="33">
        <v>1377.8238122074399</v>
      </c>
      <c r="G44" s="33">
        <v>1667.204712998122</v>
      </c>
      <c r="H44" s="33">
        <v>1991.7947365636937</v>
      </c>
      <c r="I44" s="33">
        <v>2350.3647499788235</v>
      </c>
      <c r="J44" s="33">
        <v>2540.5</v>
      </c>
      <c r="K44" s="33">
        <v>2814.5</v>
      </c>
      <c r="L44" s="33">
        <v>3088.5</v>
      </c>
      <c r="M44" s="33">
        <v>3362.5</v>
      </c>
      <c r="N44" s="231">
        <v>3563.2494090650616</v>
      </c>
      <c r="O44" s="232">
        <v>3784.1836083288108</v>
      </c>
      <c r="P44" s="232">
        <v>3996.7786498889873</v>
      </c>
      <c r="Q44" s="232">
        <v>4201.6412262679405</v>
      </c>
      <c r="R44" s="232">
        <v>4399.3141398968073</v>
      </c>
      <c r="S44" s="232">
        <v>4590.2849706410889</v>
      </c>
      <c r="T44" s="232">
        <v>4774.9933215852798</v>
      </c>
      <c r="U44" s="232">
        <v>4953.8369140611394</v>
      </c>
      <c r="V44" s="232">
        <v>5127.1767444968318</v>
      </c>
      <c r="W44" s="729">
        <v>5295.3414712153026</v>
      </c>
    </row>
    <row r="45" spans="1:23">
      <c r="B45" s="218" t="s">
        <v>5294</v>
      </c>
      <c r="C45" s="33">
        <v>855.08846966213548</v>
      </c>
      <c r="D45" s="33">
        <v>899.99934982703394</v>
      </c>
      <c r="E45" s="33">
        <v>963.64166112955638</v>
      </c>
      <c r="F45" s="33">
        <v>1000.873682371806</v>
      </c>
      <c r="G45" s="33">
        <v>1043.4368656879296</v>
      </c>
      <c r="H45" s="33">
        <v>1090.312309665416</v>
      </c>
      <c r="I45" s="33">
        <v>1147.4991872676469</v>
      </c>
      <c r="J45" s="33">
        <v>1227.7803842973981</v>
      </c>
      <c r="K45" s="33">
        <v>1324.2486076579894</v>
      </c>
      <c r="L45" s="33">
        <v>1436.1117882105668</v>
      </c>
      <c r="M45" s="33">
        <v>1564.1347908550651</v>
      </c>
      <c r="N45" s="234">
        <v>1635.8961172921418</v>
      </c>
      <c r="O45" s="235">
        <v>1725.2762004971555</v>
      </c>
      <c r="P45" s="235">
        <v>1811.2826339372659</v>
      </c>
      <c r="Q45" s="235">
        <v>1894.1608582382723</v>
      </c>
      <c r="R45" s="235">
        <v>1974.130466956176</v>
      </c>
      <c r="S45" s="235">
        <v>2051.3887130698859</v>
      </c>
      <c r="T45" s="235">
        <v>2126.1134403012002</v>
      </c>
      <c r="U45" s="235">
        <v>2198.4655488902972</v>
      </c>
      <c r="V45" s="235">
        <v>2268.5910818259617</v>
      </c>
      <c r="W45" s="730">
        <v>2336.6229995477706</v>
      </c>
    </row>
    <row r="46" spans="1:23">
      <c r="A46" s="19" t="s">
        <v>143</v>
      </c>
      <c r="C46" s="5"/>
      <c r="D46" s="5"/>
      <c r="E46" s="5"/>
      <c r="F46" s="5"/>
      <c r="G46" s="5"/>
      <c r="H46" s="5"/>
      <c r="I46" s="5"/>
      <c r="J46" s="5"/>
      <c r="K46" s="5"/>
      <c r="L46" s="5"/>
      <c r="M46" s="5"/>
      <c r="N46" s="871" t="s">
        <v>5517</v>
      </c>
      <c r="O46" s="5"/>
      <c r="P46" s="5"/>
      <c r="Q46" s="5"/>
      <c r="R46" s="5"/>
      <c r="S46" s="5"/>
      <c r="T46" s="5"/>
      <c r="U46" s="5"/>
      <c r="V46" s="5"/>
      <c r="W46" s="5"/>
    </row>
    <row r="47" spans="1:23">
      <c r="B47" s="218" t="s">
        <v>5293</v>
      </c>
      <c r="C47" s="33">
        <v>240.77212213857013</v>
      </c>
      <c r="D47" s="33">
        <v>277.45760495358206</v>
      </c>
      <c r="E47" s="33">
        <v>324.16562457460873</v>
      </c>
      <c r="F47" s="33">
        <v>334.98944369929512</v>
      </c>
      <c r="G47" s="33">
        <v>347.12655776038548</v>
      </c>
      <c r="H47" s="33">
        <v>360.46888734635104</v>
      </c>
      <c r="I47" s="33">
        <v>396.87489068423872</v>
      </c>
      <c r="J47" s="33">
        <v>440.96277009790026</v>
      </c>
      <c r="K47" s="33">
        <v>490.16097165929921</v>
      </c>
      <c r="L47" s="33">
        <v>542.77238443011925</v>
      </c>
      <c r="M47" s="33">
        <v>598.18948313246676</v>
      </c>
      <c r="N47" s="868">
        <v>637.15778647936168</v>
      </c>
      <c r="O47" s="869">
        <v>680.49667451373807</v>
      </c>
      <c r="P47" s="869">
        <v>722.19973693478369</v>
      </c>
      <c r="Q47" s="869">
        <v>762.38598374360026</v>
      </c>
      <c r="R47" s="869">
        <v>801.16189213505413</v>
      </c>
      <c r="S47" s="869">
        <v>838.62310673668208</v>
      </c>
      <c r="T47" s="869">
        <v>874.85586095608687</v>
      </c>
      <c r="U47" s="869">
        <v>909.9381725936978</v>
      </c>
      <c r="V47" s="869">
        <v>943.94085542046105</v>
      </c>
      <c r="W47" s="870">
        <v>976.92837970085884</v>
      </c>
    </row>
    <row r="48" spans="1:23">
      <c r="B48" s="218" t="s">
        <v>5295</v>
      </c>
      <c r="C48" s="33">
        <v>255.17460913628341</v>
      </c>
      <c r="D48" s="33">
        <v>312.80110160518439</v>
      </c>
      <c r="E48" s="33">
        <v>375.3559259622171</v>
      </c>
      <c r="F48" s="33">
        <v>442.34299034848806</v>
      </c>
      <c r="G48" s="33">
        <v>513.26620292566713</v>
      </c>
      <c r="H48" s="33">
        <v>587.62947183851145</v>
      </c>
      <c r="I48" s="33">
        <v>657.07408707208413</v>
      </c>
      <c r="J48" s="33">
        <v>719.56700000000012</v>
      </c>
      <c r="K48" s="33">
        <v>787.18400000000008</v>
      </c>
      <c r="L48" s="33">
        <v>854.80100000000004</v>
      </c>
      <c r="M48" s="33">
        <v>922.41800000000001</v>
      </c>
      <c r="N48" s="231">
        <v>977.85870430757313</v>
      </c>
      <c r="O48" s="232">
        <v>1035.120945511364</v>
      </c>
      <c r="P48" s="232">
        <v>1090.221824366321</v>
      </c>
      <c r="Q48" s="232">
        <v>1143.3185848557978</v>
      </c>
      <c r="R48" s="232">
        <v>1194.5519117802523</v>
      </c>
      <c r="S48" s="232">
        <v>1244.0481772267467</v>
      </c>
      <c r="T48" s="232">
        <v>1291.921318548314</v>
      </c>
      <c r="U48" s="232">
        <v>1338.2744180876007</v>
      </c>
      <c r="V48" s="232">
        <v>1383.2010397410613</v>
      </c>
      <c r="W48" s="729">
        <v>1426.7863659395962</v>
      </c>
    </row>
    <row r="49" spans="1:23">
      <c r="B49" s="218" t="s">
        <v>5294</v>
      </c>
      <c r="C49" s="33">
        <v>225.04725646891512</v>
      </c>
      <c r="D49" s="33">
        <v>252.81008470150408</v>
      </c>
      <c r="E49" s="33">
        <v>290.4623418671847</v>
      </c>
      <c r="F49" s="33">
        <v>300.31769099053008</v>
      </c>
      <c r="G49" s="33">
        <v>311.56616233650345</v>
      </c>
      <c r="H49" s="33">
        <v>323.96801596704307</v>
      </c>
      <c r="I49" s="33">
        <v>351.65659025973571</v>
      </c>
      <c r="J49" s="33">
        <v>389.06828592015523</v>
      </c>
      <c r="K49" s="33">
        <v>432.87212766361716</v>
      </c>
      <c r="L49" s="33">
        <v>481.52160458883816</v>
      </c>
      <c r="M49" s="33">
        <v>534.13296452847976</v>
      </c>
      <c r="N49" s="234">
        <v>567.78225102301622</v>
      </c>
      <c r="O49" s="235">
        <v>607.05787317471231</v>
      </c>
      <c r="P49" s="235">
        <v>644.85103761673508</v>
      </c>
      <c r="Q49" s="235">
        <v>681.26959648944921</v>
      </c>
      <c r="R49" s="235">
        <v>716.4100441484552</v>
      </c>
      <c r="S49" s="235">
        <v>750.35905799648253</v>
      </c>
      <c r="T49" s="235">
        <v>783.19478657142554</v>
      </c>
      <c r="U49" s="235">
        <v>814.98793306364632</v>
      </c>
      <c r="V49" s="235">
        <v>845.80267205253313</v>
      </c>
      <c r="W49" s="730">
        <v>875.69742935062413</v>
      </c>
    </row>
    <row r="50" spans="1:23">
      <c r="A50" s="19" t="s">
        <v>4329</v>
      </c>
      <c r="C50" s="5"/>
      <c r="D50" s="5"/>
      <c r="E50" s="5"/>
      <c r="F50" s="5"/>
      <c r="G50" s="5"/>
      <c r="H50" s="5"/>
      <c r="I50" s="5"/>
      <c r="J50" s="5"/>
      <c r="K50" s="5"/>
      <c r="L50" s="5"/>
      <c r="M50" s="5"/>
      <c r="N50" s="5"/>
      <c r="O50" s="5"/>
      <c r="P50" s="5"/>
      <c r="Q50" s="5"/>
      <c r="R50" s="5"/>
      <c r="S50" s="5"/>
      <c r="T50" s="5"/>
      <c r="U50" s="5"/>
      <c r="V50" s="5"/>
      <c r="W50" s="5"/>
    </row>
    <row r="51" spans="1:23">
      <c r="B51" s="218" t="s">
        <v>5293</v>
      </c>
      <c r="C51" s="5">
        <f>SUM(C39,C43,C47)</f>
        <v>2383.6115533920602</v>
      </c>
      <c r="D51" s="5">
        <f t="shared" ref="D51:W53" si="9">SUM(D39,D43,D47)</f>
        <v>2592.423713044665</v>
      </c>
      <c r="E51" s="5">
        <f t="shared" si="9"/>
        <v>2876.8737817941274</v>
      </c>
      <c r="F51" s="5">
        <f t="shared" si="9"/>
        <v>3003.2719966313516</v>
      </c>
      <c r="G51" s="5">
        <f t="shared" si="9"/>
        <v>3150.3943742804586</v>
      </c>
      <c r="H51" s="5">
        <f t="shared" si="9"/>
        <v>3324.1340144836959</v>
      </c>
      <c r="I51" s="5">
        <f t="shared" si="9"/>
        <v>3600.6291025513196</v>
      </c>
      <c r="J51" s="5">
        <f t="shared" si="9"/>
        <v>3931.4718645497778</v>
      </c>
      <c r="K51" s="5">
        <f t="shared" si="9"/>
        <v>4311.7947422106217</v>
      </c>
      <c r="L51" s="5">
        <f t="shared" si="9"/>
        <v>4738.0563382178316</v>
      </c>
      <c r="M51" s="5">
        <f t="shared" si="9"/>
        <v>5209.1966738076017</v>
      </c>
      <c r="N51" s="5">
        <f t="shared" si="9"/>
        <v>5502.2895909340323</v>
      </c>
      <c r="O51" s="5">
        <f t="shared" si="9"/>
        <v>5847.7691648160289</v>
      </c>
      <c r="P51" s="5">
        <f t="shared" si="9"/>
        <v>6180.2086178857335</v>
      </c>
      <c r="Q51" s="5">
        <f t="shared" si="9"/>
        <v>6500.5566483293005</v>
      </c>
      <c r="R51" s="5">
        <f t="shared" si="9"/>
        <v>6809.6620480188576</v>
      </c>
      <c r="S51" s="5">
        <f t="shared" si="9"/>
        <v>7108.2872561092627</v>
      </c>
      <c r="T51" s="5">
        <f t="shared" si="9"/>
        <v>7397.1196894278601</v>
      </c>
      <c r="U51" s="5">
        <f t="shared" si="9"/>
        <v>7676.7812734016716</v>
      </c>
      <c r="V51" s="5">
        <f t="shared" si="9"/>
        <v>7947.8365059336393</v>
      </c>
      <c r="W51" s="5">
        <f t="shared" si="9"/>
        <v>8210.7993171339222</v>
      </c>
    </row>
    <row r="52" spans="1:23">
      <c r="B52" s="218" t="s">
        <v>5295</v>
      </c>
      <c r="C52" s="5">
        <f t="shared" ref="C52:R53" si="10">SUM(C40,C44,C48)</f>
        <v>2067.3390036230303</v>
      </c>
      <c r="D52" s="5">
        <f t="shared" si="10"/>
        <v>2518.8749242126451</v>
      </c>
      <c r="E52" s="5">
        <f t="shared" si="10"/>
        <v>3022.6628009958376</v>
      </c>
      <c r="F52" s="5">
        <f t="shared" si="10"/>
        <v>3580.3168423448105</v>
      </c>
      <c r="G52" s="5">
        <f t="shared" si="10"/>
        <v>4193.4512566744952</v>
      </c>
      <c r="H52" s="5">
        <f t="shared" si="10"/>
        <v>4863.6802523516417</v>
      </c>
      <c r="I52" s="5">
        <f t="shared" si="10"/>
        <v>5573.2788643456788</v>
      </c>
      <c r="J52" s="5">
        <f t="shared" si="10"/>
        <v>6028.2870000000003</v>
      </c>
      <c r="K52" s="5">
        <f t="shared" si="10"/>
        <v>6613.2240000000002</v>
      </c>
      <c r="L52" s="5">
        <f t="shared" si="10"/>
        <v>7198.1610000000001</v>
      </c>
      <c r="M52" s="5">
        <f t="shared" si="10"/>
        <v>7783.098</v>
      </c>
      <c r="N52" s="5">
        <f t="shared" si="10"/>
        <v>8230.3314637534986</v>
      </c>
      <c r="O52" s="5">
        <f t="shared" si="10"/>
        <v>8710.6243949572672</v>
      </c>
      <c r="P52" s="5">
        <f t="shared" si="10"/>
        <v>9172.7886774024173</v>
      </c>
      <c r="Q52" s="5">
        <f t="shared" si="10"/>
        <v>9618.1432111545291</v>
      </c>
      <c r="R52" s="5">
        <f t="shared" si="10"/>
        <v>10047.868004431364</v>
      </c>
      <c r="S52" s="5">
        <f t="shared" si="9"/>
        <v>10463.023016096589</v>
      </c>
      <c r="T52" s="5">
        <f t="shared" si="9"/>
        <v>10864.563907404656</v>
      </c>
      <c r="U52" s="5">
        <f t="shared" si="9"/>
        <v>11253.35529209517</v>
      </c>
      <c r="V52" s="5">
        <f t="shared" si="9"/>
        <v>11630.181946962372</v>
      </c>
      <c r="W52" s="5">
        <f t="shared" si="9"/>
        <v>11995.758348397056</v>
      </c>
    </row>
    <row r="53" spans="1:23">
      <c r="B53" s="218" t="s">
        <v>5294</v>
      </c>
      <c r="C53" s="5">
        <f t="shared" si="10"/>
        <v>2358.2749385437305</v>
      </c>
      <c r="D53" s="5">
        <f t="shared" si="9"/>
        <v>2515.8064257624528</v>
      </c>
      <c r="E53" s="5">
        <f t="shared" si="9"/>
        <v>2730.5110287742373</v>
      </c>
      <c r="F53" s="5">
        <f t="shared" si="9"/>
        <v>2841.7802145239602</v>
      </c>
      <c r="G53" s="5">
        <f t="shared" si="9"/>
        <v>2969.9521216681187</v>
      </c>
      <c r="H53" s="5">
        <f t="shared" si="9"/>
        <v>3115.838993630447</v>
      </c>
      <c r="I53" s="5">
        <f t="shared" si="9"/>
        <v>3304.003543746504</v>
      </c>
      <c r="J53" s="5">
        <f t="shared" si="9"/>
        <v>3548.8543538776703</v>
      </c>
      <c r="K53" s="5">
        <f t="shared" si="9"/>
        <v>3841.9327504170165</v>
      </c>
      <c r="L53" s="5">
        <f t="shared" si="9"/>
        <v>4180.2213912888483</v>
      </c>
      <c r="M53" s="5">
        <f t="shared" si="9"/>
        <v>4559.7067209767247</v>
      </c>
      <c r="N53" s="5">
        <f t="shared" si="9"/>
        <v>4780.2309352011025</v>
      </c>
      <c r="O53" s="5">
        <f t="shared" si="9"/>
        <v>5049.9557016275339</v>
      </c>
      <c r="P53" s="5">
        <f t="shared" si="9"/>
        <v>5309.499711198373</v>
      </c>
      <c r="Q53" s="5">
        <f t="shared" si="9"/>
        <v>5559.6036369258954</v>
      </c>
      <c r="R53" s="5">
        <f t="shared" si="9"/>
        <v>5800.930152399982</v>
      </c>
      <c r="S53" s="5">
        <f t="shared" si="9"/>
        <v>6034.0745134288081</v>
      </c>
      <c r="T53" s="5">
        <f t="shared" si="9"/>
        <v>6259.5734039648005</v>
      </c>
      <c r="U53" s="5">
        <f t="shared" si="9"/>
        <v>6477.9123771440009</v>
      </c>
      <c r="V53" s="5">
        <f t="shared" si="9"/>
        <v>6689.5321509611304</v>
      </c>
      <c r="W53" s="5">
        <f t="shared" si="9"/>
        <v>6894.8339638378038</v>
      </c>
    </row>
  </sheetData>
  <pageMargins left="0.25" right="0.25" top="0.75" bottom="0.75" header="0.3" footer="0.3"/>
  <pageSetup scale="59"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B2:C15"/>
  <sheetViews>
    <sheetView workbookViewId="0"/>
  </sheetViews>
  <sheetFormatPr defaultColWidth="8.85546875" defaultRowHeight="15"/>
  <cols>
    <col min="2" max="2" width="34.42578125" customWidth="1"/>
  </cols>
  <sheetData>
    <row r="2" spans="2:3">
      <c r="B2" s="4" t="s">
        <v>4258</v>
      </c>
      <c r="C2" s="13"/>
    </row>
    <row r="3" spans="2:3">
      <c r="B3" s="694" t="s">
        <v>4302</v>
      </c>
      <c r="C3" s="13" t="s">
        <v>4303</v>
      </c>
    </row>
    <row r="4" spans="2:3" s="19" customFormat="1">
      <c r="B4" s="694" t="s">
        <v>5267</v>
      </c>
      <c r="C4" s="13" t="s">
        <v>4266</v>
      </c>
    </row>
    <row r="5" spans="2:3">
      <c r="B5" s="694" t="s">
        <v>5255</v>
      </c>
      <c r="C5" s="212" t="s">
        <v>5269</v>
      </c>
    </row>
    <row r="6" spans="2:3">
      <c r="B6" s="694" t="s">
        <v>5256</v>
      </c>
      <c r="C6" s="13" t="s">
        <v>5268</v>
      </c>
    </row>
    <row r="7" spans="2:3">
      <c r="B7" s="697" t="s">
        <v>4262</v>
      </c>
      <c r="C7" s="13" t="s">
        <v>4312</v>
      </c>
    </row>
    <row r="8" spans="2:3">
      <c r="B8" s="696" t="s">
        <v>4261</v>
      </c>
      <c r="C8" s="13" t="s">
        <v>4294</v>
      </c>
    </row>
    <row r="9" spans="2:3">
      <c r="B9" s="696" t="s">
        <v>4259</v>
      </c>
      <c r="C9" s="13" t="s">
        <v>4295</v>
      </c>
    </row>
    <row r="10" spans="2:3">
      <c r="B10" s="696" t="s">
        <v>4260</v>
      </c>
      <c r="C10" s="13" t="s">
        <v>4296</v>
      </c>
    </row>
    <row r="11" spans="2:3">
      <c r="B11" s="80" t="s">
        <v>5257</v>
      </c>
      <c r="C11" s="13" t="s">
        <v>5259</v>
      </c>
    </row>
    <row r="12" spans="2:3">
      <c r="B12" s="80" t="s">
        <v>5258</v>
      </c>
      <c r="C12" s="13" t="s">
        <v>5260</v>
      </c>
    </row>
    <row r="13" spans="2:3">
      <c r="B13" s="80" t="s">
        <v>5180</v>
      </c>
      <c r="C13" s="13" t="s">
        <v>5421</v>
      </c>
    </row>
    <row r="14" spans="2:3">
      <c r="B14" s="80" t="s">
        <v>5181</v>
      </c>
      <c r="C14" s="13" t="s">
        <v>5422</v>
      </c>
    </row>
    <row r="15" spans="2:3">
      <c r="B15" s="80" t="s">
        <v>5348</v>
      </c>
      <c r="C15" s="13" t="s">
        <v>5349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Y31"/>
  <sheetViews>
    <sheetView zoomScale="90" zoomScaleNormal="90" workbookViewId="0">
      <pane xSplit="6" ySplit="3" topLeftCell="G4" activePane="bottomRight" state="frozenSplit"/>
      <selection pane="topRight" activeCell="G1" sqref="G1"/>
      <selection pane="bottomLeft" activeCell="A4" sqref="A4"/>
      <selection pane="bottomRight"/>
    </sheetView>
  </sheetViews>
  <sheetFormatPr defaultColWidth="8.85546875" defaultRowHeight="15"/>
  <cols>
    <col min="1" max="1" width="8" style="19" customWidth="1"/>
    <col min="2" max="3" width="7.140625" style="19" customWidth="1"/>
    <col min="4" max="4" width="11.85546875" style="19" customWidth="1"/>
    <col min="5" max="5" width="32.85546875" style="3" customWidth="1"/>
    <col min="6" max="6" width="8.7109375" style="19" customWidth="1"/>
    <col min="7" max="7" width="2.42578125" style="19" customWidth="1"/>
    <col min="8" max="8" width="10.85546875" style="19" customWidth="1"/>
    <col min="9" max="9" width="9.7109375" style="19" customWidth="1"/>
    <col min="10" max="10" width="2.42578125" style="19" customWidth="1"/>
    <col min="11" max="12" width="10.42578125" style="19" customWidth="1"/>
    <col min="13" max="13" width="9.28515625" style="19" customWidth="1"/>
    <col min="14" max="15" width="10.42578125" style="19" customWidth="1"/>
    <col min="16" max="16" width="13" style="19" customWidth="1"/>
    <col min="17" max="17" width="14.85546875" style="19" customWidth="1"/>
    <col min="18" max="18" width="21.28515625" style="19" customWidth="1"/>
    <col min="19" max="22" width="12.42578125" style="19" customWidth="1"/>
    <col min="23" max="23" width="11.28515625" style="19" customWidth="1"/>
    <col min="24" max="24" width="9.140625" style="19" customWidth="1"/>
    <col min="25" max="16384" width="8.85546875" style="19"/>
  </cols>
  <sheetData>
    <row r="1" spans="1:25">
      <c r="A1" s="163"/>
      <c r="B1" s="206"/>
      <c r="C1" s="206"/>
      <c r="D1" s="207"/>
      <c r="E1" s="664"/>
      <c r="F1" s="208"/>
      <c r="G1" s="208"/>
      <c r="H1" s="207"/>
      <c r="I1" s="207"/>
      <c r="J1" s="207"/>
      <c r="K1" s="207"/>
      <c r="L1" s="207"/>
      <c r="M1" s="207"/>
      <c r="N1" s="207"/>
      <c r="O1" s="207"/>
      <c r="P1" s="163"/>
      <c r="Q1" s="163"/>
      <c r="R1" s="207"/>
      <c r="S1" s="207"/>
      <c r="T1" s="207"/>
      <c r="U1" s="207"/>
      <c r="V1" s="207"/>
      <c r="W1" s="207"/>
      <c r="X1" s="207"/>
      <c r="Y1" s="163"/>
    </row>
    <row r="2" spans="1:25" s="742" customFormat="1" ht="27.75" customHeight="1">
      <c r="A2" s="739"/>
      <c r="B2" s="905" t="s">
        <v>5203</v>
      </c>
      <c r="C2" s="906"/>
      <c r="D2" s="906"/>
      <c r="E2" s="906"/>
      <c r="F2" s="907"/>
      <c r="G2" s="740"/>
      <c r="H2" s="905" t="s">
        <v>4267</v>
      </c>
      <c r="I2" s="907"/>
      <c r="J2" s="741"/>
      <c r="K2" s="908" t="s">
        <v>5315</v>
      </c>
      <c r="L2" s="909"/>
      <c r="M2" s="905" t="s">
        <v>4268</v>
      </c>
      <c r="N2" s="906"/>
      <c r="O2" s="906"/>
      <c r="P2" s="906"/>
      <c r="Q2" s="906"/>
      <c r="R2" s="906"/>
      <c r="S2" s="906"/>
      <c r="T2" s="906"/>
      <c r="U2" s="906"/>
      <c r="V2" s="906"/>
      <c r="W2" s="906"/>
      <c r="X2" s="907"/>
      <c r="Y2" s="739"/>
    </row>
    <row r="3" spans="1:25" s="14" customFormat="1" ht="50.1" customHeight="1" thickBot="1">
      <c r="A3" s="665"/>
      <c r="B3" s="910" t="s">
        <v>4335</v>
      </c>
      <c r="C3" s="911"/>
      <c r="D3" s="743" t="s">
        <v>4336</v>
      </c>
      <c r="E3" s="744" t="s">
        <v>3329</v>
      </c>
      <c r="F3" s="744" t="s">
        <v>5204</v>
      </c>
      <c r="G3" s="745"/>
      <c r="H3" s="744" t="s">
        <v>4264</v>
      </c>
      <c r="I3" s="744" t="s">
        <v>5205</v>
      </c>
      <c r="J3" s="746"/>
      <c r="K3" s="744" t="s">
        <v>5316</v>
      </c>
      <c r="L3" s="744" t="s">
        <v>5317</v>
      </c>
      <c r="M3" s="744" t="s">
        <v>4269</v>
      </c>
      <c r="N3" s="744" t="s">
        <v>5318</v>
      </c>
      <c r="O3" s="744" t="s">
        <v>5206</v>
      </c>
      <c r="P3" s="744" t="s">
        <v>5207</v>
      </c>
      <c r="Q3" s="744" t="s">
        <v>5274</v>
      </c>
      <c r="R3" s="747" t="s">
        <v>4352</v>
      </c>
      <c r="S3" s="744" t="s">
        <v>4270</v>
      </c>
      <c r="T3" s="744" t="s">
        <v>5282</v>
      </c>
      <c r="U3" s="744" t="s">
        <v>5319</v>
      </c>
      <c r="V3" s="744" t="s">
        <v>5283</v>
      </c>
      <c r="W3" s="744" t="s">
        <v>5364</v>
      </c>
      <c r="X3" s="744" t="s">
        <v>11</v>
      </c>
      <c r="Y3" s="667"/>
    </row>
    <row r="4" spans="1:25" s="14" customFormat="1" ht="80.099999999999994" customHeight="1">
      <c r="A4" s="665"/>
      <c r="B4" s="903">
        <v>1</v>
      </c>
      <c r="C4" s="904"/>
      <c r="D4" s="748" t="s">
        <v>5320</v>
      </c>
      <c r="E4" s="749" t="s">
        <v>5321</v>
      </c>
      <c r="F4" s="806">
        <v>1</v>
      </c>
      <c r="G4" s="750"/>
      <c r="H4" s="748" t="s">
        <v>5209</v>
      </c>
      <c r="I4" s="748" t="s">
        <v>7</v>
      </c>
      <c r="J4" s="666"/>
      <c r="K4" s="748" t="s">
        <v>5210</v>
      </c>
      <c r="L4" s="748" t="s">
        <v>5210</v>
      </c>
      <c r="M4" s="748" t="s">
        <v>4298</v>
      </c>
      <c r="N4" s="748" t="s">
        <v>4387</v>
      </c>
      <c r="O4" s="748" t="s">
        <v>4271</v>
      </c>
      <c r="P4" s="748" t="s">
        <v>5211</v>
      </c>
      <c r="Q4" s="748" t="s">
        <v>5212</v>
      </c>
      <c r="R4" s="751" t="s">
        <v>5365</v>
      </c>
      <c r="S4" s="748" t="s">
        <v>4271</v>
      </c>
      <c r="T4" s="748" t="s">
        <v>4387</v>
      </c>
      <c r="U4" s="748" t="s">
        <v>0</v>
      </c>
      <c r="V4" s="748" t="s">
        <v>7</v>
      </c>
      <c r="W4" s="807" t="s">
        <v>4387</v>
      </c>
      <c r="X4" s="752" t="s">
        <v>4387</v>
      </c>
      <c r="Y4" s="667"/>
    </row>
    <row r="5" spans="1:25" s="14" customFormat="1" ht="80.099999999999994" customHeight="1">
      <c r="A5" s="665"/>
      <c r="B5" s="898" t="s">
        <v>5322</v>
      </c>
      <c r="C5" s="808" t="s">
        <v>5213</v>
      </c>
      <c r="D5" s="753" t="s">
        <v>5214</v>
      </c>
      <c r="E5" s="754" t="s">
        <v>5323</v>
      </c>
      <c r="F5" s="809">
        <v>1</v>
      </c>
      <c r="G5" s="755"/>
      <c r="H5" s="756" t="s">
        <v>5215</v>
      </c>
      <c r="I5" s="756" t="s">
        <v>5324</v>
      </c>
      <c r="J5" s="669"/>
      <c r="K5" s="753" t="s">
        <v>5210</v>
      </c>
      <c r="L5" s="753" t="s">
        <v>5210</v>
      </c>
      <c r="M5" s="753" t="s">
        <v>4298</v>
      </c>
      <c r="N5" s="753" t="s">
        <v>4387</v>
      </c>
      <c r="O5" s="753" t="s">
        <v>4271</v>
      </c>
      <c r="P5" s="753" t="s">
        <v>4387</v>
      </c>
      <c r="Q5" s="756" t="s">
        <v>5523</v>
      </c>
      <c r="R5" s="759" t="s">
        <v>5365</v>
      </c>
      <c r="S5" s="753" t="s">
        <v>4271</v>
      </c>
      <c r="T5" s="753" t="s">
        <v>4387</v>
      </c>
      <c r="U5" s="753" t="s">
        <v>0</v>
      </c>
      <c r="V5" s="753" t="s">
        <v>7</v>
      </c>
      <c r="W5" s="810" t="s">
        <v>4387</v>
      </c>
      <c r="X5" s="758" t="s">
        <v>4387</v>
      </c>
      <c r="Y5" s="667"/>
    </row>
    <row r="6" spans="1:25" s="14" customFormat="1" ht="80.099999999999994" customHeight="1">
      <c r="A6" s="665"/>
      <c r="B6" s="899"/>
      <c r="C6" s="808" t="s">
        <v>5216</v>
      </c>
      <c r="D6" s="753" t="s">
        <v>5217</v>
      </c>
      <c r="E6" s="754" t="s">
        <v>5325</v>
      </c>
      <c r="F6" s="809">
        <v>1</v>
      </c>
      <c r="G6" s="755"/>
      <c r="H6" s="756" t="s">
        <v>5218</v>
      </c>
      <c r="I6" s="753" t="s">
        <v>7</v>
      </c>
      <c r="J6" s="669"/>
      <c r="K6" s="753" t="s">
        <v>5210</v>
      </c>
      <c r="L6" s="753" t="s">
        <v>5210</v>
      </c>
      <c r="M6" s="753" t="s">
        <v>4298</v>
      </c>
      <c r="N6" s="753" t="s">
        <v>4387</v>
      </c>
      <c r="O6" s="753" t="s">
        <v>4271</v>
      </c>
      <c r="P6" s="753" t="s">
        <v>4387</v>
      </c>
      <c r="Q6" s="753" t="s">
        <v>5212</v>
      </c>
      <c r="R6" s="759" t="s">
        <v>5365</v>
      </c>
      <c r="S6" s="753" t="s">
        <v>4271</v>
      </c>
      <c r="T6" s="753" t="s">
        <v>4387</v>
      </c>
      <c r="U6" s="753" t="s">
        <v>0</v>
      </c>
      <c r="V6" s="753" t="s">
        <v>7</v>
      </c>
      <c r="W6" s="810" t="s">
        <v>4387</v>
      </c>
      <c r="X6" s="758" t="s">
        <v>4387</v>
      </c>
      <c r="Y6" s="667"/>
    </row>
    <row r="7" spans="1:25" s="14" customFormat="1" ht="80.099999999999994" customHeight="1">
      <c r="A7" s="665"/>
      <c r="B7" s="899"/>
      <c r="C7" s="811" t="s">
        <v>5219</v>
      </c>
      <c r="D7" s="760" t="s">
        <v>5220</v>
      </c>
      <c r="E7" s="668" t="s">
        <v>5367</v>
      </c>
      <c r="F7" s="812">
        <v>1</v>
      </c>
      <c r="G7" s="761"/>
      <c r="H7" s="762" t="s">
        <v>5218</v>
      </c>
      <c r="I7" s="835" t="s">
        <v>7</v>
      </c>
      <c r="J7" s="670"/>
      <c r="K7" s="763" t="s">
        <v>5368</v>
      </c>
      <c r="L7" s="763" t="s">
        <v>5369</v>
      </c>
      <c r="M7" s="760" t="s">
        <v>4298</v>
      </c>
      <c r="N7" s="760" t="s">
        <v>4387</v>
      </c>
      <c r="O7" s="753" t="s">
        <v>4271</v>
      </c>
      <c r="P7" s="760" t="s">
        <v>4387</v>
      </c>
      <c r="Q7" s="760" t="s">
        <v>5212</v>
      </c>
      <c r="R7" s="757" t="s">
        <v>5370</v>
      </c>
      <c r="S7" s="760" t="s">
        <v>4271</v>
      </c>
      <c r="T7" s="760" t="s">
        <v>4387</v>
      </c>
      <c r="U7" s="760" t="s">
        <v>0</v>
      </c>
      <c r="V7" s="760" t="s">
        <v>7</v>
      </c>
      <c r="W7" s="813" t="s">
        <v>4387</v>
      </c>
      <c r="X7" s="764" t="s">
        <v>4387</v>
      </c>
      <c r="Y7" s="667"/>
    </row>
    <row r="8" spans="1:25" s="14" customFormat="1" ht="80.099999999999994" customHeight="1">
      <c r="A8" s="665"/>
      <c r="B8" s="900"/>
      <c r="C8" s="814" t="s">
        <v>5221</v>
      </c>
      <c r="D8" s="765" t="s">
        <v>5222</v>
      </c>
      <c r="E8" s="766" t="s">
        <v>5371</v>
      </c>
      <c r="F8" s="815">
        <v>1</v>
      </c>
      <c r="G8" s="767"/>
      <c r="H8" s="765" t="s">
        <v>5209</v>
      </c>
      <c r="I8" s="765" t="s">
        <v>7</v>
      </c>
      <c r="J8" s="768"/>
      <c r="K8" s="763" t="s">
        <v>5368</v>
      </c>
      <c r="L8" s="763" t="s">
        <v>5369</v>
      </c>
      <c r="M8" s="765" t="s">
        <v>4298</v>
      </c>
      <c r="N8" s="765" t="s">
        <v>4387</v>
      </c>
      <c r="O8" s="765" t="s">
        <v>4271</v>
      </c>
      <c r="P8" s="765" t="s">
        <v>4387</v>
      </c>
      <c r="Q8" s="765" t="s">
        <v>5212</v>
      </c>
      <c r="R8" s="757" t="s">
        <v>5370</v>
      </c>
      <c r="S8" s="765" t="s">
        <v>4271</v>
      </c>
      <c r="T8" s="765" t="s">
        <v>4387</v>
      </c>
      <c r="U8" s="765" t="s">
        <v>0</v>
      </c>
      <c r="V8" s="765" t="s">
        <v>7</v>
      </c>
      <c r="W8" s="816" t="s">
        <v>4387</v>
      </c>
      <c r="X8" s="769" t="s">
        <v>4387</v>
      </c>
      <c r="Y8" s="667"/>
    </row>
    <row r="9" spans="1:25" s="667" customFormat="1" ht="80.099999999999994" customHeight="1" thickBot="1">
      <c r="B9" s="770" t="s">
        <v>5326</v>
      </c>
      <c r="C9" s="771" t="s">
        <v>5327</v>
      </c>
      <c r="D9" s="772" t="s">
        <v>5225</v>
      </c>
      <c r="E9" s="773" t="s">
        <v>5328</v>
      </c>
      <c r="F9" s="817">
        <v>1</v>
      </c>
      <c r="G9" s="774"/>
      <c r="H9" s="772" t="s">
        <v>5209</v>
      </c>
      <c r="I9" s="772" t="s">
        <v>7</v>
      </c>
      <c r="J9" s="774"/>
      <c r="K9" s="772" t="s">
        <v>5210</v>
      </c>
      <c r="L9" s="772" t="s">
        <v>5210</v>
      </c>
      <c r="M9" s="772" t="s">
        <v>4298</v>
      </c>
      <c r="N9" s="772" t="s">
        <v>4387</v>
      </c>
      <c r="O9" s="772" t="s">
        <v>4271</v>
      </c>
      <c r="P9" s="774" t="s">
        <v>4387</v>
      </c>
      <c r="Q9" s="772" t="s">
        <v>5212</v>
      </c>
      <c r="R9" s="836" t="s">
        <v>5372</v>
      </c>
      <c r="S9" s="775" t="s">
        <v>5329</v>
      </c>
      <c r="T9" s="772" t="s">
        <v>4387</v>
      </c>
      <c r="U9" s="772" t="s">
        <v>0</v>
      </c>
      <c r="V9" s="772" t="s">
        <v>7</v>
      </c>
      <c r="W9" s="818" t="s">
        <v>4387</v>
      </c>
      <c r="X9" s="776" t="s">
        <v>4387</v>
      </c>
    </row>
    <row r="10" spans="1:25" s="14" customFormat="1" ht="80.099999999999994" customHeight="1" thickBot="1">
      <c r="A10" s="665"/>
      <c r="B10" s="901">
        <v>2</v>
      </c>
      <c r="C10" s="902"/>
      <c r="D10" s="777" t="s">
        <v>5223</v>
      </c>
      <c r="E10" s="778" t="s">
        <v>5330</v>
      </c>
      <c r="F10" s="819">
        <v>2</v>
      </c>
      <c r="G10" s="780"/>
      <c r="H10" s="781" t="s">
        <v>5224</v>
      </c>
      <c r="I10" s="777" t="s">
        <v>7</v>
      </c>
      <c r="J10" s="671"/>
      <c r="K10" s="777" t="s">
        <v>5210</v>
      </c>
      <c r="L10" s="777" t="s">
        <v>5210</v>
      </c>
      <c r="M10" s="777" t="s">
        <v>4298</v>
      </c>
      <c r="N10" s="777" t="s">
        <v>4387</v>
      </c>
      <c r="O10" s="777" t="s">
        <v>4271</v>
      </c>
      <c r="P10" s="782" t="s">
        <v>4387</v>
      </c>
      <c r="Q10" s="777" t="s">
        <v>5212</v>
      </c>
      <c r="R10" s="781" t="s">
        <v>5373</v>
      </c>
      <c r="S10" s="777" t="s">
        <v>4271</v>
      </c>
      <c r="T10" s="777" t="s">
        <v>4387</v>
      </c>
      <c r="U10" s="777" t="s">
        <v>0</v>
      </c>
      <c r="V10" s="777" t="s">
        <v>7</v>
      </c>
      <c r="W10" s="789" t="s">
        <v>4387</v>
      </c>
      <c r="X10" s="783" t="s">
        <v>4387</v>
      </c>
      <c r="Y10" s="667"/>
    </row>
    <row r="11" spans="1:25" s="14" customFormat="1" ht="80.099999999999994" customHeight="1" thickBot="1">
      <c r="A11" s="665"/>
      <c r="B11" s="901">
        <v>3</v>
      </c>
      <c r="C11" s="902"/>
      <c r="D11" s="777" t="s">
        <v>5227</v>
      </c>
      <c r="E11" s="784" t="s">
        <v>5331</v>
      </c>
      <c r="F11" s="819">
        <v>3</v>
      </c>
      <c r="G11" s="780"/>
      <c r="H11" s="777" t="s">
        <v>5209</v>
      </c>
      <c r="I11" s="785" t="s">
        <v>5332</v>
      </c>
      <c r="J11" s="671"/>
      <c r="K11" s="781" t="s">
        <v>5333</v>
      </c>
      <c r="L11" s="781" t="s">
        <v>5228</v>
      </c>
      <c r="M11" s="777" t="s">
        <v>4298</v>
      </c>
      <c r="N11" s="777" t="s">
        <v>4387</v>
      </c>
      <c r="O11" s="785" t="s">
        <v>5229</v>
      </c>
      <c r="P11" s="782" t="s">
        <v>4387</v>
      </c>
      <c r="Q11" s="786" t="s">
        <v>5212</v>
      </c>
      <c r="R11" s="785" t="s">
        <v>5374</v>
      </c>
      <c r="S11" s="777" t="s">
        <v>4271</v>
      </c>
      <c r="T11" s="777" t="s">
        <v>4387</v>
      </c>
      <c r="U11" s="777" t="s">
        <v>0</v>
      </c>
      <c r="V11" s="777" t="s">
        <v>7</v>
      </c>
      <c r="W11" s="789" t="s">
        <v>4387</v>
      </c>
      <c r="X11" s="783" t="s">
        <v>4387</v>
      </c>
      <c r="Y11" s="667"/>
    </row>
    <row r="12" spans="1:25" s="14" customFormat="1" ht="80.099999999999994" customHeight="1" thickBot="1">
      <c r="A12" s="665"/>
      <c r="B12" s="901">
        <v>4</v>
      </c>
      <c r="C12" s="902"/>
      <c r="D12" s="777" t="s">
        <v>5334</v>
      </c>
      <c r="E12" s="784" t="s">
        <v>5335</v>
      </c>
      <c r="F12" s="819">
        <v>4</v>
      </c>
      <c r="G12" s="780"/>
      <c r="H12" s="777" t="s">
        <v>5209</v>
      </c>
      <c r="I12" s="777" t="s">
        <v>7</v>
      </c>
      <c r="J12" s="671"/>
      <c r="K12" s="777" t="s">
        <v>5210</v>
      </c>
      <c r="L12" s="777" t="s">
        <v>5210</v>
      </c>
      <c r="M12" s="777" t="s">
        <v>4298</v>
      </c>
      <c r="N12" s="777" t="s">
        <v>4387</v>
      </c>
      <c r="O12" s="777" t="s">
        <v>4271</v>
      </c>
      <c r="P12" s="782" t="s">
        <v>4387</v>
      </c>
      <c r="Q12" s="777" t="s">
        <v>5212</v>
      </c>
      <c r="R12" s="781" t="s">
        <v>5375</v>
      </c>
      <c r="S12" s="777" t="s">
        <v>4271</v>
      </c>
      <c r="T12" s="777" t="s">
        <v>4387</v>
      </c>
      <c r="U12" s="777" t="s">
        <v>0</v>
      </c>
      <c r="V12" s="777" t="s">
        <v>7</v>
      </c>
      <c r="W12" s="789" t="s">
        <v>4387</v>
      </c>
      <c r="X12" s="783" t="s">
        <v>4387</v>
      </c>
      <c r="Y12" s="667"/>
    </row>
    <row r="13" spans="1:25" s="14" customFormat="1" ht="80.099999999999994" customHeight="1" thickBot="1">
      <c r="A13" s="665"/>
      <c r="B13" s="901">
        <v>5</v>
      </c>
      <c r="C13" s="902"/>
      <c r="D13" s="777" t="s">
        <v>4272</v>
      </c>
      <c r="E13" s="787" t="s">
        <v>5336</v>
      </c>
      <c r="F13" s="819">
        <v>5</v>
      </c>
      <c r="G13" s="780"/>
      <c r="H13" s="777" t="s">
        <v>5209</v>
      </c>
      <c r="I13" s="777" t="s">
        <v>7</v>
      </c>
      <c r="J13" s="671"/>
      <c r="K13" s="781" t="s">
        <v>5333</v>
      </c>
      <c r="L13" s="781" t="s">
        <v>5226</v>
      </c>
      <c r="M13" s="777" t="s">
        <v>4298</v>
      </c>
      <c r="N13" s="777" t="s">
        <v>4387</v>
      </c>
      <c r="O13" s="786" t="s">
        <v>4271</v>
      </c>
      <c r="P13" s="782" t="s">
        <v>4387</v>
      </c>
      <c r="Q13" s="777" t="s">
        <v>5212</v>
      </c>
      <c r="R13" s="781" t="s">
        <v>5376</v>
      </c>
      <c r="S13" s="777" t="s">
        <v>4271</v>
      </c>
      <c r="T13" s="777" t="s">
        <v>4387</v>
      </c>
      <c r="U13" s="777" t="s">
        <v>0</v>
      </c>
      <c r="V13" s="777" t="s">
        <v>7</v>
      </c>
      <c r="W13" s="789" t="s">
        <v>4387</v>
      </c>
      <c r="X13" s="783" t="s">
        <v>4387</v>
      </c>
      <c r="Y13" s="667"/>
    </row>
    <row r="14" spans="1:25" ht="30.75" customHeight="1" thickBot="1">
      <c r="B14" s="788" t="s">
        <v>5337</v>
      </c>
      <c r="E14" s="19"/>
    </row>
    <row r="15" spans="1:25" s="14" customFormat="1" ht="48" customHeight="1" thickBot="1">
      <c r="A15" s="665"/>
      <c r="B15" s="897" t="s">
        <v>5377</v>
      </c>
      <c r="C15" s="891"/>
      <c r="D15" s="894" t="s">
        <v>5378</v>
      </c>
      <c r="E15" s="893"/>
      <c r="F15" s="779" t="s">
        <v>5339</v>
      </c>
      <c r="G15" s="780"/>
      <c r="H15" s="789"/>
      <c r="I15" s="790"/>
      <c r="J15" s="777"/>
      <c r="K15" s="790"/>
      <c r="L15" s="790"/>
      <c r="M15" s="790"/>
      <c r="N15" s="790"/>
      <c r="O15" s="791"/>
      <c r="P15" s="777" t="s">
        <v>4387</v>
      </c>
      <c r="Q15" s="777" t="s">
        <v>5212</v>
      </c>
      <c r="R15" s="789"/>
      <c r="S15" s="790"/>
      <c r="T15" s="790"/>
      <c r="U15" s="790"/>
      <c r="V15" s="790"/>
      <c r="W15" s="887" t="s">
        <v>5379</v>
      </c>
      <c r="X15" s="792"/>
      <c r="Y15" s="667"/>
    </row>
    <row r="16" spans="1:25" s="14" customFormat="1" ht="48" customHeight="1" thickBot="1">
      <c r="A16" s="665"/>
      <c r="B16" s="895" t="s">
        <v>5338</v>
      </c>
      <c r="C16" s="896"/>
      <c r="D16" s="894" t="s">
        <v>5380</v>
      </c>
      <c r="E16" s="893"/>
      <c r="F16" s="819" t="s">
        <v>5342</v>
      </c>
      <c r="G16" s="780"/>
      <c r="H16" s="789"/>
      <c r="I16" s="790"/>
      <c r="J16" s="777"/>
      <c r="K16" s="790"/>
      <c r="L16" s="790"/>
      <c r="M16" s="790"/>
      <c r="N16" s="790"/>
      <c r="O16" s="791"/>
      <c r="P16" s="777" t="s">
        <v>4387</v>
      </c>
      <c r="Q16" s="837" t="s">
        <v>5381</v>
      </c>
      <c r="R16" s="789"/>
      <c r="S16" s="790"/>
      <c r="T16" s="790"/>
      <c r="U16" s="790"/>
      <c r="V16" s="790"/>
      <c r="W16" s="888"/>
      <c r="X16" s="792"/>
      <c r="Y16" s="667"/>
    </row>
    <row r="17" spans="1:25" s="14" customFormat="1" ht="48" customHeight="1" thickBot="1">
      <c r="A17" s="665"/>
      <c r="B17" s="890" t="s">
        <v>5340</v>
      </c>
      <c r="C17" s="891"/>
      <c r="D17" s="892" t="s">
        <v>5341</v>
      </c>
      <c r="E17" s="893"/>
      <c r="F17" s="819" t="s">
        <v>5346</v>
      </c>
      <c r="G17" s="780"/>
      <c r="H17" s="789"/>
      <c r="I17" s="790"/>
      <c r="J17" s="777"/>
      <c r="K17" s="790"/>
      <c r="L17" s="790"/>
      <c r="M17" s="790"/>
      <c r="N17" s="790"/>
      <c r="O17" s="791"/>
      <c r="P17" s="781" t="s">
        <v>5343</v>
      </c>
      <c r="Q17" s="777" t="s">
        <v>5212</v>
      </c>
      <c r="R17" s="789"/>
      <c r="S17" s="790"/>
      <c r="T17" s="790"/>
      <c r="U17" s="790"/>
      <c r="V17" s="790"/>
      <c r="W17" s="888"/>
      <c r="X17" s="792"/>
      <c r="Y17" s="667"/>
    </row>
    <row r="18" spans="1:25" ht="48" thickBot="1">
      <c r="A18" s="163"/>
      <c r="B18" s="890" t="s">
        <v>5344</v>
      </c>
      <c r="C18" s="891"/>
      <c r="D18" s="892" t="s">
        <v>5345</v>
      </c>
      <c r="E18" s="893"/>
      <c r="F18" s="819" t="s">
        <v>5382</v>
      </c>
      <c r="G18" s="780"/>
      <c r="H18" s="789"/>
      <c r="I18" s="790"/>
      <c r="J18" s="777"/>
      <c r="K18" s="790"/>
      <c r="L18" s="790"/>
      <c r="M18" s="790"/>
      <c r="N18" s="790"/>
      <c r="O18" s="791"/>
      <c r="P18" s="781" t="s">
        <v>5347</v>
      </c>
      <c r="Q18" s="777" t="s">
        <v>5212</v>
      </c>
      <c r="R18" s="789"/>
      <c r="S18" s="790"/>
      <c r="T18" s="790"/>
      <c r="U18" s="790"/>
      <c r="V18" s="790"/>
      <c r="W18" s="889"/>
      <c r="X18" s="792"/>
      <c r="Y18" s="163"/>
    </row>
    <row r="19" spans="1:25" s="31" customFormat="1" ht="15.75">
      <c r="A19" s="163"/>
      <c r="B19" s="793" t="s">
        <v>5230</v>
      </c>
      <c r="C19" s="672"/>
      <c r="D19" s="672"/>
      <c r="E19" s="673"/>
      <c r="F19" s="672"/>
      <c r="G19" s="672"/>
      <c r="H19" s="672"/>
      <c r="I19" s="674"/>
      <c r="J19" s="674"/>
      <c r="K19" s="674"/>
      <c r="L19" s="674"/>
      <c r="M19" s="674"/>
      <c r="N19" s="674"/>
      <c r="O19" s="674"/>
      <c r="P19" s="674"/>
      <c r="Q19" s="674"/>
      <c r="R19" s="674"/>
      <c r="S19" s="163"/>
      <c r="T19" s="163"/>
      <c r="U19" s="163"/>
      <c r="V19" s="163"/>
      <c r="W19" s="163"/>
      <c r="X19" s="163"/>
      <c r="Y19" s="163"/>
    </row>
    <row r="20" spans="1:25" s="31" customFormat="1">
      <c r="A20" s="163"/>
      <c r="B20" s="675"/>
      <c r="C20" s="674"/>
      <c r="D20" s="674"/>
      <c r="E20" s="676"/>
      <c r="F20" s="674"/>
      <c r="G20" s="674"/>
      <c r="H20" s="674"/>
      <c r="I20" s="674"/>
      <c r="J20" s="674"/>
      <c r="K20" s="674"/>
      <c r="L20" s="674"/>
      <c r="M20" s="674"/>
      <c r="N20" s="674"/>
      <c r="O20" s="674"/>
      <c r="P20" s="674"/>
      <c r="Q20" s="674"/>
      <c r="R20" s="674"/>
      <c r="S20" s="163"/>
      <c r="T20" s="163"/>
      <c r="U20" s="163"/>
      <c r="V20" s="163"/>
      <c r="W20" s="163"/>
      <c r="X20" s="163"/>
      <c r="Y20" s="163"/>
    </row>
    <row r="21" spans="1:25" s="31" customFormat="1">
      <c r="A21" s="163"/>
      <c r="B21" s="675"/>
      <c r="C21" s="674"/>
      <c r="D21" s="674"/>
      <c r="E21" s="676"/>
      <c r="F21" s="674"/>
      <c r="G21" s="674"/>
      <c r="H21" s="674"/>
      <c r="I21" s="674"/>
      <c r="J21" s="674"/>
      <c r="K21" s="674"/>
      <c r="L21" s="674"/>
      <c r="M21" s="674"/>
      <c r="N21" s="674"/>
      <c r="O21" s="674"/>
      <c r="P21" s="674"/>
      <c r="Q21" s="674"/>
      <c r="R21" s="674"/>
      <c r="S21" s="163"/>
      <c r="T21" s="163"/>
      <c r="U21" s="163"/>
      <c r="V21" s="163"/>
      <c r="W21" s="163"/>
      <c r="X21" s="163"/>
      <c r="Y21" s="163"/>
    </row>
    <row r="22" spans="1:25">
      <c r="A22" s="163"/>
      <c r="B22" s="163"/>
      <c r="C22" s="163"/>
      <c r="D22" s="163"/>
      <c r="E22" s="677"/>
      <c r="F22" s="163"/>
      <c r="G22" s="163"/>
      <c r="H22" s="163"/>
      <c r="I22" s="163"/>
      <c r="J22" s="163"/>
      <c r="K22" s="163"/>
      <c r="L22" s="163"/>
      <c r="M22" s="163"/>
      <c r="N22" s="163"/>
      <c r="O22" s="163"/>
      <c r="P22" s="163"/>
      <c r="Q22" s="163"/>
      <c r="R22" s="163"/>
      <c r="S22" s="163"/>
      <c r="T22" s="163"/>
      <c r="U22" s="163"/>
      <c r="V22" s="163"/>
      <c r="W22" s="163"/>
      <c r="X22" s="163"/>
      <c r="Y22" s="163"/>
    </row>
    <row r="23" spans="1:25">
      <c r="A23" s="163"/>
      <c r="B23" s="163"/>
      <c r="C23" s="163"/>
      <c r="D23" s="163"/>
      <c r="E23" s="677"/>
      <c r="F23" s="163"/>
      <c r="G23" s="163"/>
      <c r="H23" s="163"/>
      <c r="I23" s="163"/>
      <c r="J23" s="163"/>
      <c r="K23" s="163"/>
      <c r="L23" s="163"/>
      <c r="M23" s="163"/>
      <c r="N23" s="163"/>
      <c r="O23" s="163"/>
      <c r="P23" s="163"/>
      <c r="Q23" s="163"/>
      <c r="R23" s="163"/>
      <c r="S23" s="163"/>
      <c r="T23" s="163"/>
      <c r="U23" s="163"/>
      <c r="V23" s="163"/>
      <c r="W23" s="163"/>
      <c r="X23" s="163"/>
      <c r="Y23" s="163"/>
    </row>
    <row r="24" spans="1:25">
      <c r="A24" s="163"/>
      <c r="B24" s="163"/>
      <c r="C24" s="163"/>
      <c r="D24" s="163"/>
      <c r="E24" s="677"/>
      <c r="F24" s="163"/>
      <c r="G24" s="163"/>
      <c r="H24" s="163"/>
      <c r="I24" s="163"/>
      <c r="J24" s="163"/>
      <c r="K24" s="163"/>
      <c r="L24" s="163"/>
      <c r="M24" s="163"/>
      <c r="N24" s="163"/>
      <c r="O24" s="163"/>
      <c r="P24" s="163"/>
      <c r="Q24" s="163"/>
      <c r="R24" s="163"/>
      <c r="S24" s="163"/>
      <c r="T24" s="163"/>
      <c r="U24" s="163"/>
      <c r="V24" s="163"/>
      <c r="W24" s="163"/>
      <c r="X24" s="163"/>
      <c r="Y24" s="163"/>
    </row>
    <row r="25" spans="1:25">
      <c r="A25" s="163"/>
      <c r="B25" s="163"/>
      <c r="C25" s="163"/>
      <c r="D25" s="163"/>
      <c r="E25" s="677"/>
      <c r="F25" s="163"/>
      <c r="G25" s="163"/>
      <c r="H25" s="163"/>
      <c r="I25" s="163"/>
      <c r="J25" s="163"/>
      <c r="K25" s="163"/>
      <c r="L25" s="163"/>
      <c r="M25" s="163"/>
      <c r="N25" s="163"/>
      <c r="O25" s="163"/>
      <c r="P25" s="163"/>
      <c r="Q25" s="163"/>
      <c r="R25" s="163"/>
      <c r="S25" s="163"/>
      <c r="T25" s="163"/>
      <c r="U25" s="163"/>
      <c r="V25" s="163"/>
      <c r="W25" s="163"/>
      <c r="X25" s="163"/>
      <c r="Y25" s="163"/>
    </row>
    <row r="26" spans="1:25">
      <c r="A26" s="163"/>
      <c r="B26" s="163"/>
      <c r="C26" s="163"/>
      <c r="D26" s="163"/>
      <c r="E26" s="677"/>
      <c r="F26" s="163"/>
      <c r="G26" s="163"/>
      <c r="H26" s="163"/>
      <c r="I26" s="163"/>
      <c r="J26" s="163"/>
      <c r="K26" s="163"/>
      <c r="L26" s="163"/>
      <c r="M26" s="163"/>
      <c r="N26" s="163"/>
      <c r="O26" s="163"/>
      <c r="P26" s="163"/>
      <c r="Q26" s="163"/>
      <c r="R26" s="163"/>
      <c r="S26" s="163"/>
      <c r="T26" s="163"/>
      <c r="U26" s="163"/>
      <c r="V26" s="163"/>
      <c r="W26" s="163"/>
      <c r="X26" s="163"/>
      <c r="Y26" s="163"/>
    </row>
    <row r="27" spans="1:25">
      <c r="A27" s="163"/>
      <c r="B27" s="678"/>
      <c r="C27" s="678"/>
      <c r="D27" s="163"/>
      <c r="E27" s="677"/>
      <c r="F27" s="163"/>
      <c r="G27" s="163"/>
      <c r="H27" s="163"/>
      <c r="I27" s="163"/>
      <c r="J27" s="163"/>
      <c r="K27" s="163"/>
      <c r="L27" s="163"/>
      <c r="M27" s="163"/>
      <c r="N27" s="163"/>
      <c r="O27" s="163"/>
      <c r="P27" s="163"/>
      <c r="Q27" s="163"/>
      <c r="R27" s="163"/>
      <c r="S27" s="163"/>
      <c r="T27" s="163"/>
      <c r="U27" s="163"/>
      <c r="V27" s="163"/>
      <c r="W27" s="163"/>
      <c r="X27" s="163"/>
      <c r="Y27" s="163"/>
    </row>
    <row r="28" spans="1:25">
      <c r="A28" s="163"/>
      <c r="B28" s="678"/>
      <c r="C28" s="678"/>
      <c r="D28" s="163"/>
      <c r="E28" s="677"/>
      <c r="F28" s="163"/>
      <c r="G28" s="163"/>
      <c r="H28" s="163"/>
      <c r="I28" s="163"/>
      <c r="J28" s="163"/>
      <c r="K28" s="163"/>
      <c r="L28" s="163"/>
      <c r="M28" s="163"/>
      <c r="N28" s="163"/>
      <c r="O28" s="163"/>
      <c r="P28" s="163"/>
      <c r="Q28" s="163"/>
      <c r="R28" s="163"/>
      <c r="S28" s="163"/>
      <c r="T28" s="163"/>
      <c r="U28" s="163"/>
      <c r="V28" s="163"/>
      <c r="W28" s="163"/>
      <c r="X28" s="163"/>
      <c r="Y28" s="163"/>
    </row>
    <row r="29" spans="1:25">
      <c r="A29" s="163"/>
      <c r="B29" s="678"/>
      <c r="C29" s="678"/>
      <c r="D29" s="163"/>
      <c r="E29" s="677"/>
      <c r="F29" s="163"/>
      <c r="G29" s="163"/>
      <c r="H29" s="163"/>
      <c r="I29" s="163"/>
      <c r="J29" s="163"/>
      <c r="K29" s="163"/>
      <c r="L29" s="163"/>
      <c r="M29" s="163"/>
      <c r="N29" s="163"/>
      <c r="O29" s="163"/>
      <c r="P29" s="163"/>
      <c r="Q29" s="163"/>
      <c r="R29" s="163"/>
      <c r="S29" s="163"/>
      <c r="T29" s="163"/>
      <c r="U29" s="163"/>
      <c r="V29" s="163"/>
      <c r="W29" s="163"/>
      <c r="X29" s="163"/>
      <c r="Y29" s="163"/>
    </row>
    <row r="30" spans="1:25">
      <c r="A30" s="163"/>
      <c r="B30" s="678"/>
      <c r="C30" s="678"/>
      <c r="D30" s="163"/>
      <c r="E30" s="677"/>
      <c r="F30" s="163"/>
      <c r="G30" s="163"/>
      <c r="H30" s="163"/>
      <c r="I30" s="163"/>
      <c r="J30" s="163"/>
      <c r="K30" s="163"/>
      <c r="L30" s="163"/>
      <c r="M30" s="163"/>
      <c r="N30" s="163"/>
      <c r="O30" s="163"/>
      <c r="P30" s="163"/>
      <c r="Q30" s="163"/>
      <c r="R30" s="163"/>
      <c r="S30" s="163"/>
      <c r="T30" s="163"/>
      <c r="U30" s="163"/>
      <c r="V30" s="163"/>
      <c r="W30" s="163"/>
      <c r="X30" s="163"/>
      <c r="Y30" s="163"/>
    </row>
    <row r="31" spans="1:25">
      <c r="A31" s="163"/>
      <c r="B31" s="163"/>
      <c r="C31" s="163"/>
      <c r="D31" s="163"/>
      <c r="E31" s="677"/>
      <c r="F31" s="163"/>
      <c r="G31" s="163"/>
      <c r="H31" s="163"/>
      <c r="I31" s="163"/>
      <c r="J31" s="163"/>
      <c r="K31" s="163"/>
      <c r="L31" s="163"/>
      <c r="M31" s="163"/>
      <c r="N31" s="163"/>
      <c r="O31" s="163"/>
      <c r="P31" s="163"/>
      <c r="Q31" s="163"/>
      <c r="R31" s="163"/>
      <c r="S31" s="163"/>
      <c r="T31" s="163"/>
      <c r="U31" s="163"/>
      <c r="V31" s="163"/>
      <c r="W31" s="163"/>
      <c r="X31" s="163"/>
      <c r="Y31" s="163"/>
    </row>
  </sheetData>
  <mergeCells count="20">
    <mergeCell ref="B4:C4"/>
    <mergeCell ref="B2:F2"/>
    <mergeCell ref="H2:I2"/>
    <mergeCell ref="K2:L2"/>
    <mergeCell ref="M2:X2"/>
    <mergeCell ref="B3:C3"/>
    <mergeCell ref="B5:B8"/>
    <mergeCell ref="B10:C10"/>
    <mergeCell ref="B11:C11"/>
    <mergeCell ref="B12:C12"/>
    <mergeCell ref="B13:C13"/>
    <mergeCell ref="W15:W18"/>
    <mergeCell ref="B18:C18"/>
    <mergeCell ref="D18:E18"/>
    <mergeCell ref="D15:E15"/>
    <mergeCell ref="B16:C16"/>
    <mergeCell ref="D16:E16"/>
    <mergeCell ref="B17:C17"/>
    <mergeCell ref="D17:E17"/>
    <mergeCell ref="B15:C15"/>
  </mergeCells>
  <pageMargins left="0.25" right="0.25" top="0.75" bottom="0.75" header="0.3" footer="0.3"/>
  <pageSetup scale="47" orientation="landscape"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G39"/>
  <sheetViews>
    <sheetView zoomScale="80" zoomScaleNormal="80" zoomScalePageLayoutView="80" workbookViewId="0">
      <selection activeCell="E35" sqref="E35"/>
    </sheetView>
  </sheetViews>
  <sheetFormatPr defaultColWidth="8.85546875" defaultRowHeight="15"/>
  <cols>
    <col min="1" max="1" width="25.85546875" style="19" customWidth="1"/>
    <col min="2" max="2" width="43.42578125" style="19" customWidth="1"/>
    <col min="3" max="3" width="54" style="19" customWidth="1"/>
    <col min="4" max="4" width="15.42578125" style="12" customWidth="1"/>
    <col min="5" max="5" width="61.140625" style="19" customWidth="1"/>
    <col min="6" max="6" width="54" style="19" customWidth="1"/>
    <col min="7" max="16384" width="8.85546875" style="19"/>
  </cols>
  <sheetData>
    <row r="1" spans="1:6">
      <c r="B1" s="4" t="s">
        <v>5231</v>
      </c>
      <c r="C1" s="4" t="s">
        <v>5232</v>
      </c>
      <c r="D1" s="695" t="s">
        <v>5233</v>
      </c>
      <c r="E1" s="4" t="s">
        <v>5234</v>
      </c>
      <c r="F1" s="4" t="s">
        <v>5235</v>
      </c>
    </row>
    <row r="2" spans="1:6">
      <c r="A2" s="4" t="s">
        <v>4267</v>
      </c>
      <c r="B2" s="19" t="s">
        <v>4264</v>
      </c>
      <c r="C2" s="679" t="s">
        <v>5388</v>
      </c>
      <c r="D2" s="867">
        <v>41744</v>
      </c>
      <c r="E2" s="679"/>
      <c r="F2" s="19" t="s">
        <v>5385</v>
      </c>
    </row>
    <row r="3" spans="1:6">
      <c r="A3" s="4"/>
      <c r="B3" s="19" t="s">
        <v>5441</v>
      </c>
      <c r="C3" s="679" t="s">
        <v>5388</v>
      </c>
      <c r="D3" s="867">
        <v>41744</v>
      </c>
      <c r="E3" s="679"/>
      <c r="F3" s="31" t="s">
        <v>5385</v>
      </c>
    </row>
    <row r="4" spans="1:6">
      <c r="B4" s="19" t="s">
        <v>5205</v>
      </c>
      <c r="C4" s="681" t="s">
        <v>5387</v>
      </c>
      <c r="D4" s="867">
        <v>41744</v>
      </c>
      <c r="E4" s="681"/>
      <c r="F4" s="31" t="s">
        <v>5386</v>
      </c>
    </row>
    <row r="5" spans="1:6">
      <c r="B5" s="19" t="s">
        <v>5389</v>
      </c>
      <c r="C5" s="681" t="s">
        <v>5236</v>
      </c>
      <c r="D5" s="680">
        <v>41677</v>
      </c>
      <c r="E5" s="681" t="s">
        <v>5237</v>
      </c>
      <c r="F5" t="s">
        <v>5393</v>
      </c>
    </row>
    <row r="6" spans="1:6">
      <c r="A6" s="19" t="s">
        <v>5303</v>
      </c>
      <c r="B6" s="19" t="s">
        <v>5301</v>
      </c>
      <c r="C6" s="681" t="s">
        <v>5238</v>
      </c>
      <c r="D6" s="680">
        <v>41677</v>
      </c>
      <c r="E6" s="19" t="s">
        <v>5304</v>
      </c>
      <c r="F6" t="s">
        <v>5393</v>
      </c>
    </row>
    <row r="7" spans="1:6">
      <c r="A7" s="19" t="s">
        <v>5303</v>
      </c>
      <c r="B7" s="19" t="s">
        <v>5302</v>
      </c>
      <c r="C7" s="681" t="s">
        <v>5351</v>
      </c>
      <c r="D7" s="680">
        <v>41543</v>
      </c>
      <c r="E7" s="19" t="s">
        <v>5304</v>
      </c>
      <c r="F7" t="s">
        <v>5352</v>
      </c>
    </row>
    <row r="8" spans="1:6">
      <c r="B8" s="19" t="s">
        <v>5390</v>
      </c>
      <c r="C8" s="681" t="s">
        <v>5236</v>
      </c>
      <c r="D8" s="680">
        <v>41677</v>
      </c>
      <c r="E8" s="681"/>
      <c r="F8" t="s">
        <v>5393</v>
      </c>
    </row>
    <row r="9" spans="1:6">
      <c r="A9" s="19" t="s">
        <v>5303</v>
      </c>
      <c r="B9" s="19" t="s">
        <v>5391</v>
      </c>
      <c r="C9" s="174" t="s">
        <v>4318</v>
      </c>
      <c r="D9" s="12">
        <v>41061</v>
      </c>
      <c r="E9" s="174" t="s">
        <v>4320</v>
      </c>
      <c r="F9" t="s">
        <v>4319</v>
      </c>
    </row>
    <row r="10" spans="1:6">
      <c r="B10" s="19" t="s">
        <v>5239</v>
      </c>
      <c r="C10" s="19" t="s">
        <v>5240</v>
      </c>
      <c r="D10" s="12">
        <v>41365</v>
      </c>
      <c r="F10" t="s">
        <v>5407</v>
      </c>
    </row>
    <row r="11" spans="1:6">
      <c r="A11" s="19" t="s">
        <v>5303</v>
      </c>
      <c r="B11" s="19" t="s">
        <v>5392</v>
      </c>
      <c r="C11" s="19" t="s">
        <v>5241</v>
      </c>
      <c r="D11" s="12">
        <v>41568</v>
      </c>
      <c r="E11" s="19" t="s">
        <v>5304</v>
      </c>
      <c r="F11" t="s">
        <v>5242</v>
      </c>
    </row>
    <row r="12" spans="1:6">
      <c r="F12"/>
    </row>
    <row r="13" spans="1:6">
      <c r="F13"/>
    </row>
    <row r="14" spans="1:6">
      <c r="F14"/>
    </row>
    <row r="15" spans="1:6">
      <c r="A15" s="4" t="s">
        <v>4268</v>
      </c>
      <c r="B15" s="19" t="s">
        <v>4275</v>
      </c>
      <c r="C15" s="19" t="s">
        <v>4298</v>
      </c>
      <c r="D15" s="12">
        <v>41602</v>
      </c>
      <c r="E15" s="19" t="s">
        <v>5394</v>
      </c>
      <c r="F15" t="s">
        <v>5254</v>
      </c>
    </row>
    <row r="16" spans="1:6">
      <c r="B16" s="19" t="s">
        <v>5243</v>
      </c>
      <c r="C16" s="174" t="s">
        <v>5244</v>
      </c>
      <c r="D16" s="682">
        <v>41618</v>
      </c>
      <c r="E16" s="174" t="s">
        <v>5437</v>
      </c>
      <c r="F16" t="s">
        <v>4256</v>
      </c>
    </row>
    <row r="17" spans="2:7">
      <c r="B17" s="19" t="s">
        <v>5245</v>
      </c>
      <c r="C17" s="174" t="s">
        <v>5253</v>
      </c>
      <c r="D17" s="692">
        <v>41583</v>
      </c>
      <c r="E17" s="174" t="s">
        <v>5438</v>
      </c>
      <c r="F17" t="s">
        <v>5246</v>
      </c>
      <c r="G17" s="174"/>
    </row>
    <row r="18" spans="2:7">
      <c r="B18" s="19" t="s">
        <v>5206</v>
      </c>
      <c r="C18" s="174" t="s">
        <v>4318</v>
      </c>
      <c r="D18" s="12">
        <v>41061</v>
      </c>
      <c r="E18" s="174" t="s">
        <v>4320</v>
      </c>
      <c r="F18" t="s">
        <v>4319</v>
      </c>
    </row>
    <row r="19" spans="2:7">
      <c r="B19" s="19" t="s">
        <v>5395</v>
      </c>
      <c r="C19" s="19" t="s">
        <v>5241</v>
      </c>
      <c r="D19" s="12">
        <v>41568</v>
      </c>
      <c r="F19" t="s">
        <v>5242</v>
      </c>
    </row>
    <row r="20" spans="2:7">
      <c r="B20" s="19" t="s">
        <v>5305</v>
      </c>
      <c r="C20" s="19" t="s">
        <v>5240</v>
      </c>
      <c r="D20" s="12">
        <v>41365</v>
      </c>
      <c r="E20" s="19" t="s">
        <v>5535</v>
      </c>
      <c r="F20" t="s">
        <v>5247</v>
      </c>
    </row>
    <row r="21" spans="2:7">
      <c r="F21" t="s">
        <v>5248</v>
      </c>
    </row>
    <row r="22" spans="2:7">
      <c r="F22" t="s">
        <v>5249</v>
      </c>
    </row>
    <row r="23" spans="2:7">
      <c r="B23" s="19" t="s">
        <v>4352</v>
      </c>
      <c r="C23" s="19" t="s">
        <v>5250</v>
      </c>
      <c r="D23" s="12">
        <v>41694</v>
      </c>
      <c r="F23" t="s">
        <v>5396</v>
      </c>
    </row>
    <row r="24" spans="2:7">
      <c r="B24" s="19" t="s">
        <v>4270</v>
      </c>
      <c r="C24" s="19" t="s">
        <v>4300</v>
      </c>
      <c r="D24" s="12">
        <v>41618</v>
      </c>
      <c r="E24" s="13" t="s">
        <v>4344</v>
      </c>
      <c r="F24" t="s">
        <v>4257</v>
      </c>
    </row>
    <row r="25" spans="2:7">
      <c r="B25" s="19" t="s">
        <v>4353</v>
      </c>
      <c r="C25" s="19" t="s">
        <v>5251</v>
      </c>
      <c r="F25"/>
    </row>
    <row r="26" spans="2:7">
      <c r="B26" s="19" t="s">
        <v>4354</v>
      </c>
      <c r="C26" s="19" t="s">
        <v>4300</v>
      </c>
      <c r="D26" s="12">
        <v>41618</v>
      </c>
      <c r="E26" s="13" t="s">
        <v>4344</v>
      </c>
      <c r="F26" t="s">
        <v>4257</v>
      </c>
    </row>
    <row r="27" spans="2:7">
      <c r="B27" s="19" t="s">
        <v>5208</v>
      </c>
      <c r="C27" s="19" t="s">
        <v>4300</v>
      </c>
      <c r="D27" s="12">
        <v>41618</v>
      </c>
      <c r="E27" s="13" t="s">
        <v>4344</v>
      </c>
      <c r="F27" t="s">
        <v>4257</v>
      </c>
    </row>
    <row r="28" spans="2:7">
      <c r="B28" s="19" t="s">
        <v>11</v>
      </c>
      <c r="C28" s="13" t="s">
        <v>4299</v>
      </c>
      <c r="D28" s="683">
        <v>41464</v>
      </c>
      <c r="E28" s="13" t="s">
        <v>4343</v>
      </c>
      <c r="F28" t="s">
        <v>5252</v>
      </c>
    </row>
    <row r="29" spans="2:7">
      <c r="B29" s="19" t="s">
        <v>11</v>
      </c>
      <c r="C29" s="13" t="s">
        <v>4297</v>
      </c>
      <c r="D29" s="693"/>
      <c r="E29" s="13" t="s">
        <v>4342</v>
      </c>
      <c r="F29" t="s">
        <v>4279</v>
      </c>
    </row>
    <row r="30" spans="2:7">
      <c r="C30" s="13"/>
      <c r="D30" s="683"/>
      <c r="E30" s="13"/>
      <c r="F30"/>
      <c r="G30" s="13"/>
    </row>
    <row r="31" spans="2:7">
      <c r="F31"/>
    </row>
    <row r="32" spans="2:7">
      <c r="F32"/>
    </row>
    <row r="33" spans="1:6">
      <c r="A33" s="4" t="s">
        <v>5528</v>
      </c>
      <c r="B33" s="19" t="s">
        <v>4264</v>
      </c>
      <c r="C33" s="679" t="s">
        <v>5531</v>
      </c>
      <c r="D33" s="12">
        <v>41981</v>
      </c>
      <c r="E33" s="19" t="s">
        <v>5532</v>
      </c>
      <c r="F33" t="s">
        <v>5530</v>
      </c>
    </row>
    <row r="34" spans="1:6">
      <c r="B34" s="19" t="s">
        <v>5441</v>
      </c>
      <c r="C34" s="679" t="s">
        <v>5531</v>
      </c>
      <c r="D34" s="12">
        <v>41981</v>
      </c>
      <c r="E34" s="19" t="s">
        <v>5532</v>
      </c>
      <c r="F34" s="19" t="s">
        <v>5530</v>
      </c>
    </row>
    <row r="35" spans="1:6">
      <c r="A35" s="218"/>
      <c r="B35" s="19" t="s">
        <v>5533</v>
      </c>
      <c r="C35" s="19" t="s">
        <v>5534</v>
      </c>
      <c r="D35" s="12">
        <v>41730</v>
      </c>
      <c r="E35" s="19" t="s">
        <v>5539</v>
      </c>
      <c r="F35" t="s">
        <v>5537</v>
      </c>
    </row>
    <row r="36" spans="1:6">
      <c r="A36" s="218"/>
      <c r="F36" t="s">
        <v>5536</v>
      </c>
    </row>
    <row r="37" spans="1:6">
      <c r="A37" s="218"/>
      <c r="F37" t="s">
        <v>5538</v>
      </c>
    </row>
    <row r="38" spans="1:6">
      <c r="A38" s="218"/>
      <c r="F38"/>
    </row>
    <row r="39" spans="1:6">
      <c r="A39" s="218"/>
    </row>
  </sheetData>
  <hyperlinks>
    <hyperlink ref="F20" r:id="rId1" display="https://www.pge.com/regulation/DemandResponseOIR/Other-Docs/PGE/2013/DemandResponseOIR_Other-Doc_PGE_20130402_269621.pdf"/>
    <hyperlink ref="F21" r:id="rId2" display="http://www3.sce.com/sscc/law/dis/dbattach5e.nsf/0/62A8F5E44C447F0688257B410052EC7B/$FILE/R.07-01-041_DR+OIR-SCE+DR+Portfolio+Summary+2012+-+Final.pdf"/>
    <hyperlink ref="F22" r:id="rId3" display="http://www.sdge.com/regulatory-filing/742/rulemaking-regarding-policies-and-protocols-demand-response-load-impact"/>
    <hyperlink ref="F23" r:id="rId4"/>
    <hyperlink ref="F36" r:id="rId5"/>
  </hyperlinks>
  <pageMargins left="0.25" right="0.25" top="0.75" bottom="0.75" header="0.3" footer="0.3"/>
  <pageSetup scale="41" orientation="landscape"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Z104"/>
  <sheetViews>
    <sheetView zoomScale="80" zoomScaleNormal="80" zoomScalePageLayoutView="80" workbookViewId="0">
      <pane xSplit="4" ySplit="1" topLeftCell="E2" activePane="bottomRight" state="frozen"/>
      <selection pane="topRight" activeCell="E1" sqref="E1"/>
      <selection pane="bottomLeft" activeCell="A2" sqref="A2"/>
      <selection pane="bottomRight"/>
    </sheetView>
  </sheetViews>
  <sheetFormatPr defaultColWidth="7.7109375" defaultRowHeight="15"/>
  <cols>
    <col min="1" max="1" width="3.28515625" style="19" customWidth="1"/>
    <col min="2" max="2" width="28.85546875" style="19" customWidth="1"/>
    <col min="3" max="3" width="3.28515625" style="31" customWidth="1"/>
    <col min="4" max="4" width="39.42578125" style="19" customWidth="1"/>
    <col min="5" max="5" width="10.140625" style="19" customWidth="1"/>
    <col min="6" max="6" width="10.140625" style="75" customWidth="1"/>
    <col min="7" max="25" width="10.140625" style="19" customWidth="1"/>
    <col min="26" max="26" width="20.42578125" style="19" customWidth="1"/>
    <col min="27" max="16384" width="7.7109375" style="19"/>
  </cols>
  <sheetData>
    <row r="1" spans="1:26" ht="15.75" thickBot="1">
      <c r="A1" s="115"/>
      <c r="B1" s="116"/>
      <c r="C1" s="116"/>
      <c r="D1" s="116"/>
      <c r="E1" s="117">
        <v>2014</v>
      </c>
      <c r="F1" s="118">
        <f t="shared" ref="F1:Y1" si="0">E1+1</f>
        <v>2015</v>
      </c>
      <c r="G1" s="119">
        <f t="shared" si="0"/>
        <v>2016</v>
      </c>
      <c r="H1" s="117">
        <f t="shared" si="0"/>
        <v>2017</v>
      </c>
      <c r="I1" s="119">
        <f t="shared" si="0"/>
        <v>2018</v>
      </c>
      <c r="J1" s="117">
        <f t="shared" si="0"/>
        <v>2019</v>
      </c>
      <c r="K1" s="119">
        <f t="shared" si="0"/>
        <v>2020</v>
      </c>
      <c r="L1" s="117">
        <f t="shared" si="0"/>
        <v>2021</v>
      </c>
      <c r="M1" s="119">
        <f t="shared" si="0"/>
        <v>2022</v>
      </c>
      <c r="N1" s="117">
        <f t="shared" si="0"/>
        <v>2023</v>
      </c>
      <c r="O1" s="119">
        <f t="shared" si="0"/>
        <v>2024</v>
      </c>
      <c r="P1" s="117">
        <f t="shared" si="0"/>
        <v>2025</v>
      </c>
      <c r="Q1" s="119">
        <f t="shared" si="0"/>
        <v>2026</v>
      </c>
      <c r="R1" s="117">
        <f t="shared" si="0"/>
        <v>2027</v>
      </c>
      <c r="S1" s="119">
        <f t="shared" si="0"/>
        <v>2028</v>
      </c>
      <c r="T1" s="117">
        <f t="shared" si="0"/>
        <v>2029</v>
      </c>
      <c r="U1" s="119">
        <f t="shared" si="0"/>
        <v>2030</v>
      </c>
      <c r="V1" s="117">
        <f t="shared" si="0"/>
        <v>2031</v>
      </c>
      <c r="W1" s="119">
        <f t="shared" si="0"/>
        <v>2032</v>
      </c>
      <c r="X1" s="117">
        <f t="shared" si="0"/>
        <v>2033</v>
      </c>
      <c r="Y1" s="118">
        <f t="shared" si="0"/>
        <v>2034</v>
      </c>
      <c r="Z1" s="857"/>
    </row>
    <row r="2" spans="1:26" ht="15" customHeight="1">
      <c r="A2" s="120"/>
      <c r="B2" s="204" t="s">
        <v>4263</v>
      </c>
      <c r="C2" s="104"/>
      <c r="D2" s="108"/>
      <c r="E2" s="170"/>
      <c r="F2" s="170"/>
      <c r="G2" s="170"/>
      <c r="H2" s="170"/>
      <c r="I2" s="170"/>
      <c r="J2" s="170"/>
      <c r="K2" s="170"/>
      <c r="L2" s="170"/>
      <c r="M2" s="170"/>
      <c r="N2" s="170"/>
      <c r="O2" s="170"/>
      <c r="P2" s="170"/>
      <c r="Q2" s="170"/>
      <c r="R2" s="170"/>
      <c r="S2" s="170"/>
      <c r="T2" s="170"/>
      <c r="U2" s="170"/>
      <c r="V2" s="170"/>
      <c r="W2" s="170"/>
      <c r="X2" s="170"/>
      <c r="Y2" s="170"/>
      <c r="Z2" s="858"/>
    </row>
    <row r="3" spans="1:26" ht="15" customHeight="1">
      <c r="A3" s="120"/>
      <c r="B3" s="205"/>
      <c r="C3" s="104"/>
      <c r="D3" s="166" t="s">
        <v>4274</v>
      </c>
      <c r="E3" s="109"/>
      <c r="F3" s="109"/>
      <c r="G3" s="104"/>
      <c r="H3" s="107"/>
      <c r="I3" s="104"/>
      <c r="J3" s="107"/>
      <c r="K3" s="104"/>
      <c r="L3" s="107"/>
      <c r="M3" s="104"/>
      <c r="N3" s="107"/>
      <c r="O3" s="104"/>
      <c r="P3" s="107"/>
      <c r="Q3" s="104"/>
      <c r="R3" s="107"/>
      <c r="S3" s="104"/>
      <c r="T3" s="107"/>
      <c r="U3" s="104"/>
      <c r="V3" s="107"/>
      <c r="W3" s="104"/>
      <c r="X3" s="107"/>
      <c r="Y3" s="109"/>
      <c r="Z3" s="858"/>
    </row>
    <row r="4" spans="1:26">
      <c r="A4" s="120"/>
      <c r="B4" s="161" t="str">
        <f>LEFT(B6,13)</f>
        <v>Mid :  1-in-2</v>
      </c>
      <c r="C4" s="104"/>
      <c r="D4" s="77" t="s">
        <v>4311</v>
      </c>
      <c r="E4" s="110">
        <f ca="1">OFFSET(Assumptions!C$4,MATCH($B$4,MWLoad,0),0)</f>
        <v>49444.356933466377</v>
      </c>
      <c r="F4" s="110">
        <f ca="1">OFFSET(Assumptions!D$4,MATCH($B$4,MWLoad,0),0)</f>
        <v>50391.206209292824</v>
      </c>
      <c r="G4" s="110">
        <f ca="1">OFFSET(Assumptions!E$4,MATCH($B$4,MWLoad,0),0)</f>
        <v>50995.787277272699</v>
      </c>
      <c r="H4" s="110">
        <f ca="1">OFFSET(Assumptions!F$4,MATCH($B$4,MWLoad,0),0)</f>
        <v>51628.629446229461</v>
      </c>
      <c r="I4" s="110">
        <f ca="1">OFFSET(Assumptions!G$4,MATCH($B$4,MWLoad,0),0)</f>
        <v>52309.843694988827</v>
      </c>
      <c r="J4" s="110">
        <f ca="1">OFFSET(Assumptions!H$4,MATCH($B$4,MWLoad,0),0)</f>
        <v>53021.084748113077</v>
      </c>
      <c r="K4" s="110">
        <f ca="1">OFFSET(Assumptions!I$4,MATCH($B$4,MWLoad,0),0)</f>
        <v>53724.566633793911</v>
      </c>
      <c r="L4" s="110">
        <f ca="1">OFFSET(Assumptions!J$4,MATCH($B$4,MWLoad,0),0)</f>
        <v>54376.746851115866</v>
      </c>
      <c r="M4" s="110">
        <f ca="1">OFFSET(Assumptions!K$4,MATCH($B$4,MWLoad,0),0)</f>
        <v>54994.548649159813</v>
      </c>
      <c r="N4" s="110">
        <f ca="1">OFFSET(Assumptions!L$4,MATCH($B$4,MWLoad,0),0)</f>
        <v>55543.578420602382</v>
      </c>
      <c r="O4" s="110">
        <f ca="1">OFFSET(Assumptions!M$4,MATCH($B$4,MWLoad,0),0)</f>
        <v>56044.153506268129</v>
      </c>
      <c r="P4" s="110"/>
      <c r="Q4" s="110"/>
      <c r="R4" s="110"/>
      <c r="S4" s="110"/>
      <c r="T4" s="110"/>
      <c r="U4" s="110"/>
      <c r="V4" s="110"/>
      <c r="W4" s="110"/>
      <c r="X4" s="110"/>
      <c r="Y4" s="110"/>
      <c r="Z4" s="858"/>
    </row>
    <row r="5" spans="1:26" ht="15.75" thickBot="1">
      <c r="A5" s="120"/>
      <c r="B5" s="161" t="str">
        <f>RIGHT(B6,11)</f>
        <v xml:space="preserve">   Mid AAEE</v>
      </c>
      <c r="C5" s="104"/>
      <c r="D5" s="89" t="s">
        <v>5205</v>
      </c>
      <c r="E5" s="110">
        <f ca="1">E4-E6</f>
        <v>84.922160210342554</v>
      </c>
      <c r="F5" s="110">
        <f t="shared" ref="F5:O5" ca="1" si="1">F4-F6</f>
        <v>542.09908252511377</v>
      </c>
      <c r="G5" s="110">
        <f t="shared" ca="1" si="1"/>
        <v>1082.5212103445956</v>
      </c>
      <c r="H5" s="110">
        <f t="shared" ca="1" si="1"/>
        <v>1587.0348948880492</v>
      </c>
      <c r="I5" s="110">
        <f t="shared" ca="1" si="1"/>
        <v>2071.2988678220572</v>
      </c>
      <c r="J5" s="110">
        <f t="shared" ca="1" si="1"/>
        <v>2543.6153567307774</v>
      </c>
      <c r="K5" s="110">
        <f t="shared" ca="1" si="1"/>
        <v>2979.9004919260842</v>
      </c>
      <c r="L5" s="110">
        <f t="shared" ca="1" si="1"/>
        <v>3452.549866613801</v>
      </c>
      <c r="M5" s="110">
        <f t="shared" ca="1" si="1"/>
        <v>3945.4064881516097</v>
      </c>
      <c r="N5" s="110">
        <f t="shared" ca="1" si="1"/>
        <v>4489.274563598854</v>
      </c>
      <c r="O5" s="110">
        <f t="shared" ca="1" si="1"/>
        <v>5041.5077816928824</v>
      </c>
      <c r="P5" s="110"/>
      <c r="Q5" s="110"/>
      <c r="R5" s="110"/>
      <c r="S5" s="110"/>
      <c r="T5" s="110"/>
      <c r="U5" s="110"/>
      <c r="V5" s="110"/>
      <c r="W5" s="110"/>
      <c r="X5" s="110"/>
      <c r="Y5" s="110"/>
      <c r="Z5" s="858"/>
    </row>
    <row r="6" spans="1:26" ht="15.75" thickBot="1">
      <c r="A6" s="120"/>
      <c r="B6" s="100" t="s">
        <v>5465</v>
      </c>
      <c r="C6" s="104"/>
      <c r="D6" s="91" t="s">
        <v>4348</v>
      </c>
      <c r="E6" s="92">
        <f ca="1">OFFSET(Assumptions!C$12,MATCH($B$6,MWLoadAAEE,0),0)</f>
        <v>49359.434773256035</v>
      </c>
      <c r="F6" s="92">
        <f ca="1">OFFSET(Assumptions!D$12,MATCH($B$6,MWLoadAAEE,0),0)</f>
        <v>49849.107126767711</v>
      </c>
      <c r="G6" s="92">
        <f ca="1">OFFSET(Assumptions!E$12,MATCH($B$6,MWLoadAAEE,0),0)</f>
        <v>49913.266066928103</v>
      </c>
      <c r="H6" s="92">
        <f ca="1">OFFSET(Assumptions!F$12,MATCH($B$6,MWLoadAAEE,0),0)</f>
        <v>50041.594551341412</v>
      </c>
      <c r="I6" s="92">
        <f ca="1">OFFSET(Assumptions!G$12,MATCH($B$6,MWLoadAAEE,0),0)</f>
        <v>50238.54482716677</v>
      </c>
      <c r="J6" s="92">
        <f ca="1">OFFSET(Assumptions!H$12,MATCH($B$6,MWLoadAAEE,0),0)</f>
        <v>50477.469391382299</v>
      </c>
      <c r="K6" s="92">
        <f ca="1">OFFSET(Assumptions!I$12,MATCH($B$6,MWLoadAAEE,0),0)</f>
        <v>50744.666141867827</v>
      </c>
      <c r="L6" s="92">
        <f ca="1">OFFSET(Assumptions!J$12,MATCH($B$6,MWLoadAAEE,0),0)</f>
        <v>50924.196984502065</v>
      </c>
      <c r="M6" s="92">
        <f ca="1">OFFSET(Assumptions!K$12,MATCH($B$6,MWLoadAAEE,0),0)</f>
        <v>51049.142161008203</v>
      </c>
      <c r="N6" s="92">
        <f ca="1">OFFSET(Assumptions!L$12,MATCH($B$6,MWLoadAAEE,0),0)</f>
        <v>51054.303857003528</v>
      </c>
      <c r="O6" s="92">
        <f ca="1">OFFSET(Assumptions!M$12,MATCH($B$6,MWLoadAAEE,0),0)</f>
        <v>51002.645724575246</v>
      </c>
      <c r="P6" s="93">
        <f ca="1">O6*(1+$O$7)</f>
        <v>51169.945939184079</v>
      </c>
      <c r="Q6" s="93">
        <f t="shared" ref="Q6:Y6" ca="1" si="2">P6*(1+$O$7)</f>
        <v>51337.794936339589</v>
      </c>
      <c r="R6" s="93">
        <f t="shared" ca="1" si="2"/>
        <v>51506.194516172669</v>
      </c>
      <c r="S6" s="93">
        <f t="shared" ca="1" si="2"/>
        <v>51675.146484719036</v>
      </c>
      <c r="T6" s="93">
        <f t="shared" ca="1" si="2"/>
        <v>51844.652653938618</v>
      </c>
      <c r="U6" s="93">
        <f t="shared" ca="1" si="2"/>
        <v>52014.714841734982</v>
      </c>
      <c r="V6" s="93">
        <f t="shared" ca="1" si="2"/>
        <v>52185.334871974832</v>
      </c>
      <c r="W6" s="93">
        <f t="shared" ca="1" si="2"/>
        <v>52356.514574507564</v>
      </c>
      <c r="X6" s="93">
        <f t="shared" ca="1" si="2"/>
        <v>52528.255785184898</v>
      </c>
      <c r="Y6" s="93">
        <f t="shared" ca="1" si="2"/>
        <v>52700.560345880556</v>
      </c>
      <c r="Z6" s="858"/>
    </row>
    <row r="7" spans="1:26">
      <c r="A7" s="120"/>
      <c r="B7" s="160"/>
      <c r="C7" s="104"/>
      <c r="D7" s="70"/>
      <c r="E7" s="112"/>
      <c r="F7" s="112"/>
      <c r="G7" s="121"/>
      <c r="H7" s="113"/>
      <c r="I7" s="121"/>
      <c r="J7" s="113"/>
      <c r="K7" s="121"/>
      <c r="L7" s="113"/>
      <c r="M7" s="121"/>
      <c r="N7" s="113"/>
      <c r="O7" s="122">
        <f ca="1">((O6/E6)^(1/10)-1)</f>
        <v>3.280226196740621E-3</v>
      </c>
      <c r="P7" s="113"/>
      <c r="Q7" s="121"/>
      <c r="R7" s="113"/>
      <c r="S7" s="121"/>
      <c r="T7" s="113"/>
      <c r="U7" s="121"/>
      <c r="V7" s="113"/>
      <c r="W7" s="121"/>
      <c r="X7" s="113"/>
      <c r="Y7" s="112"/>
      <c r="Z7" s="858"/>
    </row>
    <row r="8" spans="1:26">
      <c r="A8" s="120"/>
      <c r="B8" s="160"/>
      <c r="C8" s="104"/>
      <c r="D8" s="165"/>
      <c r="E8" s="74"/>
      <c r="F8" s="74"/>
      <c r="G8" s="124"/>
      <c r="H8" s="73"/>
      <c r="I8" s="124"/>
      <c r="J8" s="73"/>
      <c r="K8" s="124"/>
      <c r="L8" s="73"/>
      <c r="M8" s="124"/>
      <c r="N8" s="73"/>
      <c r="O8" s="124"/>
      <c r="P8" s="73"/>
      <c r="Q8" s="124"/>
      <c r="R8" s="73"/>
      <c r="S8" s="124"/>
      <c r="T8" s="73"/>
      <c r="U8" s="124"/>
      <c r="V8" s="73"/>
      <c r="W8" s="124"/>
      <c r="X8" s="73"/>
      <c r="Y8" s="74"/>
      <c r="Z8" s="858"/>
    </row>
    <row r="9" spans="1:26">
      <c r="A9" s="120"/>
      <c r="B9" s="160"/>
      <c r="C9" s="104"/>
      <c r="D9" s="166"/>
      <c r="E9" s="110"/>
      <c r="F9" s="110"/>
      <c r="G9" s="123"/>
      <c r="H9" s="111"/>
      <c r="I9" s="123"/>
      <c r="J9" s="111"/>
      <c r="K9" s="123"/>
      <c r="L9" s="111"/>
      <c r="M9" s="123"/>
      <c r="N9" s="111"/>
      <c r="O9" s="123"/>
      <c r="P9" s="111"/>
      <c r="Q9" s="123"/>
      <c r="R9" s="111"/>
      <c r="S9" s="123"/>
      <c r="T9" s="111"/>
      <c r="U9" s="123"/>
      <c r="V9" s="111"/>
      <c r="W9" s="123"/>
      <c r="X9" s="111"/>
      <c r="Y9" s="110"/>
      <c r="Z9" s="858"/>
    </row>
    <row r="10" spans="1:26" ht="15.75" thickBot="1">
      <c r="A10" s="120"/>
      <c r="B10" s="160"/>
      <c r="C10" s="104"/>
      <c r="D10" s="166" t="s">
        <v>5308</v>
      </c>
      <c r="E10" s="110"/>
      <c r="F10" s="110"/>
      <c r="G10" s="123"/>
      <c r="H10" s="111"/>
      <c r="I10" s="123"/>
      <c r="J10" s="111"/>
      <c r="K10" s="123"/>
      <c r="L10" s="111"/>
      <c r="M10" s="123"/>
      <c r="N10" s="111"/>
      <c r="O10" s="123"/>
      <c r="P10" s="111"/>
      <c r="Q10" s="123"/>
      <c r="R10" s="111"/>
      <c r="S10" s="123"/>
      <c r="T10" s="111"/>
      <c r="U10" s="123"/>
      <c r="V10" s="111"/>
      <c r="W10" s="123"/>
      <c r="X10" s="111"/>
      <c r="Y10" s="110"/>
      <c r="Z10" s="858"/>
    </row>
    <row r="11" spans="1:26" ht="15.75" thickBot="1">
      <c r="A11" s="120"/>
      <c r="B11" s="100" t="s">
        <v>4271</v>
      </c>
      <c r="C11" s="104"/>
      <c r="D11" s="83" t="s">
        <v>5426</v>
      </c>
      <c r="E11" s="110">
        <f ca="1">OFFSET(Assumptions!C$67,MATCH($B$11,MWIncSmPV,0),0)</f>
        <v>0</v>
      </c>
      <c r="F11" s="110">
        <f ca="1">OFFSET(Assumptions!D$67,MATCH($B$11,MWIncSmPV,0),0)</f>
        <v>0</v>
      </c>
      <c r="G11" s="110">
        <f ca="1">OFFSET(Assumptions!E$67,MATCH($B$11,MWIncSmPV,0),0)</f>
        <v>0</v>
      </c>
      <c r="H11" s="110">
        <f ca="1">OFFSET(Assumptions!F$67,MATCH($B$11,MWIncSmPV,0),0)</f>
        <v>0</v>
      </c>
      <c r="I11" s="110">
        <f ca="1">OFFSET(Assumptions!G$67,MATCH($B$11,MWIncSmPV,0),0)</f>
        <v>0</v>
      </c>
      <c r="J11" s="110">
        <f ca="1">OFFSET(Assumptions!H$67,MATCH($B$11,MWIncSmPV,0),0)</f>
        <v>0</v>
      </c>
      <c r="K11" s="110">
        <f ca="1">OFFSET(Assumptions!I$67,MATCH($B$11,MWIncSmPV,0),0)</f>
        <v>0</v>
      </c>
      <c r="L11" s="110">
        <f ca="1">OFFSET(Assumptions!J$67,MATCH($B$11,MWIncSmPV,0),0)</f>
        <v>0</v>
      </c>
      <c r="M11" s="110">
        <f ca="1">OFFSET(Assumptions!K$67,MATCH($B$11,MWIncSmPV,0),0)</f>
        <v>0</v>
      </c>
      <c r="N11" s="110">
        <f ca="1">OFFSET(Assumptions!L$67,MATCH($B$11,MWIncSmPV,0),0)</f>
        <v>0</v>
      </c>
      <c r="O11" s="110">
        <f ca="1">OFFSET(Assumptions!M$67,MATCH($B$11,MWIncSmPV,0),0)</f>
        <v>0</v>
      </c>
      <c r="P11" s="110">
        <f ca="1">OFFSET(Assumptions!N$67,MATCH($B$11,MWIncSmPV,0),0)</f>
        <v>0</v>
      </c>
      <c r="Q11" s="110">
        <f ca="1">OFFSET(Assumptions!O$67,MATCH($B$11,MWIncSmPV,0),0)</f>
        <v>0</v>
      </c>
      <c r="R11" s="110">
        <f ca="1">OFFSET(Assumptions!P$67,MATCH($B$11,MWIncSmPV,0),0)</f>
        <v>0</v>
      </c>
      <c r="S11" s="110">
        <f ca="1">OFFSET(Assumptions!Q$67,MATCH($B$11,MWIncSmPV,0),0)</f>
        <v>0</v>
      </c>
      <c r="T11" s="110">
        <f ca="1">OFFSET(Assumptions!R$67,MATCH($B$11,MWIncSmPV,0),0)</f>
        <v>0</v>
      </c>
      <c r="U11" s="110">
        <f ca="1">OFFSET(Assumptions!S$67,MATCH($B$11,MWIncSmPV,0),0)</f>
        <v>0</v>
      </c>
      <c r="V11" s="110">
        <f ca="1">OFFSET(Assumptions!T$67,MATCH($B$11,MWIncSmPV,0),0)</f>
        <v>0</v>
      </c>
      <c r="W11" s="110">
        <f ca="1">OFFSET(Assumptions!U$67,MATCH($B$11,MWIncSmPV,0),0)</f>
        <v>0</v>
      </c>
      <c r="X11" s="110">
        <f ca="1">OFFSET(Assumptions!V$67,MATCH($B$11,MWIncSmPV,0),0)</f>
        <v>0</v>
      </c>
      <c r="Y11" s="110">
        <f ca="1">OFFSET(Assumptions!W$67,MATCH($B$11,MWIncSmPV,0),0)</f>
        <v>0</v>
      </c>
      <c r="Z11" s="859"/>
    </row>
    <row r="12" spans="1:26" ht="15.75" thickBot="1">
      <c r="A12" s="120"/>
      <c r="B12" s="100" t="s">
        <v>4271</v>
      </c>
      <c r="C12" s="104"/>
      <c r="D12" s="84" t="s">
        <v>5427</v>
      </c>
      <c r="E12" s="110">
        <f ca="1">OFFSET(Assumptions!C$77,MATCH($B$12,MWIncDCHP,0),0)</f>
        <v>0</v>
      </c>
      <c r="F12" s="110">
        <f ca="1">OFFSET(Assumptions!D$77,MATCH($B$12,MWIncDCHP,0),0)</f>
        <v>0</v>
      </c>
      <c r="G12" s="110">
        <f ca="1">OFFSET(Assumptions!E$77,MATCH($B$12,MWIncDCHP,0),0)</f>
        <v>0</v>
      </c>
      <c r="H12" s="110">
        <f ca="1">OFFSET(Assumptions!F$77,MATCH($B$12,MWIncDCHP,0),0)</f>
        <v>0</v>
      </c>
      <c r="I12" s="110">
        <f ca="1">OFFSET(Assumptions!G$77,MATCH($B$12,MWIncDCHP,0),0)</f>
        <v>0</v>
      </c>
      <c r="J12" s="110">
        <f ca="1">OFFSET(Assumptions!H$77,MATCH($B$12,MWIncDCHP,0),0)</f>
        <v>0</v>
      </c>
      <c r="K12" s="110">
        <f ca="1">OFFSET(Assumptions!I$77,MATCH($B$12,MWIncDCHP,0),0)</f>
        <v>0</v>
      </c>
      <c r="L12" s="110">
        <f ca="1">OFFSET(Assumptions!J$77,MATCH($B$12,MWIncDCHP,0),0)</f>
        <v>0</v>
      </c>
      <c r="M12" s="110">
        <f ca="1">OFFSET(Assumptions!K$77,MATCH($B$12,MWIncDCHP,0),0)</f>
        <v>0</v>
      </c>
      <c r="N12" s="110">
        <f ca="1">OFFSET(Assumptions!L$77,MATCH($B$12,MWIncDCHP,0),0)</f>
        <v>0</v>
      </c>
      <c r="O12" s="110">
        <f ca="1">OFFSET(Assumptions!M$77,MATCH($B$12,MWIncDCHP,0),0)</f>
        <v>0</v>
      </c>
      <c r="P12" s="110">
        <f ca="1">OFFSET(Assumptions!N$77,MATCH($B$12,MWIncDCHP,0),0)</f>
        <v>0</v>
      </c>
      <c r="Q12" s="110">
        <f ca="1">OFFSET(Assumptions!O$77,MATCH($B$12,MWIncDCHP,0),0)</f>
        <v>0</v>
      </c>
      <c r="R12" s="110">
        <f ca="1">OFFSET(Assumptions!P$77,MATCH($B$12,MWIncDCHP,0),0)</f>
        <v>0</v>
      </c>
      <c r="S12" s="110">
        <f ca="1">OFFSET(Assumptions!Q$77,MATCH($B$12,MWIncDCHP,0),0)</f>
        <v>0</v>
      </c>
      <c r="T12" s="110">
        <f ca="1">OFFSET(Assumptions!R$77,MATCH($B$12,MWIncDCHP,0),0)</f>
        <v>0</v>
      </c>
      <c r="U12" s="110">
        <f ca="1">OFFSET(Assumptions!S$77,MATCH($B$12,MWIncDCHP,0),0)</f>
        <v>0</v>
      </c>
      <c r="V12" s="110">
        <f ca="1">OFFSET(Assumptions!T$77,MATCH($B$12,MWIncDCHP,0),0)</f>
        <v>0</v>
      </c>
      <c r="W12" s="110">
        <f ca="1">OFFSET(Assumptions!U$77,MATCH($B$12,MWIncDCHP,0),0)</f>
        <v>0</v>
      </c>
      <c r="X12" s="110">
        <f ca="1">OFFSET(Assumptions!V$77,MATCH($B$12,MWIncDCHP,0),0)</f>
        <v>0</v>
      </c>
      <c r="Y12" s="110">
        <f ca="1">OFFSET(Assumptions!W$77,MATCH($B$12,MWIncDCHP,0),0)</f>
        <v>0</v>
      </c>
      <c r="Z12" s="858"/>
    </row>
    <row r="13" spans="1:26" customFormat="1">
      <c r="B13" s="160"/>
      <c r="D13" s="166" t="s">
        <v>4265</v>
      </c>
      <c r="E13" s="112"/>
      <c r="F13" s="112"/>
      <c r="G13" s="112"/>
      <c r="H13" s="112"/>
      <c r="I13" s="112"/>
      <c r="J13" s="112"/>
      <c r="K13" s="112"/>
      <c r="L13" s="112"/>
      <c r="M13" s="112"/>
      <c r="N13" s="112"/>
      <c r="O13" s="112"/>
      <c r="P13" s="112"/>
      <c r="Q13" s="112"/>
      <c r="R13" s="112"/>
      <c r="S13" s="112"/>
      <c r="T13" s="112"/>
      <c r="U13" s="112"/>
      <c r="V13" s="112"/>
      <c r="W13" s="112"/>
      <c r="X13" s="112"/>
      <c r="Y13" s="112"/>
      <c r="Z13" s="858"/>
    </row>
    <row r="14" spans="1:26">
      <c r="A14" s="120"/>
      <c r="B14" s="160"/>
      <c r="C14" s="104"/>
      <c r="D14" s="82" t="s">
        <v>5428</v>
      </c>
      <c r="E14" s="110">
        <f>Assumptions!C124</f>
        <v>50661.948441263805</v>
      </c>
      <c r="F14" s="110">
        <f>Assumptions!D124</f>
        <v>50661.948441263805</v>
      </c>
      <c r="G14" s="110">
        <f>Assumptions!E124</f>
        <v>50661.948441263805</v>
      </c>
      <c r="H14" s="110">
        <f>Assumptions!F124</f>
        <v>50661.948441263805</v>
      </c>
      <c r="I14" s="110">
        <f>Assumptions!G124</f>
        <v>50661.948441263805</v>
      </c>
      <c r="J14" s="110">
        <f>Assumptions!H124</f>
        <v>50661.948441263805</v>
      </c>
      <c r="K14" s="110">
        <f>Assumptions!I124</f>
        <v>50661.948441263805</v>
      </c>
      <c r="L14" s="110">
        <f>Assumptions!J124</f>
        <v>50661.948441263805</v>
      </c>
      <c r="M14" s="110">
        <f>Assumptions!K124</f>
        <v>50661.948441263805</v>
      </c>
      <c r="N14" s="110">
        <f>Assumptions!L124</f>
        <v>50661.948441263805</v>
      </c>
      <c r="O14" s="110">
        <f>Assumptions!M124</f>
        <v>50661.948441263805</v>
      </c>
      <c r="P14" s="110">
        <f>Assumptions!N124</f>
        <v>50661.948441263805</v>
      </c>
      <c r="Q14" s="110">
        <f>Assumptions!O124</f>
        <v>50661.948441263805</v>
      </c>
      <c r="R14" s="110">
        <f>Assumptions!P124</f>
        <v>50661.948441263805</v>
      </c>
      <c r="S14" s="110">
        <f>Assumptions!Q124</f>
        <v>50661.948441263805</v>
      </c>
      <c r="T14" s="110">
        <f>Assumptions!R124</f>
        <v>50661.948441263805</v>
      </c>
      <c r="U14" s="110">
        <f>Assumptions!S124</f>
        <v>50661.948441263805</v>
      </c>
      <c r="V14" s="110">
        <f>Assumptions!T124</f>
        <v>50661.948441263805</v>
      </c>
      <c r="W14" s="110">
        <f>Assumptions!U124</f>
        <v>50661.948441263805</v>
      </c>
      <c r="X14" s="110">
        <f>Assumptions!V124</f>
        <v>50661.948441263805</v>
      </c>
      <c r="Y14" s="110">
        <f>Assumptions!W124</f>
        <v>50661.948441263805</v>
      </c>
      <c r="Z14" s="858"/>
    </row>
    <row r="15" spans="1:26">
      <c r="A15" s="120"/>
      <c r="B15" s="160"/>
      <c r="C15" s="104"/>
      <c r="D15" s="99" t="s">
        <v>5429</v>
      </c>
      <c r="E15" s="110">
        <f ca="1">SUM(E16:E18)</f>
        <v>1195.3132530237581</v>
      </c>
      <c r="F15" s="110">
        <f t="shared" ref="F15:O15" ca="1" si="3">SUM(F16:F18)</f>
        <v>2397.8912958653546</v>
      </c>
      <c r="G15" s="110">
        <f t="shared" ca="1" si="3"/>
        <v>4112.6472472090854</v>
      </c>
      <c r="H15" s="110">
        <f t="shared" ca="1" si="3"/>
        <v>4274.5792547051233</v>
      </c>
      <c r="I15" s="110">
        <f t="shared" ca="1" si="3"/>
        <v>4354.0877568127253</v>
      </c>
      <c r="J15" s="110">
        <f t="shared" ca="1" si="3"/>
        <v>6847.6122915911747</v>
      </c>
      <c r="K15" s="110">
        <f t="shared" ca="1" si="3"/>
        <v>7267.3280406970407</v>
      </c>
      <c r="L15" s="110">
        <f t="shared" ca="1" si="3"/>
        <v>7324.4177914332486</v>
      </c>
      <c r="M15" s="110">
        <f t="shared" ca="1" si="3"/>
        <v>7386.0003990258901</v>
      </c>
      <c r="N15" s="110">
        <f t="shared" ca="1" si="3"/>
        <v>7467.621624707419</v>
      </c>
      <c r="O15" s="110">
        <f t="shared" ca="1" si="3"/>
        <v>7467.621624707419</v>
      </c>
      <c r="P15" s="110">
        <f ca="1">SUM(P16:P18)</f>
        <v>7527.0244945421937</v>
      </c>
      <c r="Q15" s="110">
        <f ca="1">SUM(Q16:Q18)</f>
        <v>7586.4273643769675</v>
      </c>
      <c r="R15" s="110">
        <f ca="1">SUM(R16:R18)</f>
        <v>7645.8302342117413</v>
      </c>
      <c r="S15" s="110">
        <f t="shared" ref="S15:Y15" ca="1" si="4">SUM(S16:S18)</f>
        <v>7705.2331040465151</v>
      </c>
      <c r="T15" s="110">
        <f t="shared" ca="1" si="4"/>
        <v>7764.6359738812889</v>
      </c>
      <c r="U15" s="110">
        <f t="shared" ca="1" si="4"/>
        <v>7824.0388437160627</v>
      </c>
      <c r="V15" s="110">
        <f t="shared" ca="1" si="4"/>
        <v>7883.4417135508365</v>
      </c>
      <c r="W15" s="110">
        <f t="shared" ca="1" si="4"/>
        <v>7942.8445833856103</v>
      </c>
      <c r="X15" s="110">
        <f t="shared" ca="1" si="4"/>
        <v>8002.2474532203842</v>
      </c>
      <c r="Y15" s="110">
        <f t="shared" ca="1" si="4"/>
        <v>8061.650323055158</v>
      </c>
      <c r="Z15" s="858"/>
    </row>
    <row r="16" spans="1:26" ht="15.75" thickBot="1">
      <c r="A16" s="120"/>
      <c r="B16" s="160"/>
      <c r="C16" s="104"/>
      <c r="D16" s="101" t="s">
        <v>5202</v>
      </c>
      <c r="E16" s="110">
        <f>Assumptions!C128</f>
        <v>15.110000000000001</v>
      </c>
      <c r="F16" s="110">
        <f>Assumptions!D128</f>
        <v>15.110000000000001</v>
      </c>
      <c r="G16" s="110">
        <f>Assumptions!E128</f>
        <v>329.10999999999996</v>
      </c>
      <c r="H16" s="110">
        <f>Assumptions!F128</f>
        <v>329.10999999999996</v>
      </c>
      <c r="I16" s="110">
        <f>Assumptions!G128</f>
        <v>329.10999999999996</v>
      </c>
      <c r="J16" s="110">
        <f>Assumptions!H128</f>
        <v>329.10999999999996</v>
      </c>
      <c r="K16" s="110">
        <f>Assumptions!I128</f>
        <v>329.10999999999996</v>
      </c>
      <c r="L16" s="110">
        <f>Assumptions!J128</f>
        <v>329.10999999999996</v>
      </c>
      <c r="M16" s="110">
        <f>Assumptions!K128</f>
        <v>329.10999999999996</v>
      </c>
      <c r="N16" s="110">
        <f>Assumptions!L128</f>
        <v>329.10999999999996</v>
      </c>
      <c r="O16" s="110">
        <f>Assumptions!M128</f>
        <v>329.10999999999996</v>
      </c>
      <c r="P16" s="110">
        <f>Assumptions!N128</f>
        <v>329.10999999999996</v>
      </c>
      <c r="Q16" s="110">
        <f>Assumptions!O128</f>
        <v>329.10999999999996</v>
      </c>
      <c r="R16" s="110">
        <f>Assumptions!P128</f>
        <v>329.10999999999996</v>
      </c>
      <c r="S16" s="110">
        <f>Assumptions!Q128</f>
        <v>329.10999999999996</v>
      </c>
      <c r="T16" s="110">
        <f>Assumptions!R128</f>
        <v>329.10999999999996</v>
      </c>
      <c r="U16" s="110">
        <f>Assumptions!S128</f>
        <v>329.10999999999996</v>
      </c>
      <c r="V16" s="110">
        <f>Assumptions!T128</f>
        <v>329.10999999999996</v>
      </c>
      <c r="W16" s="110">
        <f>Assumptions!U128</f>
        <v>329.10999999999996</v>
      </c>
      <c r="X16" s="110">
        <f>Assumptions!V128</f>
        <v>329.10999999999996</v>
      </c>
      <c r="Y16" s="110">
        <f>Assumptions!W128</f>
        <v>329.10999999999996</v>
      </c>
      <c r="Z16" s="858"/>
    </row>
    <row r="17" spans="1:26" ht="34.5" customHeight="1" thickBot="1">
      <c r="A17" s="120"/>
      <c r="B17" s="794" t="s">
        <v>5365</v>
      </c>
      <c r="C17" s="104"/>
      <c r="D17" s="795" t="s">
        <v>3333</v>
      </c>
      <c r="E17" s="796">
        <f ca="1">OFFSET(Assumptions!C$129,MATCH($B$17,MWResourceAddsRPS,0),0)</f>
        <v>1180.2032530237582</v>
      </c>
      <c r="F17" s="796">
        <f ca="1">OFFSET(Assumptions!D$129,MATCH($B$17,MWResourceAddsRPS,0),0)</f>
        <v>2382.7812958653544</v>
      </c>
      <c r="G17" s="796">
        <f ca="1">OFFSET(Assumptions!E$129,MATCH($B$17,MWResourceAddsRPS,0),0)</f>
        <v>3783.5372472090858</v>
      </c>
      <c r="H17" s="796">
        <f ca="1">OFFSET(Assumptions!F$129,MATCH($B$17,MWResourceAddsRPS,0),0)</f>
        <v>3945.4692547051231</v>
      </c>
      <c r="I17" s="796">
        <f ca="1">OFFSET(Assumptions!G$129,MATCH($B$17,MWResourceAddsRPS,0),0)</f>
        <v>4024.9777568127251</v>
      </c>
      <c r="J17" s="796">
        <f ca="1">OFFSET(Assumptions!H$129,MATCH($B$17,MWResourceAddsRPS,0),0)</f>
        <v>5318.502291591175</v>
      </c>
      <c r="K17" s="796">
        <f ca="1">OFFSET(Assumptions!I$129,MATCH($B$17,MWResourceAddsRPS,0),0)</f>
        <v>5738.218040697041</v>
      </c>
      <c r="L17" s="796">
        <f ca="1">OFFSET(Assumptions!J$129,MATCH($B$17,MWResourceAddsRPS,0),0)</f>
        <v>5795.3077914332489</v>
      </c>
      <c r="M17" s="796">
        <f ca="1">OFFSET(Assumptions!K$129,MATCH($B$17,MWResourceAddsRPS,0),0)</f>
        <v>5856.8903990258905</v>
      </c>
      <c r="N17" s="796">
        <f ca="1">OFFSET(Assumptions!L$129,MATCH($B$17,MWResourceAddsRPS,0),0)</f>
        <v>5938.5116247074193</v>
      </c>
      <c r="O17" s="796">
        <f ca="1">OFFSET(Assumptions!M$129,MATCH($B$17,MWResourceAddsRPS,0),0)</f>
        <v>5938.5116247074193</v>
      </c>
      <c r="P17" s="796">
        <f ca="1">OFFSET(Assumptions!N$129,MATCH($B$17,MWResourceAddsRPS,0),0)</f>
        <v>5997.914494542194</v>
      </c>
      <c r="Q17" s="796">
        <f ca="1">OFFSET(Assumptions!O$129,MATCH($B$17,MWResourceAddsRPS,0),0)</f>
        <v>6057.3173643769678</v>
      </c>
      <c r="R17" s="796">
        <f ca="1">OFFSET(Assumptions!P$129,MATCH($B$17,MWResourceAddsRPS,0),0)</f>
        <v>6116.7202342117416</v>
      </c>
      <c r="S17" s="796">
        <f ca="1">OFFSET(Assumptions!Q$129,MATCH($B$17,MWResourceAddsRPS,0),0)</f>
        <v>6176.1231040465154</v>
      </c>
      <c r="T17" s="796">
        <f ca="1">OFFSET(Assumptions!R$129,MATCH($B$17,MWResourceAddsRPS,0),0)</f>
        <v>6235.5259738812892</v>
      </c>
      <c r="U17" s="796">
        <f ca="1">OFFSET(Assumptions!S$129,MATCH($B$17,MWResourceAddsRPS,0),0)</f>
        <v>6294.9288437160631</v>
      </c>
      <c r="V17" s="796">
        <f ca="1">OFFSET(Assumptions!T$129,MATCH($B$17,MWResourceAddsRPS,0),0)</f>
        <v>6354.3317135508369</v>
      </c>
      <c r="W17" s="796">
        <f ca="1">OFFSET(Assumptions!U$129,MATCH($B$17,MWResourceAddsRPS,0),0)</f>
        <v>6413.7345833856107</v>
      </c>
      <c r="X17" s="796">
        <f ca="1">OFFSET(Assumptions!V$129,MATCH($B$17,MWResourceAddsRPS,0),0)</f>
        <v>6473.1374532203845</v>
      </c>
      <c r="Y17" s="796">
        <f ca="1">OFFSET(Assumptions!W$129,MATCH($B$17,MWResourceAddsRPS,0),0)</f>
        <v>6532.5403230551583</v>
      </c>
      <c r="Z17" s="858"/>
    </row>
    <row r="18" spans="1:26" ht="34.5" customHeight="1" thickBot="1">
      <c r="A18" s="120"/>
      <c r="B18" s="794" t="s">
        <v>5418</v>
      </c>
      <c r="C18" s="104"/>
      <c r="D18" s="799" t="s">
        <v>4355</v>
      </c>
      <c r="E18" s="796">
        <f ca="1">OFFSET(Assumptions!C$137,MATCH($B$18,MWAuthProc,0),0)</f>
        <v>0</v>
      </c>
      <c r="F18" s="796">
        <f ca="1">OFFSET(Assumptions!D$137,MATCH($B$18,MWAuthProc,0),0)</f>
        <v>0</v>
      </c>
      <c r="G18" s="796">
        <f ca="1">OFFSET(Assumptions!E$137,MATCH($B$18,MWAuthProc,0),0)</f>
        <v>0</v>
      </c>
      <c r="H18" s="796">
        <f ca="1">OFFSET(Assumptions!F$137,MATCH($B$18,MWAuthProc,0),0)</f>
        <v>0</v>
      </c>
      <c r="I18" s="796">
        <f ca="1">OFFSET(Assumptions!G$137,MATCH($B$18,MWAuthProc,0),0)</f>
        <v>0</v>
      </c>
      <c r="J18" s="796">
        <f ca="1">OFFSET(Assumptions!H$137,MATCH($B$18,MWAuthProc,0),0)</f>
        <v>1200</v>
      </c>
      <c r="K18" s="796">
        <f ca="1">OFFSET(Assumptions!I$137,MATCH($B$18,MWAuthProc,0),0)</f>
        <v>1200</v>
      </c>
      <c r="L18" s="796">
        <f ca="1">OFFSET(Assumptions!J$137,MATCH($B$18,MWAuthProc,0),0)</f>
        <v>1200</v>
      </c>
      <c r="M18" s="796">
        <f ca="1">OFFSET(Assumptions!K$137,MATCH($B$18,MWAuthProc,0),0)</f>
        <v>1200</v>
      </c>
      <c r="N18" s="796">
        <f ca="1">OFFSET(Assumptions!L$137,MATCH($B$18,MWAuthProc,0),0)</f>
        <v>1200</v>
      </c>
      <c r="O18" s="796">
        <f ca="1">OFFSET(Assumptions!M$137,MATCH($B$18,MWAuthProc,0),0)</f>
        <v>1200</v>
      </c>
      <c r="P18" s="796">
        <f ca="1">OFFSET(Assumptions!N$137,MATCH($B$18,MWAuthProc,0),0)</f>
        <v>1200</v>
      </c>
      <c r="Q18" s="796">
        <f ca="1">OFFSET(Assumptions!O$137,MATCH($B$18,MWAuthProc,0),0)</f>
        <v>1200</v>
      </c>
      <c r="R18" s="796">
        <f ca="1">OFFSET(Assumptions!P$137,MATCH($B$18,MWAuthProc,0),0)</f>
        <v>1200</v>
      </c>
      <c r="S18" s="796">
        <f ca="1">OFFSET(Assumptions!Q$137,MATCH($B$18,MWAuthProc,0),0)</f>
        <v>1200</v>
      </c>
      <c r="T18" s="796">
        <f ca="1">OFFSET(Assumptions!R$137,MATCH($B$18,MWAuthProc,0),0)</f>
        <v>1200</v>
      </c>
      <c r="U18" s="796">
        <f ca="1">OFFSET(Assumptions!S$137,MATCH($B$18,MWAuthProc,0),0)</f>
        <v>1200</v>
      </c>
      <c r="V18" s="796">
        <f ca="1">OFFSET(Assumptions!T$137,MATCH($B$18,MWAuthProc,0),0)</f>
        <v>1200</v>
      </c>
      <c r="W18" s="796">
        <f ca="1">OFFSET(Assumptions!U$137,MATCH($B$18,MWAuthProc,0),0)</f>
        <v>1200</v>
      </c>
      <c r="X18" s="796">
        <f ca="1">OFFSET(Assumptions!V$137,MATCH($B$18,MWAuthProc,0),0)</f>
        <v>1200</v>
      </c>
      <c r="Y18" s="796">
        <f ca="1">OFFSET(Assumptions!W$137,MATCH($B$18,MWAuthProc,0),0)</f>
        <v>1200</v>
      </c>
      <c r="Z18" s="858"/>
    </row>
    <row r="19" spans="1:26" ht="15.75" thickBot="1">
      <c r="A19" s="120"/>
      <c r="B19" s="100" t="s">
        <v>4323</v>
      </c>
      <c r="C19" s="104"/>
      <c r="D19" s="78" t="s">
        <v>5430</v>
      </c>
      <c r="E19" s="110">
        <f ca="1">OFFSET(Assumptions!C$109,MATCH($B$19,MWImports,0),0)</f>
        <v>13396</v>
      </c>
      <c r="F19" s="110">
        <f ca="1">OFFSET(Assumptions!D$109,MATCH($B$19,MWImports,0),0)</f>
        <v>13396</v>
      </c>
      <c r="G19" s="110">
        <f ca="1">OFFSET(Assumptions!E$109,MATCH($B$19,MWImports,0),0)</f>
        <v>13396</v>
      </c>
      <c r="H19" s="110">
        <f ca="1">OFFSET(Assumptions!F$109,MATCH($B$19,MWImports,0),0)</f>
        <v>13396</v>
      </c>
      <c r="I19" s="110">
        <f ca="1">OFFSET(Assumptions!G$109,MATCH($B$19,MWImports,0),0)</f>
        <v>13396</v>
      </c>
      <c r="J19" s="110">
        <f ca="1">OFFSET(Assumptions!H$109,MATCH($B$19,MWImports,0),0)</f>
        <v>13396</v>
      </c>
      <c r="K19" s="110">
        <f ca="1">OFFSET(Assumptions!I$109,MATCH($B$19,MWImports,0),0)</f>
        <v>13396</v>
      </c>
      <c r="L19" s="110">
        <f ca="1">OFFSET(Assumptions!J$109,MATCH($B$19,MWImports,0),0)</f>
        <v>13396</v>
      </c>
      <c r="M19" s="110">
        <f ca="1">OFFSET(Assumptions!K$109,MATCH($B$19,MWImports,0),0)</f>
        <v>13396</v>
      </c>
      <c r="N19" s="110">
        <f ca="1">OFFSET(Assumptions!L$109,MATCH($B$19,MWImports,0),0)</f>
        <v>13396</v>
      </c>
      <c r="O19" s="110">
        <f ca="1">OFFSET(Assumptions!M$109,MATCH($B$19,MWImports,0),0)</f>
        <v>13396</v>
      </c>
      <c r="P19" s="110">
        <f ca="1">OFFSET(Assumptions!N$109,MATCH($B$19,MWImports,0),0)</f>
        <v>13396</v>
      </c>
      <c r="Q19" s="110">
        <f ca="1">OFFSET(Assumptions!O$109,MATCH($B$19,MWImports,0),0)</f>
        <v>13396</v>
      </c>
      <c r="R19" s="110">
        <f ca="1">OFFSET(Assumptions!P$109,MATCH($B$19,MWImports,0),0)</f>
        <v>13396</v>
      </c>
      <c r="S19" s="110">
        <f ca="1">OFFSET(Assumptions!Q$109,MATCH($B$19,MWImports,0),0)</f>
        <v>13396</v>
      </c>
      <c r="T19" s="110">
        <f ca="1">OFFSET(Assumptions!R$109,MATCH($B$19,MWImports,0),0)</f>
        <v>13396</v>
      </c>
      <c r="U19" s="110">
        <f ca="1">OFFSET(Assumptions!S$109,MATCH($B$19,MWImports,0),0)</f>
        <v>13396</v>
      </c>
      <c r="V19" s="110">
        <f ca="1">OFFSET(Assumptions!T$109,MATCH($B$19,MWImports,0),0)</f>
        <v>13396</v>
      </c>
      <c r="W19" s="110">
        <f ca="1">OFFSET(Assumptions!U$109,MATCH($B$19,MWImports,0),0)</f>
        <v>13396</v>
      </c>
      <c r="X19" s="110">
        <f ca="1">OFFSET(Assumptions!V$109,MATCH($B$19,MWImports,0),0)</f>
        <v>13396</v>
      </c>
      <c r="Y19" s="110">
        <f ca="1">OFFSET(Assumptions!W$109,MATCH($B$19,MWImports,0),0)</f>
        <v>13396</v>
      </c>
      <c r="Z19" s="858"/>
    </row>
    <row r="20" spans="1:26" ht="15.75" thickBot="1">
      <c r="A20" s="120"/>
      <c r="B20" s="100" t="s">
        <v>4271</v>
      </c>
      <c r="C20" s="104"/>
      <c r="D20" s="86" t="s">
        <v>5431</v>
      </c>
      <c r="E20" s="110">
        <f ca="1">OFFSET(Assumptions!C$88,MATCH($B$20,MWIncSCHP,0),0)</f>
        <v>0</v>
      </c>
      <c r="F20" s="110">
        <f ca="1">OFFSET(Assumptions!D$88,MATCH($B$20,MWIncSCHP,0),0)</f>
        <v>0</v>
      </c>
      <c r="G20" s="110">
        <f ca="1">OFFSET(Assumptions!E$88,MATCH($B$20,MWIncSCHP,0),0)</f>
        <v>0</v>
      </c>
      <c r="H20" s="110">
        <f ca="1">OFFSET(Assumptions!F$88,MATCH($B$20,MWIncSCHP,0),0)</f>
        <v>0</v>
      </c>
      <c r="I20" s="110">
        <f ca="1">OFFSET(Assumptions!G$88,MATCH($B$20,MWIncSCHP,0),0)</f>
        <v>0</v>
      </c>
      <c r="J20" s="110">
        <f ca="1">OFFSET(Assumptions!H$88,MATCH($B$20,MWIncSCHP,0),0)</f>
        <v>0</v>
      </c>
      <c r="K20" s="110">
        <f ca="1">OFFSET(Assumptions!I$88,MATCH($B$20,MWIncSCHP,0),0)</f>
        <v>0</v>
      </c>
      <c r="L20" s="110">
        <f ca="1">OFFSET(Assumptions!J$88,MATCH($B$20,MWIncSCHP,0),0)</f>
        <v>0</v>
      </c>
      <c r="M20" s="110">
        <f ca="1">OFFSET(Assumptions!K$88,MATCH($B$20,MWIncSCHP,0),0)</f>
        <v>0</v>
      </c>
      <c r="N20" s="110">
        <f ca="1">OFFSET(Assumptions!L$88,MATCH($B$20,MWIncSCHP,0),0)</f>
        <v>0</v>
      </c>
      <c r="O20" s="110">
        <f ca="1">OFFSET(Assumptions!M$88,MATCH($B$20,MWIncSCHP,0),0)</f>
        <v>0</v>
      </c>
      <c r="P20" s="110">
        <f ca="1">OFFSET(Assumptions!N$88,MATCH($B$20,MWIncSCHP,0),0)</f>
        <v>0</v>
      </c>
      <c r="Q20" s="110">
        <f ca="1">OFFSET(Assumptions!O$88,MATCH($B$20,MWIncSCHP,0),0)</f>
        <v>0</v>
      </c>
      <c r="R20" s="110">
        <f ca="1">OFFSET(Assumptions!P$88,MATCH($B$20,MWIncSCHP,0),0)</f>
        <v>0</v>
      </c>
      <c r="S20" s="110">
        <f ca="1">OFFSET(Assumptions!Q$88,MATCH($B$20,MWIncSCHP,0),0)</f>
        <v>0</v>
      </c>
      <c r="T20" s="110">
        <f ca="1">OFFSET(Assumptions!R$88,MATCH($B$20,MWIncSCHP,0),0)</f>
        <v>0</v>
      </c>
      <c r="U20" s="110">
        <f ca="1">OFFSET(Assumptions!S$88,MATCH($B$20,MWIncSCHP,0),0)</f>
        <v>0</v>
      </c>
      <c r="V20" s="110">
        <f ca="1">OFFSET(Assumptions!T$88,MATCH($B$20,MWIncSCHP,0),0)</f>
        <v>0</v>
      </c>
      <c r="W20" s="110">
        <f ca="1">OFFSET(Assumptions!U$88,MATCH($B$20,MWIncSCHP,0),0)</f>
        <v>0</v>
      </c>
      <c r="X20" s="110">
        <f ca="1">OFFSET(Assumptions!V$88,MATCH($B$20,MWIncSCHP,0),0)</f>
        <v>0</v>
      </c>
      <c r="Y20" s="110">
        <f ca="1">OFFSET(Assumptions!W$88,MATCH($B$20,MWIncSCHP,0),0)</f>
        <v>0</v>
      </c>
      <c r="Z20" s="858"/>
    </row>
    <row r="21" spans="1:26" ht="15.75" thickBot="1">
      <c r="A21" s="120"/>
      <c r="B21" s="100" t="s">
        <v>4387</v>
      </c>
      <c r="C21" s="104"/>
      <c r="D21" s="90" t="s">
        <v>5432</v>
      </c>
      <c r="E21" s="110">
        <f ca="1">OFFSET(Assumptions!C$104,MATCH($B$21,MWEventBasedDR,0),0)</f>
        <v>2115.7221547066165</v>
      </c>
      <c r="F21" s="110">
        <f ca="1">OFFSET(Assumptions!D$104,MATCH($B$21,MWEventBasedDR,0),0)</f>
        <v>2155.5289547066159</v>
      </c>
      <c r="G21" s="110">
        <f ca="1">OFFSET(Assumptions!E$104,MATCH($B$21,MWEventBasedDR,0),0)</f>
        <v>2162.0269547066164</v>
      </c>
      <c r="H21" s="110">
        <f ca="1">OFFSET(Assumptions!F$104,MATCH($B$21,MWEventBasedDR,0),0)</f>
        <v>2165.2969547066159</v>
      </c>
      <c r="I21" s="110">
        <f ca="1">OFFSET(Assumptions!G$104,MATCH($B$21,MWEventBasedDR,0),0)</f>
        <v>2166.3939547066161</v>
      </c>
      <c r="J21" s="110">
        <f ca="1">OFFSET(Assumptions!H$104,MATCH($B$21,MWEventBasedDR,0),0)</f>
        <v>2168.5879547066161</v>
      </c>
      <c r="K21" s="110">
        <f ca="1">OFFSET(Assumptions!I$104,MATCH($B$21,MWEventBasedDR,0),0)</f>
        <v>2170.781954706616</v>
      </c>
      <c r="L21" s="110">
        <f ca="1">OFFSET(Assumptions!J$104,MATCH($B$21,MWEventBasedDR,0),0)</f>
        <v>2170.781954706616</v>
      </c>
      <c r="M21" s="110">
        <f ca="1">OFFSET(Assumptions!K$104,MATCH($B$21,MWEventBasedDR,0),0)</f>
        <v>2174.0729547066162</v>
      </c>
      <c r="N21" s="110">
        <f ca="1">OFFSET(Assumptions!L$104,MATCH($B$21,MWEventBasedDR,0),0)</f>
        <v>2176.2669547066162</v>
      </c>
      <c r="O21" s="110">
        <f ca="1">OFFSET(Assumptions!M$104,MATCH($B$21,MWEventBasedDR,0),0)</f>
        <v>2176.2669547066162</v>
      </c>
      <c r="P21" s="110">
        <f ca="1">OFFSET(Assumptions!N$104,MATCH($B$21,MWEventBasedDR,0),0)</f>
        <v>2176.2669547066162</v>
      </c>
      <c r="Q21" s="110">
        <f ca="1">OFFSET(Assumptions!O$104,MATCH($B$21,MWEventBasedDR,0),0)</f>
        <v>2176.2669547066162</v>
      </c>
      <c r="R21" s="110">
        <f ca="1">OFFSET(Assumptions!P$104,MATCH($B$21,MWEventBasedDR,0),0)</f>
        <v>2176.2669547066162</v>
      </c>
      <c r="S21" s="110">
        <f ca="1">OFFSET(Assumptions!Q$104,MATCH($B$21,MWEventBasedDR,0),0)</f>
        <v>2176.2669547066162</v>
      </c>
      <c r="T21" s="110">
        <f ca="1">OFFSET(Assumptions!R$104,MATCH($B$21,MWEventBasedDR,0),0)</f>
        <v>2176.2669547066162</v>
      </c>
      <c r="U21" s="110">
        <f ca="1">OFFSET(Assumptions!S$104,MATCH($B$21,MWEventBasedDR,0),0)</f>
        <v>2176.2669547066162</v>
      </c>
      <c r="V21" s="110">
        <f ca="1">OFFSET(Assumptions!T$104,MATCH($B$21,MWEventBasedDR,0),0)</f>
        <v>2176.2669547066162</v>
      </c>
      <c r="W21" s="110">
        <f ca="1">OFFSET(Assumptions!U$104,MATCH($B$21,MWEventBasedDR,0),0)</f>
        <v>2176.2669547066162</v>
      </c>
      <c r="X21" s="110">
        <f ca="1">OFFSET(Assumptions!V$104,MATCH($B$21,MWEventBasedDR,0),0)</f>
        <v>2176.2669547066162</v>
      </c>
      <c r="Y21" s="110">
        <f ca="1">OFFSET(Assumptions!W$104,MATCH($B$21,MWEventBasedDR,0),0)</f>
        <v>2176.2669547066162</v>
      </c>
      <c r="Z21" s="858"/>
    </row>
    <row r="22" spans="1:26" ht="15.75" thickBot="1">
      <c r="A22" s="120"/>
      <c r="B22" s="100" t="s">
        <v>0</v>
      </c>
      <c r="C22" s="104"/>
      <c r="D22" s="628" t="s">
        <v>5445</v>
      </c>
      <c r="E22" s="110">
        <f ca="1">OFFSET(Assumptions!C$93,MATCH($B$22,MWEnergyStorage,0),0)</f>
        <v>0</v>
      </c>
      <c r="F22" s="110">
        <f ca="1">OFFSET(Assumptions!D$93,MATCH($B$22,MWEnergyStorage,0),0)</f>
        <v>0</v>
      </c>
      <c r="G22" s="110">
        <f ca="1">OFFSET(Assumptions!E$93,MATCH($B$22,MWEnergyStorage,0),0)</f>
        <v>0</v>
      </c>
      <c r="H22" s="110">
        <f ca="1">OFFSET(Assumptions!F$93,MATCH($B$22,MWEnergyStorage,0),0)</f>
        <v>114.0625</v>
      </c>
      <c r="I22" s="110">
        <f ca="1">OFFSET(Assumptions!G$93,MATCH($B$22,MWEnergyStorage,0),0)</f>
        <v>228.125</v>
      </c>
      <c r="J22" s="110">
        <f ca="1">OFFSET(Assumptions!H$93,MATCH($B$22,MWEnergyStorage,0),0)</f>
        <v>342.1875</v>
      </c>
      <c r="K22" s="110">
        <f ca="1">OFFSET(Assumptions!I$93,MATCH($B$22,MWEnergyStorage,0),0)</f>
        <v>456.25</v>
      </c>
      <c r="L22" s="110">
        <f ca="1">OFFSET(Assumptions!J$93,MATCH($B$22,MWEnergyStorage,0),0)</f>
        <v>570.3125</v>
      </c>
      <c r="M22" s="110">
        <f ca="1">OFFSET(Assumptions!K$93,MATCH($B$22,MWEnergyStorage,0),0)</f>
        <v>684.375</v>
      </c>
      <c r="N22" s="110">
        <f ca="1">OFFSET(Assumptions!L$93,MATCH($B$22,MWEnergyStorage,0),0)</f>
        <v>798.4375</v>
      </c>
      <c r="O22" s="110">
        <f ca="1">OFFSET(Assumptions!M$93,MATCH($B$22,MWEnergyStorage,0),0)</f>
        <v>912.5</v>
      </c>
      <c r="P22" s="110">
        <f ca="1">OFFSET(Assumptions!N$93,MATCH($B$22,MWEnergyStorage,0),0)</f>
        <v>912.5</v>
      </c>
      <c r="Q22" s="110">
        <f ca="1">OFFSET(Assumptions!O$93,MATCH($B$22,MWEnergyStorage,0),0)</f>
        <v>912.5</v>
      </c>
      <c r="R22" s="110">
        <f ca="1">OFFSET(Assumptions!P$93,MATCH($B$22,MWEnergyStorage,0),0)</f>
        <v>912.5</v>
      </c>
      <c r="S22" s="110">
        <f ca="1">OFFSET(Assumptions!Q$93,MATCH($B$22,MWEnergyStorage,0),0)</f>
        <v>912.5</v>
      </c>
      <c r="T22" s="110">
        <f ca="1">OFFSET(Assumptions!R$93,MATCH($B$22,MWEnergyStorage,0),0)</f>
        <v>912.5</v>
      </c>
      <c r="U22" s="110">
        <f ca="1">OFFSET(Assumptions!S$93,MATCH($B$22,MWEnergyStorage,0),0)</f>
        <v>912.5</v>
      </c>
      <c r="V22" s="110">
        <f ca="1">OFFSET(Assumptions!T$93,MATCH($B$22,MWEnergyStorage,0),0)</f>
        <v>912.5</v>
      </c>
      <c r="W22" s="110">
        <f ca="1">OFFSET(Assumptions!U$93,MATCH($B$22,MWEnergyStorage,0),0)</f>
        <v>912.5</v>
      </c>
      <c r="X22" s="110">
        <f ca="1">OFFSET(Assumptions!V$93,MATCH($B$22,MWEnergyStorage,0),0)</f>
        <v>912.5</v>
      </c>
      <c r="Y22" s="110">
        <f ca="1">OFFSET(Assumptions!W$93,MATCH($B$22,MWEnergyStorage,0),0)</f>
        <v>912.5</v>
      </c>
      <c r="Z22" s="858"/>
    </row>
    <row r="23" spans="1:26" ht="15.75" thickBot="1">
      <c r="A23" s="120"/>
      <c r="B23" s="100" t="s">
        <v>4271</v>
      </c>
      <c r="C23" s="104"/>
      <c r="D23" s="628" t="s">
        <v>5433</v>
      </c>
      <c r="E23" s="110">
        <f ca="1">OFFSET(Assumptions!C$99,MATCH($B$23,MWEnergyStorageOther,0),0)</f>
        <v>0</v>
      </c>
      <c r="F23" s="110">
        <f ca="1">OFFSET(Assumptions!D$99,MATCH($B$23,MWEnergyStorageOther,0),0)</f>
        <v>0</v>
      </c>
      <c r="G23" s="110">
        <f ca="1">OFFSET(Assumptions!E$99,MATCH($B$23,MWEnergyStorageOther,0),0)</f>
        <v>0</v>
      </c>
      <c r="H23" s="110">
        <f ca="1">OFFSET(Assumptions!F$99,MATCH($B$23,MWEnergyStorageOther,0),0)</f>
        <v>0</v>
      </c>
      <c r="I23" s="110">
        <f ca="1">OFFSET(Assumptions!G$99,MATCH($B$23,MWEnergyStorageOther,0),0)</f>
        <v>0</v>
      </c>
      <c r="J23" s="110">
        <f ca="1">OFFSET(Assumptions!H$99,MATCH($B$23,MWEnergyStorageOther,0),0)</f>
        <v>0</v>
      </c>
      <c r="K23" s="110">
        <f ca="1">OFFSET(Assumptions!I$99,MATCH($B$23,MWEnergyStorageOther,0),0)</f>
        <v>0</v>
      </c>
      <c r="L23" s="110">
        <f ca="1">OFFSET(Assumptions!J$99,MATCH($B$23,MWEnergyStorageOther,0),0)</f>
        <v>0</v>
      </c>
      <c r="M23" s="110">
        <f ca="1">OFFSET(Assumptions!K$99,MATCH($B$23,MWEnergyStorageOther,0),0)</f>
        <v>0</v>
      </c>
      <c r="N23" s="110">
        <f ca="1">OFFSET(Assumptions!L$99,MATCH($B$23,MWEnergyStorageOther,0),0)</f>
        <v>0</v>
      </c>
      <c r="O23" s="110">
        <f ca="1">OFFSET(Assumptions!M$99,MATCH($B$23,MWEnergyStorageOther,0),0)</f>
        <v>0</v>
      </c>
      <c r="P23" s="110">
        <f ca="1">OFFSET(Assumptions!N$99,MATCH($B$23,MWEnergyStorageOther,0),0)</f>
        <v>0</v>
      </c>
      <c r="Q23" s="110">
        <f ca="1">OFFSET(Assumptions!O$99,MATCH($B$23,MWEnergyStorageOther,0),0)</f>
        <v>0</v>
      </c>
      <c r="R23" s="110">
        <f ca="1">OFFSET(Assumptions!P$99,MATCH($B$23,MWEnergyStorageOther,0),0)</f>
        <v>0</v>
      </c>
      <c r="S23" s="110">
        <f ca="1">OFFSET(Assumptions!Q$99,MATCH($B$23,MWEnergyStorageOther,0),0)</f>
        <v>0</v>
      </c>
      <c r="T23" s="110">
        <f ca="1">OFFSET(Assumptions!R$99,MATCH($B$23,MWEnergyStorageOther,0),0)</f>
        <v>0</v>
      </c>
      <c r="U23" s="110">
        <f ca="1">OFFSET(Assumptions!S$99,MATCH($B$23,MWEnergyStorageOther,0),0)</f>
        <v>0</v>
      </c>
      <c r="V23" s="110">
        <f ca="1">OFFSET(Assumptions!T$99,MATCH($B$23,MWEnergyStorageOther,0),0)</f>
        <v>0</v>
      </c>
      <c r="W23" s="110">
        <f ca="1">OFFSET(Assumptions!U$99,MATCH($B$23,MWEnergyStorageOther,0),0)</f>
        <v>0</v>
      </c>
      <c r="X23" s="110">
        <f ca="1">OFFSET(Assumptions!V$99,MATCH($B$23,MWEnergyStorageOther,0),0)</f>
        <v>0</v>
      </c>
      <c r="Y23" s="110">
        <f ca="1">OFFSET(Assumptions!W$99,MATCH($B$23,MWEnergyStorageOther,0),0)</f>
        <v>0</v>
      </c>
      <c r="Z23" s="858"/>
    </row>
    <row r="24" spans="1:26">
      <c r="A24" s="120"/>
      <c r="B24" s="160"/>
      <c r="C24" s="104"/>
      <c r="D24" s="85" t="s">
        <v>5434</v>
      </c>
      <c r="E24" s="114">
        <f ca="1">SUM(E25:E30)</f>
        <v>1741.5</v>
      </c>
      <c r="F24" s="114">
        <f t="shared" ref="F24:H24" ca="1" si="5">SUM(F25:F30)</f>
        <v>1741.5</v>
      </c>
      <c r="G24" s="114">
        <f t="shared" ca="1" si="5"/>
        <v>2121.1</v>
      </c>
      <c r="H24" s="114">
        <f t="shared" ca="1" si="5"/>
        <v>2121.13</v>
      </c>
      <c r="I24" s="114">
        <f t="shared" ref="I24" ca="1" si="6">SUM(I25:I30)</f>
        <v>7582.86</v>
      </c>
      <c r="J24" s="114">
        <f t="shared" ref="J24" ca="1" si="7">SUM(J25:J30)</f>
        <v>7682.44</v>
      </c>
      <c r="K24" s="114">
        <f t="shared" ref="K24" ca="1" si="8">SUM(K25:K30)</f>
        <v>7682.44</v>
      </c>
      <c r="L24" s="114">
        <f t="shared" ref="L24" ca="1" si="9">SUM(L25:L30)</f>
        <v>13582.66</v>
      </c>
      <c r="M24" s="114">
        <f t="shared" ref="M24" ca="1" si="10">SUM(M25:M30)</f>
        <v>13620.02</v>
      </c>
      <c r="N24" s="114">
        <f t="shared" ref="N24" ca="1" si="11">SUM(N25:N30)</f>
        <v>13649.83</v>
      </c>
      <c r="O24" s="114">
        <f t="shared" ref="O24" ca="1" si="12">SUM(O25:O30)</f>
        <v>13708.2</v>
      </c>
      <c r="P24" s="114">
        <f t="shared" ref="P24" ca="1" si="13">SUM(P25:P30)</f>
        <v>14047.57</v>
      </c>
      <c r="Q24" s="114">
        <f t="shared" ref="Q24" ca="1" si="14">SUM(Q25:Q30)</f>
        <v>14203.98</v>
      </c>
      <c r="R24" s="114">
        <f t="shared" ref="R24" ca="1" si="15">SUM(R25:R30)</f>
        <v>14927.91</v>
      </c>
      <c r="S24" s="114">
        <f t="shared" ref="S24" ca="1" si="16">SUM(S25:S30)</f>
        <v>15035.83</v>
      </c>
      <c r="T24" s="114">
        <f t="shared" ref="T24" ca="1" si="17">SUM(T25:T30)</f>
        <v>15734.49</v>
      </c>
      <c r="U24" s="114">
        <f t="shared" ref="U24" ca="1" si="18">SUM(U25:U30)</f>
        <v>16196.920000000002</v>
      </c>
      <c r="V24" s="114">
        <f t="shared" ref="V24" ca="1" si="19">SUM(V25:V30)</f>
        <v>16418.22</v>
      </c>
      <c r="W24" s="114">
        <f t="shared" ref="W24" ca="1" si="20">SUM(W25:W30)</f>
        <v>16419.940000000002</v>
      </c>
      <c r="X24" s="114">
        <f t="shared" ref="X24" ca="1" si="21">SUM(X25:X30)</f>
        <v>16421.310000000001</v>
      </c>
      <c r="Y24" s="114">
        <f t="shared" ref="Y24" ca="1" si="22">SUM(Y25:Y30)</f>
        <v>16463.02</v>
      </c>
      <c r="Z24" s="858"/>
    </row>
    <row r="25" spans="1:26" ht="15.75" thickBot="1">
      <c r="A25" s="120"/>
      <c r="B25" s="160"/>
      <c r="C25" s="104"/>
      <c r="D25" s="88" t="s">
        <v>4808</v>
      </c>
      <c r="E25" s="110">
        <f>Assumptions!C144</f>
        <v>650</v>
      </c>
      <c r="F25" s="110">
        <f>Assumptions!D144</f>
        <v>650</v>
      </c>
      <c r="G25" s="110">
        <f>Assumptions!E144</f>
        <v>985</v>
      </c>
      <c r="H25" s="110">
        <f>Assumptions!F144</f>
        <v>985</v>
      </c>
      <c r="I25" s="110">
        <f>Assumptions!G144</f>
        <v>5790.53</v>
      </c>
      <c r="J25" s="110">
        <f>Assumptions!H144</f>
        <v>5790.53</v>
      </c>
      <c r="K25" s="110">
        <f>Assumptions!I144</f>
        <v>5790.53</v>
      </c>
      <c r="L25" s="110">
        <f>Assumptions!J144</f>
        <v>11684.75</v>
      </c>
      <c r="M25" s="110">
        <f>Assumptions!K144</f>
        <v>11684.75</v>
      </c>
      <c r="N25" s="110">
        <f>Assumptions!L144</f>
        <v>11684.75</v>
      </c>
      <c r="O25" s="110">
        <f>Assumptions!M144</f>
        <v>11684.75</v>
      </c>
      <c r="P25" s="110">
        <f>Assumptions!N144</f>
        <v>11684.75</v>
      </c>
      <c r="Q25" s="110">
        <f>Assumptions!O144</f>
        <v>11684.75</v>
      </c>
      <c r="R25" s="110">
        <f>Assumptions!P144</f>
        <v>11684.75</v>
      </c>
      <c r="S25" s="110">
        <f>Assumptions!Q144</f>
        <v>11684.75</v>
      </c>
      <c r="T25" s="110">
        <f>Assumptions!R144</f>
        <v>11684.75</v>
      </c>
      <c r="U25" s="110">
        <f>Assumptions!S144</f>
        <v>11684.75</v>
      </c>
      <c r="V25" s="110">
        <f>Assumptions!T144</f>
        <v>11684.75</v>
      </c>
      <c r="W25" s="110">
        <f>Assumptions!U144</f>
        <v>11684.75</v>
      </c>
      <c r="X25" s="110">
        <f>Assumptions!V144</f>
        <v>11684.75</v>
      </c>
      <c r="Y25" s="110">
        <f>Assumptions!W144</f>
        <v>11684.75</v>
      </c>
      <c r="Z25" s="858"/>
    </row>
    <row r="26" spans="1:26" ht="15.75" thickBot="1">
      <c r="A26" s="120"/>
      <c r="B26" s="106" t="s">
        <v>4271</v>
      </c>
      <c r="C26" s="104"/>
      <c r="D26" s="87" t="s">
        <v>4254</v>
      </c>
      <c r="E26" s="110">
        <f ca="1">OFFSET(Assumptions!C$145,MATCH($B$26,MWNuclearRetires,0),0)</f>
        <v>0</v>
      </c>
      <c r="F26" s="110">
        <f ca="1">OFFSET(Assumptions!D$145,MATCH($B$26,MWNuclearRetires,0),0)</f>
        <v>0</v>
      </c>
      <c r="G26" s="110">
        <f ca="1">OFFSET(Assumptions!E$145,MATCH($B$26,MWNuclearRetires,0),0)</f>
        <v>0</v>
      </c>
      <c r="H26" s="110">
        <f ca="1">OFFSET(Assumptions!F$145,MATCH($B$26,MWNuclearRetires,0),0)</f>
        <v>0</v>
      </c>
      <c r="I26" s="110">
        <f ca="1">OFFSET(Assumptions!G$145,MATCH($B$26,MWNuclearRetires,0),0)</f>
        <v>0</v>
      </c>
      <c r="J26" s="110">
        <f ca="1">OFFSET(Assumptions!H$145,MATCH($B$26,MWNuclearRetires,0),0)</f>
        <v>0</v>
      </c>
      <c r="K26" s="110">
        <f ca="1">OFFSET(Assumptions!I$145,MATCH($B$26,MWNuclearRetires,0),0)</f>
        <v>0</v>
      </c>
      <c r="L26" s="110">
        <f ca="1">OFFSET(Assumptions!J$145,MATCH($B$26,MWNuclearRetires,0),0)</f>
        <v>0</v>
      </c>
      <c r="M26" s="110">
        <f ca="1">OFFSET(Assumptions!K$145,MATCH($B$26,MWNuclearRetires,0),0)</f>
        <v>0</v>
      </c>
      <c r="N26" s="110">
        <f ca="1">OFFSET(Assumptions!L$145,MATCH($B$26,MWNuclearRetires,0),0)</f>
        <v>0</v>
      </c>
      <c r="O26" s="110">
        <f ca="1">OFFSET(Assumptions!M$145,MATCH($B$26,MWNuclearRetires,0),0)</f>
        <v>0</v>
      </c>
      <c r="P26" s="110">
        <f ca="1">OFFSET(Assumptions!N$145,MATCH($B$26,MWNuclearRetires,0),0)</f>
        <v>0</v>
      </c>
      <c r="Q26" s="110">
        <f ca="1">OFFSET(Assumptions!O$145,MATCH($B$26,MWNuclearRetires,0),0)</f>
        <v>0</v>
      </c>
      <c r="R26" s="110">
        <f ca="1">OFFSET(Assumptions!P$145,MATCH($B$26,MWNuclearRetires,0),0)</f>
        <v>0</v>
      </c>
      <c r="S26" s="110">
        <f ca="1">OFFSET(Assumptions!Q$145,MATCH($B$26,MWNuclearRetires,0),0)</f>
        <v>0</v>
      </c>
      <c r="T26" s="110">
        <f ca="1">OFFSET(Assumptions!R$145,MATCH($B$26,MWNuclearRetires,0),0)</f>
        <v>0</v>
      </c>
      <c r="U26" s="110">
        <f ca="1">OFFSET(Assumptions!S$145,MATCH($B$26,MWNuclearRetires,0),0)</f>
        <v>0</v>
      </c>
      <c r="V26" s="110">
        <f ca="1">OFFSET(Assumptions!T$145,MATCH($B$26,MWNuclearRetires,0),0)</f>
        <v>0</v>
      </c>
      <c r="W26" s="110">
        <f ca="1">OFFSET(Assumptions!U$145,MATCH($B$26,MWNuclearRetires,0),0)</f>
        <v>0</v>
      </c>
      <c r="X26" s="110">
        <f ca="1">OFFSET(Assumptions!V$145,MATCH($B$26,MWNuclearRetires,0),0)</f>
        <v>0</v>
      </c>
      <c r="Y26" s="110">
        <f ca="1">OFFSET(Assumptions!W$145,MATCH($B$26,MWNuclearRetires,0),0)</f>
        <v>0</v>
      </c>
      <c r="Z26" s="858"/>
    </row>
    <row r="27" spans="1:26" ht="15.75" thickBot="1">
      <c r="A27" s="120"/>
      <c r="B27" s="106" t="s">
        <v>0</v>
      </c>
      <c r="C27" s="104"/>
      <c r="D27" s="134" t="s">
        <v>4280</v>
      </c>
      <c r="E27" s="110">
        <f ca="1">OFFSET(Assumptions!C$148,MATCH($B$27,MWSolarWindRetires,0),0)</f>
        <v>0</v>
      </c>
      <c r="F27" s="110">
        <f ca="1">OFFSET(Assumptions!D$148,MATCH($B$27,MWSolarWindRetires,0),0)</f>
        <v>0</v>
      </c>
      <c r="G27" s="110">
        <f ca="1">OFFSET(Assumptions!E$148,MATCH($B$27,MWSolarWindRetires,0),0)</f>
        <v>0</v>
      </c>
      <c r="H27" s="110">
        <f ca="1">OFFSET(Assumptions!F$148,MATCH($B$27,MWSolarWindRetires,0),0)</f>
        <v>0</v>
      </c>
      <c r="I27" s="110">
        <f ca="1">OFFSET(Assumptions!G$148,MATCH($B$27,MWSolarWindRetires,0),0)</f>
        <v>0</v>
      </c>
      <c r="J27" s="110">
        <f ca="1">OFFSET(Assumptions!H$148,MATCH($B$27,MWSolarWindRetires,0),0)</f>
        <v>0</v>
      </c>
      <c r="K27" s="110">
        <f ca="1">OFFSET(Assumptions!I$148,MATCH($B$27,MWSolarWindRetires,0),0)</f>
        <v>0</v>
      </c>
      <c r="L27" s="110">
        <f ca="1">OFFSET(Assumptions!J$148,MATCH($B$27,MWSolarWindRetires,0),0)</f>
        <v>0</v>
      </c>
      <c r="M27" s="110">
        <f ca="1">OFFSET(Assumptions!K$148,MATCH($B$27,MWSolarWindRetires,0),0)</f>
        <v>0</v>
      </c>
      <c r="N27" s="110">
        <f ca="1">OFFSET(Assumptions!L$148,MATCH($B$27,MWSolarWindRetires,0),0)</f>
        <v>0</v>
      </c>
      <c r="O27" s="110">
        <f ca="1">OFFSET(Assumptions!M$148,MATCH($B$27,MWSolarWindRetires,0),0)</f>
        <v>0</v>
      </c>
      <c r="P27" s="110">
        <f ca="1">OFFSET(Assumptions!N$148,MATCH($B$27,MWSolarWindRetires,0),0)</f>
        <v>0</v>
      </c>
      <c r="Q27" s="110">
        <f ca="1">OFFSET(Assumptions!O$148,MATCH($B$27,MWSolarWindRetires,0),0)</f>
        <v>0</v>
      </c>
      <c r="R27" s="110">
        <f ca="1">OFFSET(Assumptions!P$148,MATCH($B$27,MWSolarWindRetires,0),0)</f>
        <v>0</v>
      </c>
      <c r="S27" s="110">
        <f ca="1">OFFSET(Assumptions!Q$148,MATCH($B$27,MWSolarWindRetires,0),0)</f>
        <v>0</v>
      </c>
      <c r="T27" s="110">
        <f ca="1">OFFSET(Assumptions!R$148,MATCH($B$27,MWSolarWindRetires,0),0)</f>
        <v>0</v>
      </c>
      <c r="U27" s="110">
        <f ca="1">OFFSET(Assumptions!S$148,MATCH($B$27,MWSolarWindRetires,0),0)</f>
        <v>0</v>
      </c>
      <c r="V27" s="110">
        <f ca="1">OFFSET(Assumptions!T$148,MATCH($B$27,MWSolarWindRetires,0),0)</f>
        <v>0</v>
      </c>
      <c r="W27" s="110">
        <f ca="1">OFFSET(Assumptions!U$148,MATCH($B$27,MWSolarWindRetires,0),0)</f>
        <v>0</v>
      </c>
      <c r="X27" s="110">
        <f ca="1">OFFSET(Assumptions!V$148,MATCH($B$27,MWSolarWindRetires,0),0)</f>
        <v>0</v>
      </c>
      <c r="Y27" s="110">
        <f ca="1">OFFSET(Assumptions!W$148,MATCH($B$27,MWSolarWindRetires,0),0)</f>
        <v>0</v>
      </c>
      <c r="Z27" s="858"/>
    </row>
    <row r="28" spans="1:26" ht="15.75" thickBot="1">
      <c r="A28" s="120"/>
      <c r="B28" s="106" t="s">
        <v>0</v>
      </c>
      <c r="C28" s="104"/>
      <c r="D28" s="209" t="s">
        <v>5200</v>
      </c>
      <c r="E28" s="110">
        <f ca="1">OFFSET(Assumptions!C$152,MATCH($B$28,MWGeothermBiomassRetires,0),0)</f>
        <v>0</v>
      </c>
      <c r="F28" s="110">
        <f ca="1">OFFSET(Assumptions!D$152,MATCH($B$28,MWGeothermBiomassRetires,0),0)</f>
        <v>0</v>
      </c>
      <c r="G28" s="110">
        <f ca="1">OFFSET(Assumptions!E$152,MATCH($B$28,MWGeothermBiomassRetires,0),0)</f>
        <v>0</v>
      </c>
      <c r="H28" s="110">
        <f ca="1">OFFSET(Assumptions!F$152,MATCH($B$28,MWGeothermBiomassRetires,0),0)</f>
        <v>0</v>
      </c>
      <c r="I28" s="110">
        <f ca="1">OFFSET(Assumptions!G$152,MATCH($B$28,MWGeothermBiomassRetires,0),0)</f>
        <v>0</v>
      </c>
      <c r="J28" s="110">
        <f ca="1">OFFSET(Assumptions!H$152,MATCH($B$28,MWGeothermBiomassRetires,0),0)</f>
        <v>0</v>
      </c>
      <c r="K28" s="110">
        <f ca="1">OFFSET(Assumptions!I$152,MATCH($B$28,MWGeothermBiomassRetires,0),0)</f>
        <v>0</v>
      </c>
      <c r="L28" s="110">
        <f ca="1">OFFSET(Assumptions!J$152,MATCH($B$28,MWGeothermBiomassRetires,0),0)</f>
        <v>0</v>
      </c>
      <c r="M28" s="110">
        <f ca="1">OFFSET(Assumptions!K$152,MATCH($B$28,MWGeothermBiomassRetires,0),0)</f>
        <v>0</v>
      </c>
      <c r="N28" s="110">
        <f ca="1">OFFSET(Assumptions!L$152,MATCH($B$28,MWGeothermBiomassRetires,0),0)</f>
        <v>0</v>
      </c>
      <c r="O28" s="110">
        <f ca="1">OFFSET(Assumptions!M$152,MATCH($B$28,MWGeothermBiomassRetires,0),0)</f>
        <v>0</v>
      </c>
      <c r="P28" s="110">
        <f ca="1">OFFSET(Assumptions!N$152,MATCH($B$28,MWGeothermBiomassRetires,0),0)</f>
        <v>0</v>
      </c>
      <c r="Q28" s="110">
        <f ca="1">OFFSET(Assumptions!O$152,MATCH($B$28,MWGeothermBiomassRetires,0),0)</f>
        <v>0</v>
      </c>
      <c r="R28" s="110">
        <f ca="1">OFFSET(Assumptions!P$152,MATCH($B$28,MWGeothermBiomassRetires,0),0)</f>
        <v>0</v>
      </c>
      <c r="S28" s="110">
        <f ca="1">OFFSET(Assumptions!Q$152,MATCH($B$28,MWGeothermBiomassRetires,0),0)</f>
        <v>0</v>
      </c>
      <c r="T28" s="110">
        <f ca="1">OFFSET(Assumptions!R$152,MATCH($B$28,MWGeothermBiomassRetires,0),0)</f>
        <v>0</v>
      </c>
      <c r="U28" s="110">
        <f ca="1">OFFSET(Assumptions!S$152,MATCH($B$28,MWGeothermBiomassRetires,0),0)</f>
        <v>0</v>
      </c>
      <c r="V28" s="110">
        <f ca="1">OFFSET(Assumptions!T$152,MATCH($B$28,MWGeothermBiomassRetires,0),0)</f>
        <v>0</v>
      </c>
      <c r="W28" s="110">
        <f ca="1">OFFSET(Assumptions!U$152,MATCH($B$28,MWGeothermBiomassRetires,0),0)</f>
        <v>0</v>
      </c>
      <c r="X28" s="110">
        <f ca="1">OFFSET(Assumptions!V$152,MATCH($B$28,MWGeothermBiomassRetires,0),0)</f>
        <v>0</v>
      </c>
      <c r="Y28" s="110">
        <f ca="1">OFFSET(Assumptions!W$152,MATCH($B$28,MWGeothermBiomassRetires,0),0)</f>
        <v>0</v>
      </c>
      <c r="Z28" s="858"/>
    </row>
    <row r="29" spans="1:26" ht="15.75" thickBot="1">
      <c r="A29" s="120"/>
      <c r="B29" s="106" t="s">
        <v>0</v>
      </c>
      <c r="C29" s="104"/>
      <c r="D29" s="135" t="s">
        <v>5199</v>
      </c>
      <c r="E29" s="110">
        <f ca="1">OFFSET(Assumptions!C$156,MATCH($B$29,MWHydroRetires,0),0)</f>
        <v>0</v>
      </c>
      <c r="F29" s="110">
        <f ca="1">OFFSET(Assumptions!D$156,MATCH($B$29,MWHydroRetires,0),0)</f>
        <v>0</v>
      </c>
      <c r="G29" s="110">
        <f ca="1">OFFSET(Assumptions!E$156,MATCH($B$29,MWHydroRetires,0),0)</f>
        <v>0</v>
      </c>
      <c r="H29" s="110">
        <f ca="1">OFFSET(Assumptions!F$156,MATCH($B$29,MWHydroRetires,0),0)</f>
        <v>0</v>
      </c>
      <c r="I29" s="110">
        <f ca="1">OFFSET(Assumptions!G$156,MATCH($B$29,MWHydroRetires,0),0)</f>
        <v>0</v>
      </c>
      <c r="J29" s="110">
        <f ca="1">OFFSET(Assumptions!H$156,MATCH($B$29,MWHydroRetires,0),0)</f>
        <v>0</v>
      </c>
      <c r="K29" s="110">
        <f ca="1">OFFSET(Assumptions!I$156,MATCH($B$29,MWHydroRetires,0),0)</f>
        <v>0</v>
      </c>
      <c r="L29" s="110">
        <f ca="1">OFFSET(Assumptions!J$156,MATCH($B$29,MWHydroRetires,0),0)</f>
        <v>0</v>
      </c>
      <c r="M29" s="110">
        <f ca="1">OFFSET(Assumptions!K$156,MATCH($B$29,MWHydroRetires,0),0)</f>
        <v>0</v>
      </c>
      <c r="N29" s="110">
        <f ca="1">OFFSET(Assumptions!L$156,MATCH($B$29,MWHydroRetires,0),0)</f>
        <v>0</v>
      </c>
      <c r="O29" s="110">
        <f ca="1">OFFSET(Assumptions!M$156,MATCH($B$29,MWHydroRetires,0),0)</f>
        <v>0</v>
      </c>
      <c r="P29" s="110">
        <f ca="1">OFFSET(Assumptions!N$156,MATCH($B$29,MWHydroRetires,0),0)</f>
        <v>0</v>
      </c>
      <c r="Q29" s="110">
        <f ca="1">OFFSET(Assumptions!O$156,MATCH($B$29,MWHydroRetires,0),0)</f>
        <v>0</v>
      </c>
      <c r="R29" s="110">
        <f ca="1">OFFSET(Assumptions!P$156,MATCH($B$29,MWHydroRetires,0),0)</f>
        <v>0</v>
      </c>
      <c r="S29" s="110">
        <f ca="1">OFFSET(Assumptions!Q$156,MATCH($B$29,MWHydroRetires,0),0)</f>
        <v>0</v>
      </c>
      <c r="T29" s="110">
        <f ca="1">OFFSET(Assumptions!R$156,MATCH($B$29,MWHydroRetires,0),0)</f>
        <v>0</v>
      </c>
      <c r="U29" s="110">
        <f ca="1">OFFSET(Assumptions!S$156,MATCH($B$29,MWHydroRetires,0),0)</f>
        <v>0</v>
      </c>
      <c r="V29" s="110">
        <f ca="1">OFFSET(Assumptions!T$156,MATCH($B$29,MWHydroRetires,0),0)</f>
        <v>0</v>
      </c>
      <c r="W29" s="110">
        <f ca="1">OFFSET(Assumptions!U$156,MATCH($B$29,MWHydroRetires,0),0)</f>
        <v>0</v>
      </c>
      <c r="X29" s="110">
        <f ca="1">OFFSET(Assumptions!V$156,MATCH($B$29,MWHydroRetires,0),0)</f>
        <v>0</v>
      </c>
      <c r="Y29" s="110">
        <f ca="1">OFFSET(Assumptions!W$156,MATCH($B$29,MWHydroRetires,0),0)</f>
        <v>0</v>
      </c>
      <c r="Z29" s="858"/>
    </row>
    <row r="30" spans="1:26" ht="15.75" thickBot="1">
      <c r="A30" s="120"/>
      <c r="B30" s="106" t="s">
        <v>7</v>
      </c>
      <c r="C30" s="104"/>
      <c r="D30" s="81" t="s">
        <v>5436</v>
      </c>
      <c r="E30" s="110">
        <f ca="1">OFFSET(Assumptions!C$160,MATCH($B$30,MWOtherRetires,0),0)</f>
        <v>1091.5</v>
      </c>
      <c r="F30" s="110">
        <f ca="1">OFFSET(Assumptions!D$160,MATCH($B$30,MWOtherRetires,0),0)</f>
        <v>1091.5</v>
      </c>
      <c r="G30" s="110">
        <f ca="1">OFFSET(Assumptions!E$160,MATCH($B$30,MWOtherRetires,0),0)</f>
        <v>1136.0999999999999</v>
      </c>
      <c r="H30" s="110">
        <f ca="1">OFFSET(Assumptions!F$160,MATCH($B$30,MWOtherRetires,0),0)</f>
        <v>1136.1300000000001</v>
      </c>
      <c r="I30" s="110">
        <f ca="1">OFFSET(Assumptions!G$160,MATCH($B$30,MWOtherRetires,0),0)</f>
        <v>1792.33</v>
      </c>
      <c r="J30" s="110">
        <f ca="1">OFFSET(Assumptions!H$160,MATCH($B$30,MWOtherRetires,0),0)</f>
        <v>1891.91</v>
      </c>
      <c r="K30" s="110">
        <f ca="1">OFFSET(Assumptions!I$160,MATCH($B$30,MWOtherRetires,0),0)</f>
        <v>1891.91</v>
      </c>
      <c r="L30" s="110">
        <f ca="1">OFFSET(Assumptions!J$160,MATCH($B$30,MWOtherRetires,0),0)</f>
        <v>1897.91</v>
      </c>
      <c r="M30" s="110">
        <f ca="1">OFFSET(Assumptions!K$160,MATCH($B$30,MWOtherRetires,0),0)</f>
        <v>1935.27</v>
      </c>
      <c r="N30" s="110">
        <f ca="1">OFFSET(Assumptions!L$160,MATCH($B$30,MWOtherRetires,0),0)</f>
        <v>1965.0800000000002</v>
      </c>
      <c r="O30" s="110">
        <f ca="1">OFFSET(Assumptions!M$160,MATCH($B$30,MWOtherRetires,0),0)</f>
        <v>2023.45</v>
      </c>
      <c r="P30" s="110">
        <f ca="1">OFFSET(Assumptions!N$160,MATCH($B$30,MWOtherRetires,0),0)</f>
        <v>2362.8200000000002</v>
      </c>
      <c r="Q30" s="110">
        <f ca="1">OFFSET(Assumptions!O$160,MATCH($B$30,MWOtherRetires,0),0)</f>
        <v>2519.23</v>
      </c>
      <c r="R30" s="110">
        <f ca="1">OFFSET(Assumptions!P$160,MATCH($B$30,MWOtherRetires,0),0)</f>
        <v>3243.16</v>
      </c>
      <c r="S30" s="110">
        <f ca="1">OFFSET(Assumptions!Q$160,MATCH($B$30,MWOtherRetires,0),0)</f>
        <v>3351.08</v>
      </c>
      <c r="T30" s="110">
        <f ca="1">OFFSET(Assumptions!R$160,MATCH($B$30,MWOtherRetires,0),0)</f>
        <v>4049.7400000000002</v>
      </c>
      <c r="U30" s="110">
        <f ca="1">OFFSET(Assumptions!S$160,MATCH($B$30,MWOtherRetires,0),0)</f>
        <v>4512.170000000001</v>
      </c>
      <c r="V30" s="110">
        <f ca="1">OFFSET(Assumptions!T$160,MATCH($B$30,MWOtherRetires,0),0)</f>
        <v>4733.4700000000012</v>
      </c>
      <c r="W30" s="110">
        <f ca="1">OFFSET(Assumptions!U$160,MATCH($B$30,MWOtherRetires,0),0)</f>
        <v>4735.1900000000005</v>
      </c>
      <c r="X30" s="110">
        <f ca="1">OFFSET(Assumptions!V$160,MATCH($B$30,MWOtherRetires,0),0)</f>
        <v>4736.5600000000004</v>
      </c>
      <c r="Y30" s="110">
        <f ca="1">OFFSET(Assumptions!W$160,MATCH($B$30,MWOtherRetires,0),0)</f>
        <v>4778.2700000000004</v>
      </c>
      <c r="Z30" s="858"/>
    </row>
    <row r="31" spans="1:26">
      <c r="A31" s="120"/>
      <c r="B31" s="160"/>
      <c r="C31" s="104"/>
      <c r="D31" s="79" t="s">
        <v>5435</v>
      </c>
      <c r="E31" s="94">
        <f ca="1">SUM(E11:E12)+SUM(E14:E15)+SUM(E19:E22)-E24</f>
        <v>65627.483848994176</v>
      </c>
      <c r="F31" s="94">
        <f t="shared" ref="F31:Y31" ca="1" si="23">SUM(F11:F12)+SUM(F14:F15)+SUM(F19:F22)-F24</f>
        <v>66869.868691835771</v>
      </c>
      <c r="G31" s="94">
        <f t="shared" ca="1" si="23"/>
        <v>68211.522643179502</v>
      </c>
      <c r="H31" s="94">
        <f t="shared" ca="1" si="23"/>
        <v>68490.757150675548</v>
      </c>
      <c r="I31" s="94">
        <f t="shared" ca="1" si="23"/>
        <v>63223.695152783141</v>
      </c>
      <c r="J31" s="94">
        <f t="shared" ca="1" si="23"/>
        <v>65733.896187561593</v>
      </c>
      <c r="K31" s="94">
        <f t="shared" ca="1" si="23"/>
        <v>66269.868436667457</v>
      </c>
      <c r="L31" s="94">
        <f t="shared" ca="1" si="23"/>
        <v>60540.800687403666</v>
      </c>
      <c r="M31" s="94">
        <f t="shared" ca="1" si="23"/>
        <v>60682.376794996308</v>
      </c>
      <c r="N31" s="94">
        <f t="shared" ca="1" si="23"/>
        <v>60850.444520677833</v>
      </c>
      <c r="O31" s="94">
        <f t="shared" ca="1" si="23"/>
        <v>60906.137020677837</v>
      </c>
      <c r="P31" s="94">
        <f t="shared" ca="1" si="23"/>
        <v>60626.169890512618</v>
      </c>
      <c r="Q31" s="94">
        <f t="shared" ca="1" si="23"/>
        <v>60529.162760347404</v>
      </c>
      <c r="R31" s="94">
        <f t="shared" ca="1" si="23"/>
        <v>59864.635630182165</v>
      </c>
      <c r="S31" s="94">
        <f t="shared" ca="1" si="23"/>
        <v>59816.118500016935</v>
      </c>
      <c r="T31" s="94">
        <f t="shared" ca="1" si="23"/>
        <v>59176.861369851707</v>
      </c>
      <c r="U31" s="94">
        <f t="shared" ca="1" si="23"/>
        <v>58773.83423968649</v>
      </c>
      <c r="V31" s="94">
        <f t="shared" ca="1" si="23"/>
        <v>58611.937109521255</v>
      </c>
      <c r="W31" s="94">
        <f t="shared" ca="1" si="23"/>
        <v>58669.619979356037</v>
      </c>
      <c r="X31" s="94">
        <f t="shared" ca="1" si="23"/>
        <v>58727.65284919081</v>
      </c>
      <c r="Y31" s="94">
        <f t="shared" ca="1" si="23"/>
        <v>58745.345719025572</v>
      </c>
      <c r="Z31" s="860"/>
    </row>
    <row r="32" spans="1:26">
      <c r="A32" s="120"/>
      <c r="B32" s="160"/>
      <c r="C32" s="104"/>
      <c r="D32" s="71"/>
      <c r="E32" s="110"/>
      <c r="F32" s="110"/>
      <c r="G32" s="123"/>
      <c r="H32" s="111"/>
      <c r="I32" s="123"/>
      <c r="J32" s="111"/>
      <c r="K32" s="123"/>
      <c r="L32" s="111"/>
      <c r="M32" s="123"/>
      <c r="N32" s="111"/>
      <c r="O32" s="123"/>
      <c r="P32" s="111"/>
      <c r="Q32" s="123"/>
      <c r="R32" s="111"/>
      <c r="S32" s="123"/>
      <c r="T32" s="111"/>
      <c r="U32" s="123"/>
      <c r="V32" s="111"/>
      <c r="W32" s="123"/>
      <c r="X32" s="111"/>
      <c r="Y32" s="110"/>
      <c r="Z32" s="858"/>
    </row>
    <row r="33" spans="1:26">
      <c r="A33" s="120"/>
      <c r="B33" s="160"/>
      <c r="C33" s="104"/>
      <c r="D33" s="72"/>
      <c r="E33" s="74"/>
      <c r="F33" s="74"/>
      <c r="G33" s="124"/>
      <c r="H33" s="73"/>
      <c r="I33" s="124"/>
      <c r="J33" s="73"/>
      <c r="K33" s="124"/>
      <c r="L33" s="73"/>
      <c r="M33" s="124"/>
      <c r="N33" s="73"/>
      <c r="O33" s="124"/>
      <c r="P33" s="73"/>
      <c r="Q33" s="124"/>
      <c r="R33" s="73"/>
      <c r="S33" s="124"/>
      <c r="T33" s="73"/>
      <c r="U33" s="124"/>
      <c r="V33" s="73"/>
      <c r="W33" s="124"/>
      <c r="X33" s="73"/>
      <c r="Y33" s="74"/>
      <c r="Z33" s="858"/>
    </row>
    <row r="34" spans="1:26">
      <c r="A34" s="120"/>
      <c r="B34" s="160"/>
      <c r="C34" s="104"/>
      <c r="D34" s="71"/>
      <c r="E34" s="110"/>
      <c r="F34" s="110"/>
      <c r="G34" s="123"/>
      <c r="H34" s="111"/>
      <c r="I34" s="123"/>
      <c r="J34" s="111"/>
      <c r="K34" s="123"/>
      <c r="L34" s="111"/>
      <c r="M34" s="123"/>
      <c r="N34" s="111"/>
      <c r="O34" s="123"/>
      <c r="P34" s="111"/>
      <c r="Q34" s="123"/>
      <c r="R34" s="111"/>
      <c r="S34" s="123"/>
      <c r="T34" s="111"/>
      <c r="U34" s="123"/>
      <c r="V34" s="111"/>
      <c r="W34" s="123"/>
      <c r="X34" s="111"/>
      <c r="Y34" s="110"/>
      <c r="Z34" s="858"/>
    </row>
    <row r="35" spans="1:26">
      <c r="A35" s="120"/>
      <c r="B35" s="160"/>
      <c r="C35" s="104"/>
      <c r="D35" s="166" t="s">
        <v>4304</v>
      </c>
      <c r="E35" s="110"/>
      <c r="F35" s="110"/>
      <c r="G35" s="123"/>
      <c r="H35" s="111"/>
      <c r="I35" s="123"/>
      <c r="J35" s="111"/>
      <c r="K35" s="123"/>
      <c r="L35" s="111"/>
      <c r="M35" s="123"/>
      <c r="N35" s="111"/>
      <c r="O35" s="123"/>
      <c r="P35" s="111"/>
      <c r="Q35" s="123"/>
      <c r="R35" s="111"/>
      <c r="S35" s="123"/>
      <c r="T35" s="111"/>
      <c r="U35" s="123"/>
      <c r="V35" s="111"/>
      <c r="W35" s="123"/>
      <c r="X35" s="111"/>
      <c r="Y35" s="110"/>
      <c r="Z35" s="858"/>
    </row>
    <row r="36" spans="1:26">
      <c r="A36" s="120"/>
      <c r="B36" s="161" t="str">
        <f>B4</f>
        <v>Mid :  1-in-2</v>
      </c>
      <c r="C36" s="104"/>
      <c r="D36" s="77" t="s">
        <v>4311</v>
      </c>
      <c r="E36" s="110">
        <f ca="1">OFFSET(Assumptions!C$26,MATCH($B$36,GWhLoad,0),0)</f>
        <v>235038</v>
      </c>
      <c r="F36" s="110">
        <f ca="1">OFFSET(Assumptions!D$26,MATCH($B$36,GWhLoad,0),0)</f>
        <v>237816</v>
      </c>
      <c r="G36" s="110">
        <f ca="1">OFFSET(Assumptions!E$26,MATCH($B$36,GWhLoad,0),0)</f>
        <v>240228</v>
      </c>
      <c r="H36" s="110">
        <f ca="1">OFFSET(Assumptions!F$26,MATCH($B$36,GWhLoad,0),0)</f>
        <v>243025</v>
      </c>
      <c r="I36" s="110">
        <f ca="1">OFFSET(Assumptions!G$26,MATCH($B$36,GWhLoad,0),0)</f>
        <v>245557</v>
      </c>
      <c r="J36" s="110">
        <f ca="1">OFFSET(Assumptions!H$26,MATCH($B$36,GWhLoad,0),0)</f>
        <v>248748</v>
      </c>
      <c r="K36" s="110">
        <f ca="1">OFFSET(Assumptions!I$26,MATCH($B$36,GWhLoad,0),0)</f>
        <v>251957</v>
      </c>
      <c r="L36" s="110">
        <f ca="1">OFFSET(Assumptions!J$26,MATCH($B$36,GWhLoad,0),0)</f>
        <v>255122</v>
      </c>
      <c r="M36" s="110">
        <f ca="1">OFFSET(Assumptions!K$26,MATCH($B$36,GWhLoad,0),0)</f>
        <v>258271</v>
      </c>
      <c r="N36" s="110">
        <f ca="1">OFFSET(Assumptions!L$26,MATCH($B$36,GWhLoad,0),0)</f>
        <v>261107</v>
      </c>
      <c r="O36" s="110">
        <f ca="1">OFFSET(Assumptions!M$26,MATCH($B$36,GWhLoad,0),0)</f>
        <v>263751</v>
      </c>
      <c r="P36" s="110"/>
      <c r="Q36" s="110"/>
      <c r="R36" s="110"/>
      <c r="S36" s="110"/>
      <c r="T36" s="110"/>
      <c r="U36" s="110"/>
      <c r="V36" s="110"/>
      <c r="W36" s="110"/>
      <c r="X36" s="110"/>
      <c r="Y36" s="110"/>
      <c r="Z36" s="858"/>
    </row>
    <row r="37" spans="1:26">
      <c r="A37" s="120"/>
      <c r="B37" s="161" t="str">
        <f>B5</f>
        <v xml:space="preserve">   Mid AAEE</v>
      </c>
      <c r="C37" s="104"/>
      <c r="D37" s="89" t="s">
        <v>5205</v>
      </c>
      <c r="E37" s="110">
        <f ca="1">E36-E38</f>
        <v>1005.6509028677247</v>
      </c>
      <c r="F37" s="110">
        <f t="shared" ref="F37:O37" ca="1" si="24">F36-F38</f>
        <v>3095.9199545315932</v>
      </c>
      <c r="G37" s="110">
        <f t="shared" ca="1" si="24"/>
        <v>5553.3673033278028</v>
      </c>
      <c r="H37" s="110">
        <f t="shared" ca="1" si="24"/>
        <v>7903.2656717551872</v>
      </c>
      <c r="I37" s="110">
        <f t="shared" ca="1" si="24"/>
        <v>9889.4981647994719</v>
      </c>
      <c r="J37" s="110">
        <f t="shared" ca="1" si="24"/>
        <v>12001.355195079494</v>
      </c>
      <c r="K37" s="110">
        <f t="shared" ca="1" si="24"/>
        <v>13887.825612606481</v>
      </c>
      <c r="L37" s="110">
        <f t="shared" ca="1" si="24"/>
        <v>15912.883918186242</v>
      </c>
      <c r="M37" s="110">
        <f t="shared" ca="1" si="24"/>
        <v>18011.915060914354</v>
      </c>
      <c r="N37" s="110">
        <f t="shared" ca="1" si="24"/>
        <v>20279.388515753206</v>
      </c>
      <c r="O37" s="110">
        <f t="shared" ca="1" si="24"/>
        <v>22564.764036470209</v>
      </c>
      <c r="P37" s="110"/>
      <c r="Q37" s="110"/>
      <c r="R37" s="110"/>
      <c r="S37" s="110"/>
      <c r="T37" s="110"/>
      <c r="U37" s="110"/>
      <c r="V37" s="110"/>
      <c r="W37" s="110"/>
      <c r="X37" s="110"/>
      <c r="Y37" s="110"/>
      <c r="Z37" s="858"/>
    </row>
    <row r="38" spans="1:26">
      <c r="A38" s="120"/>
      <c r="B38" s="161" t="str">
        <f>B6</f>
        <v>Mid :  1-in-2 -    Mid AAEE</v>
      </c>
      <c r="C38" s="104"/>
      <c r="D38" s="91" t="s">
        <v>4349</v>
      </c>
      <c r="E38" s="112">
        <f ca="1">OFFSET(Assumptions!C$34,MATCH($B$38,GWhLoadAAEE,0),0)</f>
        <v>234032.34909713228</v>
      </c>
      <c r="F38" s="112">
        <f ca="1">OFFSET(Assumptions!D$34,MATCH($B$38,GWhLoadAAEE,0),0)</f>
        <v>234720.08004546841</v>
      </c>
      <c r="G38" s="112">
        <f ca="1">OFFSET(Assumptions!E$34,MATCH($B$38,GWhLoadAAEE,0),0)</f>
        <v>234674.6326966722</v>
      </c>
      <c r="H38" s="112">
        <f ca="1">OFFSET(Assumptions!F$34,MATCH($B$38,GWhLoadAAEE,0),0)</f>
        <v>235121.73432824481</v>
      </c>
      <c r="I38" s="112">
        <f ca="1">OFFSET(Assumptions!G$34,MATCH($B$38,GWhLoadAAEE,0),0)</f>
        <v>235667.50183520053</v>
      </c>
      <c r="J38" s="112">
        <f ca="1">OFFSET(Assumptions!H$34,MATCH($B$38,GWhLoadAAEE,0),0)</f>
        <v>236746.64480492051</v>
      </c>
      <c r="K38" s="112">
        <f ca="1">OFFSET(Assumptions!I$34,MATCH($B$38,GWhLoadAAEE,0),0)</f>
        <v>238069.17438739352</v>
      </c>
      <c r="L38" s="112">
        <f ca="1">OFFSET(Assumptions!J$34,MATCH($B$38,GWhLoadAAEE,0),0)</f>
        <v>239209.11608181376</v>
      </c>
      <c r="M38" s="112">
        <f ca="1">OFFSET(Assumptions!K$34,MATCH($B$38,GWhLoadAAEE,0),0)</f>
        <v>240259.08493908565</v>
      </c>
      <c r="N38" s="112">
        <f ca="1">OFFSET(Assumptions!L$34,MATCH($B$38,GWhLoadAAEE,0),0)</f>
        <v>240827.61148424679</v>
      </c>
      <c r="O38" s="112">
        <f ca="1">OFFSET(Assumptions!M$34,MATCH($B$38,GWhLoadAAEE,0),0)</f>
        <v>241186.23596352979</v>
      </c>
      <c r="P38" s="112">
        <f t="shared" ref="P38:Y38" ca="1" si="25">O38*(1+$O$39)</f>
        <v>241913.54330540181</v>
      </c>
      <c r="Q38" s="112">
        <f t="shared" ca="1" si="25"/>
        <v>242643.04387346448</v>
      </c>
      <c r="R38" s="112">
        <f t="shared" ca="1" si="25"/>
        <v>243374.74428148457</v>
      </c>
      <c r="S38" s="112">
        <f t="shared" ca="1" si="25"/>
        <v>244108.65116317294</v>
      </c>
      <c r="T38" s="112">
        <f t="shared" ca="1" si="25"/>
        <v>244844.77117224468</v>
      </c>
      <c r="U38" s="112">
        <f t="shared" ca="1" si="25"/>
        <v>245583.11098247944</v>
      </c>
      <c r="V38" s="112">
        <f t="shared" ca="1" si="25"/>
        <v>246323.67728778193</v>
      </c>
      <c r="W38" s="112">
        <f t="shared" ca="1" si="25"/>
        <v>247066.47680224266</v>
      </c>
      <c r="X38" s="112">
        <f t="shared" ca="1" si="25"/>
        <v>247811.5162601987</v>
      </c>
      <c r="Y38" s="112">
        <f t="shared" ca="1" si="25"/>
        <v>248558.80241629481</v>
      </c>
      <c r="Z38" s="858"/>
    </row>
    <row r="39" spans="1:26">
      <c r="A39" s="120"/>
      <c r="B39" s="160"/>
      <c r="C39" s="104"/>
      <c r="D39" s="133"/>
      <c r="E39" s="110"/>
      <c r="F39" s="110"/>
      <c r="G39" s="123"/>
      <c r="H39" s="111"/>
      <c r="I39" s="123"/>
      <c r="J39" s="111"/>
      <c r="K39" s="123"/>
      <c r="L39" s="111"/>
      <c r="M39" s="123"/>
      <c r="N39" s="111"/>
      <c r="O39" s="122">
        <f ca="1">((O38/E38)^(1/10)-1)</f>
        <v>3.015542487184053E-3</v>
      </c>
      <c r="P39" s="111"/>
      <c r="Q39" s="123"/>
      <c r="R39" s="111"/>
      <c r="S39" s="123"/>
      <c r="T39" s="111"/>
      <c r="U39" s="123"/>
      <c r="V39" s="111"/>
      <c r="W39" s="123"/>
      <c r="X39" s="111"/>
      <c r="Y39" s="110"/>
      <c r="Z39" s="858"/>
    </row>
    <row r="40" spans="1:26">
      <c r="A40" s="120"/>
      <c r="B40" s="160"/>
      <c r="C40" s="104"/>
      <c r="D40" s="219" t="s">
        <v>4375</v>
      </c>
      <c r="E40" s="110"/>
      <c r="F40" s="110"/>
      <c r="G40" s="123"/>
      <c r="H40" s="111"/>
      <c r="I40" s="123"/>
      <c r="J40" s="111"/>
      <c r="K40" s="123"/>
      <c r="L40" s="111"/>
      <c r="M40" s="123"/>
      <c r="N40" s="111"/>
      <c r="O40" s="122"/>
      <c r="P40" s="111"/>
      <c r="Q40" s="123"/>
      <c r="R40" s="111"/>
      <c r="S40" s="123"/>
      <c r="T40" s="111"/>
      <c r="U40" s="123"/>
      <c r="V40" s="111"/>
      <c r="W40" s="123"/>
      <c r="X40" s="111"/>
      <c r="Y40" s="110"/>
      <c r="Z40" s="858"/>
    </row>
    <row r="41" spans="1:26">
      <c r="A41" s="120"/>
      <c r="B41" s="161" t="str">
        <f>IF(IFERROR(SEARCH("High",B4),0),Assumptions!B51,Assumptions!B50)</f>
        <v>Mid</v>
      </c>
      <c r="C41" s="104"/>
      <c r="D41" s="220" t="s">
        <v>4376</v>
      </c>
      <c r="E41" s="110">
        <f ca="1">OFFSET(Assumptions!C$49,MATCH($B$41,GWhTotalSales,0),0)</f>
        <v>267682</v>
      </c>
      <c r="F41" s="110">
        <f ca="1">OFFSET(Assumptions!D$49,MATCH($B$41,GWhTotalSales,0),0)</f>
        <v>270795</v>
      </c>
      <c r="G41" s="110">
        <f ca="1">OFFSET(Assumptions!E$49,MATCH($B$41,GWhTotalSales,0),0)</f>
        <v>273493</v>
      </c>
      <c r="H41" s="110">
        <f ca="1">OFFSET(Assumptions!F$49,MATCH($B$41,GWhTotalSales,0),0)</f>
        <v>276627</v>
      </c>
      <c r="I41" s="110">
        <f ca="1">OFFSET(Assumptions!G$49,MATCH($B$41,GWhTotalSales,0),0)</f>
        <v>279456</v>
      </c>
      <c r="J41" s="110">
        <f ca="1">OFFSET(Assumptions!H$49,MATCH($B$41,GWhTotalSales,0),0)</f>
        <v>283107</v>
      </c>
      <c r="K41" s="110">
        <f ca="1">OFFSET(Assumptions!I$49,MATCH($B$41,GWhTotalSales,0),0)</f>
        <v>286858</v>
      </c>
      <c r="L41" s="110">
        <f ca="1">OFFSET(Assumptions!J$49,MATCH($B$41,GWhTotalSales,0),0)</f>
        <v>290466</v>
      </c>
      <c r="M41" s="110">
        <f ca="1">OFFSET(Assumptions!K$49,MATCH($B$41,GWhTotalSales,0),0)</f>
        <v>294119</v>
      </c>
      <c r="N41" s="110">
        <f ca="1">OFFSET(Assumptions!L$49,MATCH($B$41,GWhTotalSales,0),0)</f>
        <v>297413</v>
      </c>
      <c r="O41" s="110">
        <f ca="1">OFFSET(Assumptions!M$49,MATCH($B$41,GWhTotalSales,0),0)</f>
        <v>300516</v>
      </c>
      <c r="P41" s="111"/>
      <c r="Q41" s="123"/>
      <c r="R41" s="111"/>
      <c r="S41" s="123"/>
      <c r="T41" s="111"/>
      <c r="U41" s="123"/>
      <c r="V41" s="111"/>
      <c r="W41" s="123"/>
      <c r="X41" s="111"/>
      <c r="Y41" s="110"/>
      <c r="Z41" s="858"/>
    </row>
    <row r="42" spans="1:26">
      <c r="A42" s="120"/>
      <c r="B42" s="161" t="str">
        <f>IF(IFERROR(SEARCH("High",B4),0),Assumptions!B54,Assumptions!B53)</f>
        <v>Mid</v>
      </c>
      <c r="C42" s="104"/>
      <c r="D42" s="221" t="s">
        <v>4377</v>
      </c>
      <c r="E42" s="110">
        <f ca="1">OFFSET(Assumptions!C$52,MATCH($B$42,GWhPumpedLoad,0),0)</f>
        <v>9228</v>
      </c>
      <c r="F42" s="110">
        <f ca="1">OFFSET(Assumptions!D$52,MATCH($B$42,GWhPumpedLoad,0),0)</f>
        <v>9223</v>
      </c>
      <c r="G42" s="110">
        <f ca="1">OFFSET(Assumptions!E$52,MATCH($B$42,GWhPumpedLoad,0),0)</f>
        <v>9218</v>
      </c>
      <c r="H42" s="110">
        <f ca="1">OFFSET(Assumptions!F$52,MATCH($B$42,GWhPumpedLoad,0),0)</f>
        <v>9227</v>
      </c>
      <c r="I42" s="110">
        <f ca="1">OFFSET(Assumptions!G$52,MATCH($B$42,GWhPumpedLoad,0),0)</f>
        <v>9233</v>
      </c>
      <c r="J42" s="110">
        <f ca="1">OFFSET(Assumptions!H$52,MATCH($B$42,GWhPumpedLoad,0),0)</f>
        <v>9239</v>
      </c>
      <c r="K42" s="110">
        <f ca="1">OFFSET(Assumptions!I$52,MATCH($B$42,GWhPumpedLoad,0),0)</f>
        <v>9244</v>
      </c>
      <c r="L42" s="110">
        <f ca="1">OFFSET(Assumptions!J$52,MATCH($B$42,GWhPumpedLoad,0),0)</f>
        <v>9252</v>
      </c>
      <c r="M42" s="110">
        <f ca="1">OFFSET(Assumptions!K$52,MATCH($B$42,GWhPumpedLoad,0),0)</f>
        <v>9259</v>
      </c>
      <c r="N42" s="110">
        <f ca="1">OFFSET(Assumptions!L$52,MATCH($B$42,GWhPumpedLoad,0),0)</f>
        <v>9265</v>
      </c>
      <c r="O42" s="110">
        <f ca="1">OFFSET(Assumptions!M$52,MATCH($B$42,GWhPumpedLoad,0),0)</f>
        <v>9272</v>
      </c>
      <c r="P42" s="111"/>
      <c r="Q42" s="123"/>
      <c r="R42" s="111"/>
      <c r="S42" s="123"/>
      <c r="T42" s="111"/>
      <c r="U42" s="123"/>
      <c r="V42" s="111"/>
      <c r="W42" s="123"/>
      <c r="X42" s="111"/>
      <c r="Y42" s="110"/>
      <c r="Z42" s="858"/>
    </row>
    <row r="43" spans="1:26">
      <c r="A43" s="120"/>
      <c r="B43" s="161" t="str">
        <f>B5</f>
        <v xml:space="preserve">   Mid AAEE</v>
      </c>
      <c r="C43" s="104"/>
      <c r="D43" s="221" t="s">
        <v>4694</v>
      </c>
      <c r="E43" s="110">
        <f ca="1">OFFSET(Assumptions!C$58,MATCH($B$43,GWhIncEE,0),0)</f>
        <v>931.15886819940556</v>
      </c>
      <c r="F43" s="110">
        <f ca="1">OFFSET(Assumptions!D$58,MATCH($B$43,GWhIncEE,0),0)</f>
        <v>2867.5320209017432</v>
      </c>
      <c r="G43" s="110">
        <f ca="1">OFFSET(Assumptions!E$58,MATCH($B$43,GWhIncEE,0),0)</f>
        <v>5143.7679280182992</v>
      </c>
      <c r="H43" s="110">
        <f ca="1">OFFSET(Assumptions!F$58,MATCH($B$43,GWhIncEE,0),0)</f>
        <v>7320.0617910192341</v>
      </c>
      <c r="I43" s="110">
        <f ca="1">OFFSET(Assumptions!G$58,MATCH($B$43,GWhIncEE,0),0)</f>
        <v>9158.3135902022423</v>
      </c>
      <c r="J43" s="110">
        <f ca="1">OFFSET(Assumptions!H$58,MATCH($B$43,GWhIncEE,0),0)</f>
        <v>11112.054223595758</v>
      </c>
      <c r="K43" s="110">
        <f ca="1">OFFSET(Assumptions!I$58,MATCH($B$43,GWhIncEE,0),0)</f>
        <v>12857.404525005972</v>
      </c>
      <c r="L43" s="110">
        <f ca="1">OFFSET(Assumptions!J$58,MATCH($B$43,GWhIncEE,0),0)</f>
        <v>14731.096281875754</v>
      </c>
      <c r="M43" s="110">
        <f ca="1">OFFSET(Assumptions!K$58,MATCH($B$43,GWhIncEE,0),0)</f>
        <v>16672.842083149841</v>
      </c>
      <c r="N43" s="110">
        <f ca="1">OFFSET(Assumptions!L$58,MATCH($B$43,GWhIncEE,0),0)</f>
        <v>18770.56718970224</v>
      </c>
      <c r="O43" s="110">
        <f ca="1">OFFSET(Assumptions!M$58,MATCH($B$43,GWhIncEE,0),0)</f>
        <v>20885.066236255039</v>
      </c>
      <c r="P43" s="111"/>
      <c r="Q43" s="123"/>
      <c r="R43" s="111"/>
      <c r="S43" s="123"/>
      <c r="T43" s="111"/>
      <c r="U43" s="123"/>
      <c r="V43" s="111"/>
      <c r="W43" s="123"/>
      <c r="X43" s="111"/>
      <c r="Y43" s="110"/>
      <c r="Z43" s="858"/>
    </row>
    <row r="44" spans="1:26">
      <c r="A44" s="120"/>
      <c r="B44" s="161" t="str">
        <f>B11</f>
        <v>None</v>
      </c>
      <c r="C44" s="104"/>
      <c r="D44" s="221" t="s">
        <v>4695</v>
      </c>
      <c r="E44" s="110">
        <f ca="1">OFFSET(Assumptions!C$72,MATCH($B$11,GWhIncSmPV,0),0)</f>
        <v>0</v>
      </c>
      <c r="F44" s="110">
        <f ca="1">OFFSET(Assumptions!D$72,MATCH($B$11,GWhIncSmPV,0),0)</f>
        <v>0</v>
      </c>
      <c r="G44" s="110">
        <f ca="1">OFFSET(Assumptions!E$72,MATCH($B$11,GWhIncSmPV,0),0)</f>
        <v>0</v>
      </c>
      <c r="H44" s="110">
        <f ca="1">OFFSET(Assumptions!F$72,MATCH($B$11,GWhIncSmPV,0),0)</f>
        <v>0</v>
      </c>
      <c r="I44" s="110">
        <f ca="1">OFFSET(Assumptions!G$72,MATCH($B$11,GWhIncSmPV,0),0)</f>
        <v>0</v>
      </c>
      <c r="J44" s="110">
        <f ca="1">OFFSET(Assumptions!H$72,MATCH($B$11,GWhIncSmPV,0),0)</f>
        <v>0</v>
      </c>
      <c r="K44" s="110">
        <f ca="1">OFFSET(Assumptions!I$72,MATCH($B$11,GWhIncSmPV,0),0)</f>
        <v>0</v>
      </c>
      <c r="L44" s="110">
        <f ca="1">OFFSET(Assumptions!J$72,MATCH($B$11,GWhIncSmPV,0),0)</f>
        <v>0</v>
      </c>
      <c r="M44" s="110">
        <f ca="1">OFFSET(Assumptions!K$72,MATCH($B$11,GWhIncSmPV,0),0)</f>
        <v>0</v>
      </c>
      <c r="N44" s="110">
        <f ca="1">OFFSET(Assumptions!L$72,MATCH($B$11,GWhIncSmPV,0),0)</f>
        <v>0</v>
      </c>
      <c r="O44" s="110">
        <f ca="1">OFFSET(Assumptions!M$72,MATCH($B$11,GWhIncSmPV,0),0)</f>
        <v>0</v>
      </c>
      <c r="P44" s="111"/>
      <c r="Q44" s="123"/>
      <c r="R44" s="111"/>
      <c r="S44" s="123"/>
      <c r="T44" s="111"/>
      <c r="U44" s="123"/>
      <c r="V44" s="111"/>
      <c r="W44" s="123"/>
      <c r="X44" s="111"/>
      <c r="Y44" s="110"/>
      <c r="Z44" s="858"/>
    </row>
    <row r="45" spans="1:26">
      <c r="A45" s="120"/>
      <c r="B45" s="161" t="str">
        <f>B12</f>
        <v>None</v>
      </c>
      <c r="C45" s="104"/>
      <c r="D45" s="221" t="s">
        <v>5273</v>
      </c>
      <c r="E45" s="110">
        <f ca="1">OFFSET(Assumptions!C$82,MATCH($B$12,GWhIncDCHP,0),0)</f>
        <v>0</v>
      </c>
      <c r="F45" s="110">
        <f ca="1">OFFSET(Assumptions!D$82,MATCH($B$12,GWhIncDCHP,0),0)</f>
        <v>0</v>
      </c>
      <c r="G45" s="110">
        <f ca="1">OFFSET(Assumptions!E$82,MATCH($B$12,GWhIncDCHP,0),0)</f>
        <v>0</v>
      </c>
      <c r="H45" s="110">
        <f ca="1">OFFSET(Assumptions!F$82,MATCH($B$12,GWhIncDCHP,0),0)</f>
        <v>0</v>
      </c>
      <c r="I45" s="110">
        <f ca="1">OFFSET(Assumptions!G$82,MATCH($B$12,GWhIncDCHP,0),0)</f>
        <v>0</v>
      </c>
      <c r="J45" s="110">
        <f ca="1">OFFSET(Assumptions!H$82,MATCH($B$12,GWhIncDCHP,0),0)</f>
        <v>0</v>
      </c>
      <c r="K45" s="110">
        <f ca="1">OFFSET(Assumptions!I$82,MATCH($B$12,GWhIncDCHP,0),0)</f>
        <v>0</v>
      </c>
      <c r="L45" s="110">
        <f ca="1">OFFSET(Assumptions!J$82,MATCH($B$12,GWhIncDCHP,0),0)</f>
        <v>0</v>
      </c>
      <c r="M45" s="110">
        <f ca="1">OFFSET(Assumptions!K$82,MATCH($B$12,GWhIncDCHP,0),0)</f>
        <v>0</v>
      </c>
      <c r="N45" s="110">
        <f ca="1">OFFSET(Assumptions!L$82,MATCH($B$12,GWhIncDCHP,0),0)</f>
        <v>0</v>
      </c>
      <c r="O45" s="110">
        <f ca="1">OFFSET(Assumptions!M$82,MATCH($B$12,GWhIncDCHP,0),0)</f>
        <v>0</v>
      </c>
      <c r="P45" s="111"/>
      <c r="Q45" s="123"/>
      <c r="R45" s="111"/>
      <c r="S45" s="123"/>
      <c r="T45" s="111"/>
      <c r="U45" s="123"/>
      <c r="V45" s="111"/>
      <c r="W45" s="123"/>
      <c r="X45" s="111"/>
      <c r="Y45" s="110"/>
      <c r="Z45" s="858"/>
    </row>
    <row r="46" spans="1:26">
      <c r="A46" s="120"/>
      <c r="B46" s="160"/>
      <c r="C46" s="104"/>
      <c r="D46" s="221" t="s">
        <v>4696</v>
      </c>
      <c r="E46" s="240">
        <f>Assumptions!C64</f>
        <v>1447.7000000000003</v>
      </c>
      <c r="F46" s="240">
        <f>Assumptions!D64</f>
        <v>1694.1800000000003</v>
      </c>
      <c r="G46" s="240">
        <f>Assumptions!E64</f>
        <v>1940.8000000000002</v>
      </c>
      <c r="H46" s="240">
        <f>Assumptions!F64</f>
        <v>2187.3500000000004</v>
      </c>
      <c r="I46" s="240">
        <f>Assumptions!G64</f>
        <v>2433.9000000000005</v>
      </c>
      <c r="J46" s="240">
        <f>Assumptions!H64</f>
        <v>2680.45</v>
      </c>
      <c r="K46" s="240">
        <f>Assumptions!I64</f>
        <v>2927</v>
      </c>
      <c r="L46" s="240">
        <f>Assumptions!J64</f>
        <v>3173.55</v>
      </c>
      <c r="M46" s="240">
        <f>Assumptions!K64</f>
        <v>3420</v>
      </c>
      <c r="N46" s="240">
        <f>Assumptions!L64</f>
        <v>3420</v>
      </c>
      <c r="O46" s="240">
        <f>Assumptions!M64</f>
        <v>3420</v>
      </c>
      <c r="P46" s="111"/>
      <c r="Q46" s="123"/>
      <c r="R46" s="111"/>
      <c r="S46" s="123"/>
      <c r="T46" s="111"/>
      <c r="U46" s="123"/>
      <c r="V46" s="111"/>
      <c r="W46" s="123"/>
      <c r="X46" s="111"/>
      <c r="Y46" s="110"/>
      <c r="Z46" s="858"/>
    </row>
    <row r="47" spans="1:26">
      <c r="A47" s="120"/>
      <c r="B47" s="160"/>
      <c r="C47" s="104"/>
      <c r="D47" s="220" t="s">
        <v>4378</v>
      </c>
      <c r="E47" s="110">
        <f ca="1">E41-SUM(E42:E46)</f>
        <v>256075.1411318006</v>
      </c>
      <c r="F47" s="110">
        <f t="shared" ref="F47:O47" ca="1" si="26">F41-SUM(F42:F46)</f>
        <v>257010.28797909827</v>
      </c>
      <c r="G47" s="110">
        <f t="shared" ca="1" si="26"/>
        <v>257190.43207198169</v>
      </c>
      <c r="H47" s="110">
        <f t="shared" ca="1" si="26"/>
        <v>257892.58820898077</v>
      </c>
      <c r="I47" s="110">
        <f t="shared" ca="1" si="26"/>
        <v>258630.78640979776</v>
      </c>
      <c r="J47" s="110">
        <f t="shared" ca="1" si="26"/>
        <v>260075.49577640425</v>
      </c>
      <c r="K47" s="110">
        <f t="shared" ca="1" si="26"/>
        <v>261829.59547499404</v>
      </c>
      <c r="L47" s="110">
        <f t="shared" ca="1" si="26"/>
        <v>263309.35371812427</v>
      </c>
      <c r="M47" s="110">
        <f t="shared" ca="1" si="26"/>
        <v>264767.15791685018</v>
      </c>
      <c r="N47" s="110">
        <f t="shared" ca="1" si="26"/>
        <v>265957.43281029776</v>
      </c>
      <c r="O47" s="110">
        <f t="shared" ca="1" si="26"/>
        <v>266938.93376374495</v>
      </c>
      <c r="P47" s="111">
        <f ca="1">O47*(1+$O$48)</f>
        <v>268050.3455975136</v>
      </c>
      <c r="Q47" s="111">
        <f t="shared" ref="Q47:Y47" ca="1" si="27">P47*(1+$O$48)</f>
        <v>269166.38484267867</v>
      </c>
      <c r="R47" s="111">
        <f t="shared" ca="1" si="27"/>
        <v>270287.07076566829</v>
      </c>
      <c r="S47" s="111">
        <f t="shared" ca="1" si="27"/>
        <v>271412.42271312716</v>
      </c>
      <c r="T47" s="111">
        <f t="shared" ca="1" si="27"/>
        <v>272542.4601122507</v>
      </c>
      <c r="U47" s="111">
        <f t="shared" ca="1" si="27"/>
        <v>273677.20247112017</v>
      </c>
      <c r="V47" s="111">
        <f t="shared" ca="1" si="27"/>
        <v>274816.66937903967</v>
      </c>
      <c r="W47" s="111">
        <f t="shared" ca="1" si="27"/>
        <v>275960.88050687418</v>
      </c>
      <c r="X47" s="111">
        <f t="shared" ca="1" si="27"/>
        <v>277109.85560738918</v>
      </c>
      <c r="Y47" s="111">
        <f t="shared" ca="1" si="27"/>
        <v>278263.61451559159</v>
      </c>
      <c r="Z47" s="858"/>
    </row>
    <row r="48" spans="1:26">
      <c r="A48" s="120"/>
      <c r="B48" s="160"/>
      <c r="C48" s="104"/>
      <c r="D48" s="133"/>
      <c r="E48" s="110"/>
      <c r="F48" s="110"/>
      <c r="G48" s="123"/>
      <c r="H48" s="111"/>
      <c r="I48" s="123"/>
      <c r="J48" s="111"/>
      <c r="K48" s="123"/>
      <c r="L48" s="111"/>
      <c r="M48" s="123"/>
      <c r="N48" s="111"/>
      <c r="O48" s="122">
        <f ca="1">((O47/E47)^(1/10)-1)</f>
        <v>4.1635433921090037E-3</v>
      </c>
      <c r="P48" s="111"/>
      <c r="Q48" s="123"/>
      <c r="R48" s="111"/>
      <c r="S48" s="123"/>
      <c r="T48" s="111"/>
      <c r="U48" s="123"/>
      <c r="V48" s="111"/>
      <c r="W48" s="123"/>
      <c r="X48" s="111"/>
      <c r="Y48" s="110"/>
      <c r="Z48" s="858"/>
    </row>
    <row r="49" spans="1:26" ht="15.75" thickBot="1">
      <c r="A49" s="120"/>
      <c r="B49" s="160"/>
      <c r="C49" s="104"/>
      <c r="D49" s="167"/>
      <c r="E49" s="168"/>
      <c r="F49" s="168"/>
      <c r="G49" s="168"/>
      <c r="H49" s="168"/>
      <c r="I49" s="168"/>
      <c r="J49" s="168"/>
      <c r="K49" s="168"/>
      <c r="L49" s="168"/>
      <c r="M49" s="168"/>
      <c r="N49" s="168"/>
      <c r="O49" s="168"/>
      <c r="P49" s="169"/>
      <c r="Q49" s="168"/>
      <c r="R49" s="168"/>
      <c r="S49" s="168"/>
      <c r="T49" s="168"/>
      <c r="U49" s="168"/>
      <c r="V49" s="168"/>
      <c r="W49" s="168"/>
      <c r="X49" s="168"/>
      <c r="Y49" s="861"/>
      <c r="Z49" s="858"/>
    </row>
    <row r="50" spans="1:26">
      <c r="A50" s="120"/>
      <c r="B50" s="160"/>
      <c r="C50" s="104"/>
      <c r="D50" s="95" t="s">
        <v>5408</v>
      </c>
      <c r="E50" s="96">
        <f t="shared" ref="E50:Y50" ca="1" si="28">E31-E6</f>
        <v>16268.049075738141</v>
      </c>
      <c r="F50" s="96">
        <f t="shared" ca="1" si="28"/>
        <v>17020.76156506806</v>
      </c>
      <c r="G50" s="96">
        <f t="shared" ca="1" si="28"/>
        <v>18298.256576251399</v>
      </c>
      <c r="H50" s="96">
        <f t="shared" ca="1" si="28"/>
        <v>18449.162599334137</v>
      </c>
      <c r="I50" s="96">
        <f t="shared" ca="1" si="28"/>
        <v>12985.150325616371</v>
      </c>
      <c r="J50" s="96">
        <f t="shared" ca="1" si="28"/>
        <v>15256.426796179294</v>
      </c>
      <c r="K50" s="96">
        <f t="shared" ca="1" si="28"/>
        <v>15525.20229479963</v>
      </c>
      <c r="L50" s="96">
        <f t="shared" ca="1" si="28"/>
        <v>9616.6037029016006</v>
      </c>
      <c r="M50" s="96">
        <f t="shared" ca="1" si="28"/>
        <v>9633.2346339881042</v>
      </c>
      <c r="N50" s="96">
        <f t="shared" ca="1" si="28"/>
        <v>9796.140663674305</v>
      </c>
      <c r="O50" s="96">
        <f t="shared" ca="1" si="28"/>
        <v>9903.4912961025911</v>
      </c>
      <c r="P50" s="96">
        <f t="shared" ca="1" si="28"/>
        <v>9456.2239513285385</v>
      </c>
      <c r="Q50" s="96">
        <f t="shared" ca="1" si="28"/>
        <v>9191.3678240078152</v>
      </c>
      <c r="R50" s="96">
        <f t="shared" ca="1" si="28"/>
        <v>8358.4411140094962</v>
      </c>
      <c r="S50" s="96">
        <f t="shared" ca="1" si="28"/>
        <v>8140.9720152978989</v>
      </c>
      <c r="T50" s="96">
        <f t="shared" ca="1" si="28"/>
        <v>7332.2087159130897</v>
      </c>
      <c r="U50" s="96">
        <f t="shared" ca="1" si="28"/>
        <v>6759.1193979515083</v>
      </c>
      <c r="V50" s="96">
        <f t="shared" ca="1" si="28"/>
        <v>6426.6022375464236</v>
      </c>
      <c r="W50" s="96">
        <f t="shared" ca="1" si="28"/>
        <v>6313.105404848473</v>
      </c>
      <c r="X50" s="96">
        <f t="shared" ca="1" si="28"/>
        <v>6199.3970640059124</v>
      </c>
      <c r="Y50" s="96">
        <f t="shared" ca="1" si="28"/>
        <v>6044.7853731450159</v>
      </c>
      <c r="Z50" s="858"/>
    </row>
    <row r="51" spans="1:26" ht="15.75" thickBot="1">
      <c r="A51" s="120"/>
      <c r="B51" s="160"/>
      <c r="C51" s="104"/>
      <c r="D51" s="97" t="s">
        <v>5409</v>
      </c>
      <c r="E51" s="98">
        <f t="shared" ref="E51:Y51" ca="1" si="29">E31/E6</f>
        <v>1.329583374495052</v>
      </c>
      <c r="F51" s="98">
        <f t="shared" ca="1" si="29"/>
        <v>1.3414456656522207</v>
      </c>
      <c r="G51" s="98">
        <f t="shared" ca="1" si="29"/>
        <v>1.3666010665724717</v>
      </c>
      <c r="H51" s="98">
        <f t="shared" ca="1" si="29"/>
        <v>1.3686765532702152</v>
      </c>
      <c r="I51" s="98">
        <f t="shared" ca="1" si="29"/>
        <v>1.2584698734863551</v>
      </c>
      <c r="J51" s="98">
        <f t="shared" ca="1" si="29"/>
        <v>1.3022423069169138</v>
      </c>
      <c r="K51" s="98">
        <f t="shared" ca="1" si="29"/>
        <v>1.3059474714326729</v>
      </c>
      <c r="L51" s="98">
        <f t="shared" ca="1" si="29"/>
        <v>1.1888415384503412</v>
      </c>
      <c r="M51" s="98">
        <f t="shared" ca="1" si="29"/>
        <v>1.1887051226758136</v>
      </c>
      <c r="N51" s="98">
        <f t="shared" ca="1" si="29"/>
        <v>1.1918768825271229</v>
      </c>
      <c r="O51" s="98">
        <f t="shared" ca="1" si="29"/>
        <v>1.1941760305844422</v>
      </c>
      <c r="P51" s="98">
        <f t="shared" ca="1" si="29"/>
        <v>1.184800350630961</v>
      </c>
      <c r="Q51" s="98">
        <f t="shared" ca="1" si="29"/>
        <v>1.1790370590596146</v>
      </c>
      <c r="R51" s="98">
        <f t="shared" ca="1" si="29"/>
        <v>1.1622803080779922</v>
      </c>
      <c r="S51" s="98">
        <f t="shared" ca="1" si="29"/>
        <v>1.1575413437425917</v>
      </c>
      <c r="T51" s="98">
        <f t="shared" ca="1" si="29"/>
        <v>1.1414265182728747</v>
      </c>
      <c r="U51" s="98">
        <f t="shared" ca="1" si="29"/>
        <v>1.1299462934386444</v>
      </c>
      <c r="V51" s="98">
        <f t="shared" ca="1" si="29"/>
        <v>1.1231495831791185</v>
      </c>
      <c r="W51" s="98">
        <f t="shared" ca="1" si="29"/>
        <v>1.1205791763671435</v>
      </c>
      <c r="X51" s="98">
        <f t="shared" ca="1" si="29"/>
        <v>1.1180202344688246</v>
      </c>
      <c r="Y51" s="98">
        <f t="shared" ca="1" si="29"/>
        <v>1.1147005901544937</v>
      </c>
      <c r="Z51" s="858"/>
    </row>
    <row r="52" spans="1:26">
      <c r="A52" s="120"/>
      <c r="B52" s="159"/>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25"/>
    </row>
    <row r="53" spans="1:26" ht="15.75" thickBot="1">
      <c r="A53" s="120"/>
      <c r="B53" s="159"/>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25"/>
    </row>
    <row r="54" spans="1:26" ht="15.75" thickBot="1">
      <c r="A54" s="120"/>
      <c r="B54" s="159"/>
      <c r="C54" s="104"/>
      <c r="D54" s="177" t="s">
        <v>4277</v>
      </c>
      <c r="E54" s="148"/>
      <c r="F54" s="104"/>
      <c r="G54" s="104"/>
      <c r="H54" s="104"/>
      <c r="I54" s="104"/>
      <c r="J54" s="104"/>
      <c r="K54" s="104"/>
      <c r="L54" s="128"/>
      <c r="M54" s="128"/>
      <c r="N54" s="126"/>
      <c r="O54" s="104"/>
      <c r="P54" s="104"/>
      <c r="Q54" s="104"/>
      <c r="R54" s="104"/>
      <c r="S54" s="104"/>
      <c r="T54" s="104"/>
      <c r="U54" s="104"/>
      <c r="V54" s="104"/>
      <c r="W54" s="104"/>
      <c r="X54" s="104"/>
      <c r="Y54" s="104"/>
      <c r="Z54" s="125"/>
    </row>
    <row r="55" spans="1:26" ht="30.75" thickBot="1">
      <c r="A55" s="120"/>
      <c r="B55" s="720">
        <v>36526</v>
      </c>
      <c r="C55" s="702"/>
      <c r="D55" s="703" t="s">
        <v>4281</v>
      </c>
      <c r="E55" s="104"/>
      <c r="F55" s="104"/>
      <c r="G55" s="104"/>
      <c r="H55" s="104"/>
      <c r="I55" s="104"/>
      <c r="J55" s="104"/>
      <c r="K55" s="104"/>
      <c r="L55" s="162"/>
      <c r="M55" s="162"/>
      <c r="N55" s="75"/>
      <c r="O55" s="104"/>
      <c r="P55" s="104"/>
      <c r="Q55" s="104"/>
      <c r="R55" s="104"/>
      <c r="S55" s="104"/>
      <c r="T55" s="104"/>
      <c r="U55" s="104"/>
      <c r="V55" s="104"/>
      <c r="W55" s="104"/>
      <c r="X55" s="104"/>
      <c r="Y55" s="104"/>
      <c r="Z55" s="125"/>
    </row>
    <row r="56" spans="1:26" ht="10.5" customHeight="1" thickBot="1">
      <c r="A56" s="120"/>
      <c r="B56" s="714"/>
      <c r="C56" s="702"/>
      <c r="D56" s="715"/>
      <c r="E56" s="104"/>
      <c r="F56" s="104"/>
      <c r="G56" s="104"/>
      <c r="H56" s="104"/>
      <c r="I56" s="104"/>
      <c r="J56" s="104"/>
      <c r="K56" s="104"/>
      <c r="L56" s="162"/>
      <c r="M56" s="162"/>
      <c r="N56" s="75"/>
      <c r="O56" s="104"/>
      <c r="P56" s="104"/>
      <c r="Q56" s="104"/>
      <c r="R56" s="104"/>
      <c r="S56" s="104"/>
      <c r="T56" s="104"/>
      <c r="U56" s="104"/>
      <c r="V56" s="104"/>
      <c r="W56" s="104"/>
      <c r="X56" s="104"/>
      <c r="Y56" s="104"/>
      <c r="Z56" s="125"/>
    </row>
    <row r="57" spans="1:26" ht="30.75" thickBot="1">
      <c r="A57" s="120"/>
      <c r="B57" s="698"/>
      <c r="C57" s="699"/>
      <c r="D57" s="716" t="s">
        <v>4333</v>
      </c>
      <c r="E57" s="104"/>
      <c r="F57" s="104"/>
      <c r="G57" s="104"/>
      <c r="H57" s="104"/>
      <c r="I57" s="104"/>
      <c r="J57" s="104"/>
      <c r="K57" s="104"/>
      <c r="L57" s="104"/>
      <c r="M57" s="104"/>
      <c r="N57" s="104"/>
      <c r="O57" s="104"/>
      <c r="P57" s="104"/>
      <c r="Q57" s="104"/>
      <c r="R57" s="104"/>
      <c r="S57" s="104"/>
      <c r="T57" s="104"/>
      <c r="U57" s="104"/>
      <c r="V57" s="104"/>
      <c r="W57" s="104"/>
      <c r="X57" s="104"/>
      <c r="Y57" s="104"/>
      <c r="Z57" s="125"/>
    </row>
    <row r="58" spans="1:26" ht="15.75" thickBot="1">
      <c r="A58" s="120"/>
      <c r="B58" s="182" t="s">
        <v>4345</v>
      </c>
      <c r="C58" s="104"/>
      <c r="D58" s="700" t="str">
        <f>CONCATENATE("Peak Production Factor = ", TEXT(IF($B$58="CSI Impact Eval",$B$59,IF($B$58="CED forecast",$B$60,$B$61)),"0.00"))</f>
        <v>Peak Production Factor = 0.47</v>
      </c>
      <c r="E58" s="104"/>
      <c r="F58" s="104"/>
      <c r="G58" s="104"/>
      <c r="H58" s="104"/>
      <c r="I58" s="104"/>
      <c r="J58" s="104"/>
      <c r="K58" s="104"/>
      <c r="L58" s="104"/>
      <c r="M58" s="104"/>
      <c r="N58" s="104"/>
      <c r="O58" s="104"/>
      <c r="P58" s="104"/>
      <c r="Q58" s="104"/>
      <c r="R58" s="104"/>
      <c r="S58" s="104"/>
      <c r="T58" s="104"/>
      <c r="U58" s="104"/>
      <c r="V58" s="104"/>
      <c r="W58" s="104"/>
      <c r="X58" s="104"/>
      <c r="Y58" s="104"/>
      <c r="Z58" s="125"/>
    </row>
    <row r="59" spans="1:26">
      <c r="A59" s="120"/>
      <c r="B59" s="183">
        <f>'Demand Individual Assumptions'!$B$241</f>
        <v>0.56000000000000005</v>
      </c>
      <c r="C59" s="104"/>
      <c r="D59" s="701" t="s">
        <v>4341</v>
      </c>
      <c r="E59" s="104"/>
      <c r="F59" s="104"/>
      <c r="G59" s="104"/>
      <c r="H59" s="104"/>
      <c r="I59" s="104"/>
      <c r="J59" s="104"/>
      <c r="K59" s="104"/>
      <c r="L59" s="104"/>
      <c r="M59" s="104"/>
      <c r="N59" s="104"/>
      <c r="O59" s="104"/>
      <c r="P59" s="104"/>
      <c r="Q59" s="104"/>
      <c r="R59" s="104"/>
      <c r="S59" s="104"/>
      <c r="T59" s="104"/>
      <c r="U59" s="104"/>
      <c r="V59" s="104"/>
      <c r="W59" s="104"/>
      <c r="X59" s="104"/>
      <c r="Y59" s="104"/>
      <c r="Z59" s="125"/>
    </row>
    <row r="60" spans="1:26" ht="15.75" thickBot="1">
      <c r="A60" s="120"/>
      <c r="B60" s="183">
        <f>'Demand Individual Assumptions'!$B$235</f>
        <v>0.47094768108483803</v>
      </c>
      <c r="C60" s="104"/>
      <c r="D60" s="701" t="s">
        <v>4340</v>
      </c>
      <c r="E60" s="104"/>
      <c r="F60" s="104"/>
      <c r="G60" s="104"/>
      <c r="H60" s="104"/>
      <c r="I60" s="104"/>
      <c r="J60" s="104"/>
      <c r="K60" s="104"/>
      <c r="L60" s="104"/>
      <c r="M60" s="104"/>
      <c r="N60" s="104"/>
      <c r="O60" s="104"/>
      <c r="P60" s="104"/>
      <c r="Q60" s="104"/>
      <c r="R60" s="104"/>
      <c r="S60" s="104"/>
      <c r="T60" s="104"/>
      <c r="U60" s="104"/>
      <c r="V60" s="104"/>
      <c r="W60" s="104"/>
      <c r="X60" s="104"/>
      <c r="Y60" s="104"/>
      <c r="Z60" s="125"/>
    </row>
    <row r="61" spans="1:26" ht="15.75" thickBot="1">
      <c r="A61" s="120"/>
      <c r="B61" s="184">
        <v>0</v>
      </c>
      <c r="C61" s="704"/>
      <c r="D61" s="705" t="s">
        <v>4314</v>
      </c>
      <c r="E61" s="104"/>
      <c r="F61" s="104"/>
      <c r="G61" s="104"/>
      <c r="H61" s="104"/>
      <c r="I61" s="104"/>
      <c r="J61" s="104"/>
      <c r="K61" s="104"/>
      <c r="L61" s="104"/>
      <c r="M61" s="104"/>
      <c r="N61" s="104"/>
      <c r="O61" s="104"/>
      <c r="P61" s="104"/>
      <c r="Q61" s="104"/>
      <c r="R61" s="104"/>
      <c r="S61" s="104"/>
      <c r="T61" s="104"/>
      <c r="U61" s="104"/>
      <c r="V61" s="104"/>
      <c r="W61" s="104"/>
      <c r="X61" s="104"/>
      <c r="Y61" s="104"/>
      <c r="Z61" s="125"/>
    </row>
    <row r="62" spans="1:26" ht="10.5" customHeight="1" thickBot="1">
      <c r="A62" s="120"/>
      <c r="B62" s="714"/>
      <c r="C62" s="702"/>
      <c r="D62" s="715"/>
      <c r="E62" s="104"/>
      <c r="F62" s="104"/>
      <c r="G62" s="104"/>
      <c r="H62" s="104"/>
      <c r="I62" s="104"/>
      <c r="J62" s="104"/>
      <c r="K62" s="104"/>
      <c r="L62" s="162"/>
      <c r="M62" s="162"/>
      <c r="N62" s="75"/>
      <c r="O62" s="104"/>
      <c r="P62" s="104"/>
      <c r="Q62" s="104"/>
      <c r="R62" s="104"/>
      <c r="S62" s="104"/>
      <c r="T62" s="104"/>
      <c r="U62" s="104"/>
      <c r="V62" s="104"/>
      <c r="W62" s="104"/>
      <c r="X62" s="104"/>
      <c r="Y62" s="104"/>
      <c r="Z62" s="125"/>
    </row>
    <row r="63" spans="1:26" ht="30.75" thickBot="1">
      <c r="A63" s="120"/>
      <c r="B63" s="698"/>
      <c r="C63" s="699"/>
      <c r="D63" s="717" t="s">
        <v>4334</v>
      </c>
      <c r="E63" s="104"/>
      <c r="F63" s="104"/>
      <c r="G63" s="104"/>
      <c r="H63" s="104"/>
      <c r="I63" s="104"/>
      <c r="J63" s="104"/>
      <c r="K63" s="104"/>
      <c r="L63" s="104"/>
      <c r="M63" s="104"/>
      <c r="N63" s="104"/>
      <c r="O63" s="104"/>
      <c r="P63" s="104"/>
      <c r="Q63" s="104"/>
      <c r="R63" s="104"/>
      <c r="S63" s="104"/>
      <c r="T63" s="104"/>
      <c r="U63" s="104"/>
      <c r="V63" s="104"/>
      <c r="W63" s="104"/>
      <c r="X63" s="104"/>
      <c r="Y63" s="104"/>
      <c r="Z63" s="125"/>
    </row>
    <row r="64" spans="1:26" ht="15.75" thickBot="1">
      <c r="A64" s="120"/>
      <c r="B64" s="182" t="s">
        <v>4345</v>
      </c>
      <c r="C64" s="104"/>
      <c r="D64" s="706" t="str">
        <f>CONCATENATE("Capacity Factor = ", TEXT(IF($B$64="CSI Impact Eval",$B$65,IF($B$64="CED forecast",$B$66,$B$67)),"0.00"))</f>
        <v>Capacity Factor = 0.19</v>
      </c>
      <c r="E64" s="104"/>
      <c r="F64" s="104"/>
      <c r="G64" s="104"/>
      <c r="H64" s="104"/>
      <c r="I64" s="104"/>
      <c r="J64" s="104"/>
      <c r="K64" s="104"/>
      <c r="L64" s="104"/>
      <c r="M64" s="104"/>
      <c r="N64" s="104"/>
      <c r="O64" s="104"/>
      <c r="P64" s="104"/>
      <c r="Q64" s="104"/>
      <c r="R64" s="104"/>
      <c r="S64" s="104"/>
      <c r="T64" s="104"/>
      <c r="U64" s="104"/>
      <c r="V64" s="104"/>
      <c r="W64" s="104"/>
      <c r="X64" s="104"/>
      <c r="Y64" s="104"/>
      <c r="Z64" s="125"/>
    </row>
    <row r="65" spans="1:26">
      <c r="A65" s="120"/>
      <c r="B65" s="183">
        <f>'Demand Individual Assumptions'!$B$238</f>
        <v>0.19</v>
      </c>
      <c r="C65" s="104"/>
      <c r="D65" s="707" t="s">
        <v>4341</v>
      </c>
      <c r="E65" s="104"/>
      <c r="F65" s="104"/>
      <c r="G65" s="104"/>
      <c r="H65" s="104"/>
      <c r="I65" s="104"/>
      <c r="J65" s="104"/>
      <c r="K65" s="104"/>
      <c r="L65" s="104"/>
      <c r="M65" s="104"/>
      <c r="N65" s="104"/>
      <c r="O65" s="104"/>
      <c r="P65" s="104"/>
      <c r="Q65" s="104"/>
      <c r="R65" s="104"/>
      <c r="S65" s="104"/>
      <c r="T65" s="104"/>
      <c r="U65" s="104"/>
      <c r="V65" s="104"/>
      <c r="W65" s="104"/>
      <c r="X65" s="104"/>
      <c r="Y65" s="104"/>
      <c r="Z65" s="125"/>
    </row>
    <row r="66" spans="1:26" ht="15.75" thickBot="1">
      <c r="A66" s="120"/>
      <c r="B66" s="183">
        <f>'Demand Individual Assumptions'!$B$232</f>
        <v>0.189809928162638</v>
      </c>
      <c r="C66" s="104"/>
      <c r="D66" s="707" t="s">
        <v>4340</v>
      </c>
      <c r="E66" s="104"/>
      <c r="F66" s="104"/>
      <c r="G66" s="104"/>
      <c r="H66" s="104"/>
      <c r="I66" s="104"/>
      <c r="J66" s="104"/>
      <c r="K66" s="104"/>
      <c r="L66" s="104"/>
      <c r="M66" s="104"/>
      <c r="N66" s="104"/>
      <c r="O66" s="104"/>
      <c r="P66" s="104"/>
      <c r="Q66" s="104"/>
      <c r="R66" s="104"/>
      <c r="S66" s="104"/>
      <c r="T66" s="104"/>
      <c r="U66" s="104"/>
      <c r="V66" s="104"/>
      <c r="W66" s="104"/>
      <c r="X66" s="104"/>
      <c r="Y66" s="104"/>
      <c r="Z66" s="125"/>
    </row>
    <row r="67" spans="1:26" ht="15.75" thickBot="1">
      <c r="A67" s="120"/>
      <c r="B67" s="184">
        <v>0</v>
      </c>
      <c r="C67" s="704"/>
      <c r="D67" s="708" t="s">
        <v>4314</v>
      </c>
      <c r="E67" s="104"/>
      <c r="F67" s="104"/>
      <c r="G67" s="104"/>
      <c r="H67" s="104"/>
      <c r="I67" s="104"/>
      <c r="J67" s="104"/>
      <c r="K67" s="104"/>
      <c r="L67" s="104"/>
      <c r="M67" s="104"/>
      <c r="N67" s="104"/>
      <c r="O67" s="104"/>
      <c r="P67" s="104"/>
      <c r="Q67" s="104"/>
      <c r="R67" s="104"/>
      <c r="S67" s="104"/>
      <c r="T67" s="104"/>
      <c r="U67" s="104"/>
      <c r="V67" s="104"/>
      <c r="W67" s="104"/>
      <c r="X67" s="104"/>
      <c r="Y67" s="104"/>
      <c r="Z67" s="125"/>
    </row>
    <row r="68" spans="1:26" ht="10.5" customHeight="1" thickBot="1">
      <c r="A68" s="120"/>
      <c r="B68" s="714"/>
      <c r="C68" s="702"/>
      <c r="D68" s="715"/>
      <c r="E68" s="104"/>
      <c r="F68" s="104"/>
      <c r="G68" s="104"/>
      <c r="H68" s="104"/>
      <c r="I68" s="104"/>
      <c r="J68" s="104"/>
      <c r="K68" s="104"/>
      <c r="L68" s="162"/>
      <c r="M68" s="162"/>
      <c r="N68" s="75"/>
      <c r="O68" s="104"/>
      <c r="P68" s="104"/>
      <c r="Q68" s="104"/>
      <c r="R68" s="104"/>
      <c r="S68" s="104"/>
      <c r="T68" s="104"/>
      <c r="U68" s="104"/>
      <c r="V68" s="104"/>
      <c r="W68" s="104"/>
      <c r="X68" s="104"/>
      <c r="Y68" s="104"/>
      <c r="Z68" s="125"/>
    </row>
    <row r="69" spans="1:26" ht="30.75" thickBot="1">
      <c r="A69" s="120"/>
      <c r="B69" s="184">
        <v>0.7</v>
      </c>
      <c r="C69" s="699"/>
      <c r="D69" s="709" t="s">
        <v>4330</v>
      </c>
      <c r="E69" s="104"/>
      <c r="F69" s="104"/>
      <c r="G69" s="104"/>
      <c r="H69" s="104"/>
      <c r="I69" s="104"/>
      <c r="J69" s="104"/>
      <c r="K69" s="104"/>
      <c r="L69" s="104"/>
      <c r="M69" s="104"/>
      <c r="N69" s="104"/>
      <c r="O69" s="104"/>
      <c r="P69" s="104"/>
      <c r="Q69" s="104"/>
      <c r="R69" s="104"/>
      <c r="S69" s="104"/>
      <c r="T69" s="104"/>
      <c r="U69" s="104"/>
      <c r="V69" s="104"/>
      <c r="W69" s="104"/>
      <c r="X69" s="104"/>
      <c r="Y69" s="104"/>
      <c r="Z69" s="125"/>
    </row>
    <row r="70" spans="1:26" ht="30.75" thickBot="1">
      <c r="A70" s="120"/>
      <c r="B70" s="184">
        <v>0.7</v>
      </c>
      <c r="C70" s="104"/>
      <c r="D70" s="710" t="s">
        <v>4332</v>
      </c>
      <c r="E70" s="104"/>
      <c r="F70" s="104"/>
      <c r="G70" s="104"/>
      <c r="H70" s="104"/>
      <c r="I70" s="104"/>
      <c r="J70" s="104"/>
      <c r="K70" s="104"/>
      <c r="L70" s="104"/>
      <c r="M70" s="104"/>
      <c r="N70" s="104"/>
      <c r="O70" s="104"/>
      <c r="P70" s="104"/>
      <c r="Q70" s="104"/>
      <c r="R70" s="104"/>
      <c r="S70" s="104"/>
      <c r="T70" s="104"/>
      <c r="U70" s="104"/>
      <c r="V70" s="104"/>
      <c r="W70" s="104"/>
      <c r="X70" s="104"/>
      <c r="Y70" s="104"/>
      <c r="Z70" s="125"/>
    </row>
    <row r="71" spans="1:26" ht="30.75" thickBot="1">
      <c r="A71" s="120"/>
      <c r="B71" s="184">
        <v>0.8</v>
      </c>
      <c r="C71" s="704"/>
      <c r="D71" s="711" t="s">
        <v>4331</v>
      </c>
      <c r="E71" s="104"/>
      <c r="F71" s="210"/>
      <c r="G71" s="104"/>
      <c r="H71" s="104"/>
      <c r="I71" s="104"/>
      <c r="J71" s="104"/>
      <c r="K71" s="104"/>
      <c r="L71" s="104"/>
      <c r="M71" s="104"/>
      <c r="N71" s="104"/>
      <c r="O71" s="104"/>
      <c r="P71" s="104"/>
      <c r="Q71" s="104"/>
      <c r="R71" s="104"/>
      <c r="S71" s="104"/>
      <c r="T71" s="104"/>
      <c r="U71" s="104"/>
      <c r="V71" s="104"/>
      <c r="W71" s="104"/>
      <c r="X71" s="104"/>
      <c r="Y71" s="104"/>
      <c r="Z71" s="125"/>
    </row>
    <row r="72" spans="1:26" ht="10.5" customHeight="1" thickBot="1">
      <c r="A72" s="120"/>
      <c r="B72" s="714"/>
      <c r="C72" s="702"/>
      <c r="D72" s="715"/>
      <c r="E72" s="104"/>
      <c r="F72" s="104"/>
      <c r="G72" s="104"/>
      <c r="H72" s="104"/>
      <c r="I72" s="104"/>
      <c r="J72" s="104"/>
      <c r="K72" s="104"/>
      <c r="L72" s="162"/>
      <c r="M72" s="162"/>
      <c r="N72" s="75"/>
      <c r="O72" s="104"/>
      <c r="P72" s="104"/>
      <c r="Q72" s="104"/>
      <c r="R72" s="104"/>
      <c r="S72" s="104"/>
      <c r="T72" s="104"/>
      <c r="U72" s="104"/>
      <c r="V72" s="104"/>
      <c r="W72" s="104"/>
      <c r="X72" s="104"/>
      <c r="Y72" s="104"/>
      <c r="Z72" s="125"/>
    </row>
    <row r="73" spans="1:26" ht="45.75" thickBot="1">
      <c r="A73" s="120"/>
      <c r="B73" s="184">
        <v>0.8</v>
      </c>
      <c r="C73" s="712"/>
      <c r="D73" s="713" t="s">
        <v>5191</v>
      </c>
      <c r="E73" s="104"/>
      <c r="F73" s="210" t="s">
        <v>4273</v>
      </c>
      <c r="G73" s="104"/>
      <c r="H73" s="104"/>
      <c r="I73" s="104"/>
      <c r="J73" s="104"/>
      <c r="K73" s="104"/>
      <c r="L73" s="104"/>
      <c r="M73" s="104"/>
      <c r="N73" s="104"/>
      <c r="O73" s="104"/>
      <c r="P73" s="104"/>
      <c r="Q73" s="104"/>
      <c r="R73" s="104"/>
      <c r="S73" s="104"/>
      <c r="T73" s="104"/>
      <c r="U73" s="104"/>
      <c r="V73" s="104"/>
      <c r="W73" s="104"/>
      <c r="X73" s="104"/>
      <c r="Y73" s="104"/>
      <c r="Z73" s="125"/>
    </row>
    <row r="74" spans="1:26">
      <c r="A74" s="120"/>
      <c r="B74" s="179"/>
      <c r="C74" s="104"/>
      <c r="D74" s="128"/>
      <c r="E74" s="104"/>
      <c r="F74" s="211" t="s">
        <v>4356</v>
      </c>
      <c r="G74" s="104"/>
      <c r="H74" s="104"/>
      <c r="I74" s="104"/>
      <c r="J74" s="104"/>
      <c r="K74" s="104"/>
      <c r="L74" s="104"/>
      <c r="M74" s="104"/>
      <c r="N74" s="104"/>
      <c r="O74" s="104"/>
      <c r="P74" s="104"/>
      <c r="Q74" s="104"/>
      <c r="R74" s="104"/>
      <c r="S74" s="104"/>
      <c r="T74" s="104"/>
      <c r="U74" s="104"/>
      <c r="V74" s="104"/>
      <c r="W74" s="104"/>
      <c r="X74" s="104"/>
      <c r="Y74" s="104"/>
      <c r="Z74" s="125"/>
    </row>
    <row r="75" spans="1:26">
      <c r="A75" s="120"/>
      <c r="B75" s="178"/>
      <c r="C75" s="104"/>
      <c r="D75" s="128"/>
      <c r="E75" s="104"/>
      <c r="F75" s="178"/>
      <c r="G75" s="104"/>
      <c r="H75" s="104"/>
      <c r="I75" s="104"/>
      <c r="J75" s="104"/>
      <c r="K75" s="104"/>
      <c r="L75" s="104"/>
      <c r="M75" s="104"/>
      <c r="N75" s="104"/>
      <c r="O75" s="104"/>
      <c r="P75" s="104"/>
      <c r="Q75" s="104"/>
      <c r="R75" s="104"/>
      <c r="S75" s="104"/>
      <c r="T75" s="104"/>
      <c r="U75" s="104"/>
      <c r="V75" s="104"/>
      <c r="W75" s="104"/>
      <c r="X75" s="104"/>
      <c r="Y75" s="104"/>
      <c r="Z75" s="125"/>
    </row>
    <row r="76" spans="1:26">
      <c r="A76" s="120"/>
      <c r="B76" s="179"/>
      <c r="C76" s="104"/>
      <c r="D76" s="128"/>
      <c r="E76" s="104"/>
      <c r="F76" s="104"/>
      <c r="G76" s="104"/>
      <c r="H76" s="104"/>
      <c r="I76" s="104"/>
      <c r="J76" s="104"/>
      <c r="K76" s="104"/>
      <c r="L76" s="104"/>
      <c r="M76" s="104"/>
      <c r="N76" s="104"/>
      <c r="O76" s="104"/>
      <c r="P76" s="104"/>
      <c r="Q76" s="104"/>
      <c r="R76" s="104"/>
      <c r="S76" s="104"/>
      <c r="T76" s="104"/>
      <c r="U76" s="104"/>
      <c r="V76" s="104"/>
      <c r="W76" s="104"/>
      <c r="X76" s="104"/>
      <c r="Y76" s="104"/>
      <c r="Z76" s="125"/>
    </row>
    <row r="77" spans="1:26">
      <c r="A77" s="120"/>
      <c r="B77" s="180"/>
      <c r="C77" s="104"/>
      <c r="D77" s="128"/>
      <c r="E77" s="104"/>
      <c r="F77" s="104"/>
      <c r="G77" s="104"/>
      <c r="H77" s="104"/>
      <c r="I77" s="104"/>
      <c r="J77" s="104"/>
      <c r="K77" s="104"/>
      <c r="L77" s="104"/>
      <c r="M77" s="104"/>
      <c r="N77" s="104"/>
      <c r="O77" s="104"/>
      <c r="P77" s="104"/>
      <c r="Q77" s="104"/>
      <c r="R77" s="104"/>
      <c r="S77" s="104"/>
      <c r="T77" s="104"/>
      <c r="U77" s="104"/>
      <c r="V77" s="104"/>
      <c r="W77" s="104"/>
      <c r="X77" s="104"/>
      <c r="Y77" s="104"/>
      <c r="Z77" s="125"/>
    </row>
    <row r="78" spans="1:26">
      <c r="A78" s="129"/>
      <c r="B78" s="130"/>
      <c r="C78" s="130"/>
      <c r="D78" s="176"/>
      <c r="E78" s="130"/>
      <c r="F78" s="130"/>
      <c r="G78" s="130"/>
      <c r="H78" s="130"/>
      <c r="I78" s="130"/>
      <c r="J78" s="130"/>
      <c r="K78" s="130"/>
      <c r="L78" s="130"/>
      <c r="M78" s="130"/>
      <c r="N78" s="130"/>
      <c r="O78" s="130"/>
      <c r="P78" s="130"/>
      <c r="Q78" s="130"/>
      <c r="R78" s="130"/>
      <c r="S78" s="130"/>
      <c r="T78" s="130"/>
      <c r="U78" s="130"/>
      <c r="V78" s="130"/>
      <c r="W78" s="130"/>
      <c r="X78" s="130"/>
      <c r="Y78" s="130"/>
      <c r="Z78" s="131"/>
    </row>
    <row r="79" spans="1:26" ht="15.75" thickBot="1">
      <c r="A79" s="120"/>
      <c r="B79" s="104"/>
      <c r="C79" s="104"/>
      <c r="D79" s="127"/>
      <c r="E79" s="104"/>
      <c r="F79" s="104"/>
      <c r="G79" s="104"/>
      <c r="H79" s="104"/>
      <c r="I79" s="104"/>
      <c r="J79" s="104"/>
      <c r="K79" s="104"/>
      <c r="L79" s="104"/>
      <c r="M79" s="104"/>
      <c r="N79" s="104"/>
      <c r="O79" s="104"/>
      <c r="P79" s="104"/>
      <c r="Q79" s="104"/>
      <c r="R79" s="104"/>
      <c r="S79" s="104"/>
      <c r="T79" s="104"/>
      <c r="U79" s="104"/>
      <c r="V79" s="104"/>
      <c r="W79" s="104"/>
      <c r="X79" s="104"/>
      <c r="Y79" s="104"/>
      <c r="Z79" s="125"/>
    </row>
    <row r="80" spans="1:26" ht="15.75" thickBot="1">
      <c r="A80" s="120"/>
      <c r="B80" s="106" t="s">
        <v>4278</v>
      </c>
      <c r="C80" s="104"/>
      <c r="D80" s="163"/>
      <c r="E80" s="104"/>
      <c r="F80" s="104"/>
      <c r="G80" s="104"/>
      <c r="H80" s="104"/>
      <c r="I80" s="104"/>
      <c r="J80" s="104"/>
      <c r="K80" s="104"/>
      <c r="L80" s="104"/>
      <c r="M80" s="104"/>
      <c r="N80" s="104"/>
      <c r="O80" s="104"/>
      <c r="P80" s="104"/>
      <c r="Q80" s="104"/>
      <c r="R80" s="104"/>
      <c r="S80" s="104"/>
      <c r="T80" s="104"/>
      <c r="U80" s="104"/>
      <c r="V80" s="104"/>
      <c r="W80" s="104"/>
      <c r="X80" s="104"/>
      <c r="Y80" s="104"/>
      <c r="Z80" s="125"/>
    </row>
    <row r="81" spans="1:26">
      <c r="A81" s="120"/>
      <c r="B81" s="104"/>
      <c r="C81" s="104"/>
      <c r="D81" s="163"/>
      <c r="E81" s="885"/>
      <c r="F81" s="885"/>
      <c r="G81" s="885"/>
      <c r="H81" s="885"/>
      <c r="I81" s="885"/>
      <c r="J81" s="885"/>
      <c r="K81" s="885"/>
      <c r="L81" s="885"/>
      <c r="M81" s="885"/>
      <c r="N81" s="885"/>
      <c r="O81" s="885"/>
      <c r="P81" s="885"/>
      <c r="Q81" s="885"/>
      <c r="R81" s="885"/>
      <c r="S81" s="885"/>
      <c r="T81" s="885"/>
      <c r="U81" s="885"/>
      <c r="V81" s="885"/>
      <c r="W81" s="885"/>
      <c r="X81" s="885"/>
      <c r="Y81" s="885"/>
      <c r="Z81" s="125"/>
    </row>
    <row r="82" spans="1:26">
      <c r="A82" s="194"/>
      <c r="B82" s="202" t="s">
        <v>4351</v>
      </c>
      <c r="C82" s="195"/>
      <c r="D82" s="189" t="s">
        <v>5402</v>
      </c>
      <c r="E82" s="190">
        <v>49359.434773256035</v>
      </c>
      <c r="F82" s="190">
        <v>49849.107126767711</v>
      </c>
      <c r="G82" s="190">
        <v>49913.266066928103</v>
      </c>
      <c r="H82" s="190">
        <v>50041.594551341412</v>
      </c>
      <c r="I82" s="190">
        <v>50238.54482716677</v>
      </c>
      <c r="J82" s="190">
        <v>50477.469391382299</v>
      </c>
      <c r="K82" s="190">
        <v>50744.666141867827</v>
      </c>
      <c r="L82" s="190">
        <v>50924.196984502065</v>
      </c>
      <c r="M82" s="190">
        <v>51049.142161008203</v>
      </c>
      <c r="N82" s="190">
        <v>51054.303857003528</v>
      </c>
      <c r="O82" s="190">
        <v>51002.645724575246</v>
      </c>
      <c r="P82" s="191">
        <v>51169.945939184079</v>
      </c>
      <c r="Q82" s="191">
        <v>51337.794936339589</v>
      </c>
      <c r="R82" s="190">
        <v>51506.194516172669</v>
      </c>
      <c r="S82" s="190">
        <v>51675.146484719036</v>
      </c>
      <c r="T82" s="190">
        <v>51844.652653938618</v>
      </c>
      <c r="U82" s="190">
        <v>52014.714841734982</v>
      </c>
      <c r="V82" s="190">
        <v>52185.334871974832</v>
      </c>
      <c r="W82" s="190">
        <v>52356.514574507564</v>
      </c>
      <c r="X82" s="190">
        <v>52528.255785184898</v>
      </c>
      <c r="Y82" s="190">
        <v>52700.560345880556</v>
      </c>
      <c r="Z82" s="192" t="s">
        <v>4347</v>
      </c>
    </row>
    <row r="83" spans="1:26">
      <c r="A83" s="196"/>
      <c r="B83" s="197"/>
      <c r="C83" s="197"/>
      <c r="D83" s="193" t="s">
        <v>5404</v>
      </c>
      <c r="E83" s="185">
        <v>65627.483848994176</v>
      </c>
      <c r="F83" s="185">
        <v>66869.868691835771</v>
      </c>
      <c r="G83" s="185">
        <v>68211.522643179502</v>
      </c>
      <c r="H83" s="185">
        <v>68490.757150675548</v>
      </c>
      <c r="I83" s="185">
        <v>63223.695152783141</v>
      </c>
      <c r="J83" s="185">
        <v>65733.896187561593</v>
      </c>
      <c r="K83" s="185">
        <v>66269.868436667457</v>
      </c>
      <c r="L83" s="185">
        <v>60540.800687403666</v>
      </c>
      <c r="M83" s="185">
        <v>60682.376794996308</v>
      </c>
      <c r="N83" s="185">
        <v>60850.444520677833</v>
      </c>
      <c r="O83" s="185">
        <v>60906.137020677837</v>
      </c>
      <c r="P83" s="187">
        <v>60626.169890512618</v>
      </c>
      <c r="Q83" s="187">
        <v>60529.162760347404</v>
      </c>
      <c r="R83" s="185">
        <v>59864.635630182165</v>
      </c>
      <c r="S83" s="185">
        <v>59816.118500016935</v>
      </c>
      <c r="T83" s="185">
        <v>59176.861369851707</v>
      </c>
      <c r="U83" s="185">
        <v>58773.83423968649</v>
      </c>
      <c r="V83" s="185">
        <v>58611.937109521255</v>
      </c>
      <c r="W83" s="185">
        <v>58669.619979356037</v>
      </c>
      <c r="X83" s="185">
        <v>58727.65284919081</v>
      </c>
      <c r="Y83" s="185">
        <v>58745.345719025572</v>
      </c>
      <c r="Z83" s="188" t="s">
        <v>4346</v>
      </c>
    </row>
    <row r="84" spans="1:26">
      <c r="A84" s="196"/>
      <c r="B84" s="197"/>
      <c r="C84" s="197"/>
      <c r="D84" s="193" t="s">
        <v>5403</v>
      </c>
      <c r="E84" s="185">
        <v>234032.34909713228</v>
      </c>
      <c r="F84" s="185">
        <v>234720.08004546841</v>
      </c>
      <c r="G84" s="185">
        <v>234674.6326966722</v>
      </c>
      <c r="H84" s="185">
        <v>235121.73432824481</v>
      </c>
      <c r="I84" s="185">
        <v>235667.50183520053</v>
      </c>
      <c r="J84" s="185">
        <v>236746.64480492051</v>
      </c>
      <c r="K84" s="185">
        <v>238069.17438739352</v>
      </c>
      <c r="L84" s="185">
        <v>239209.11608181376</v>
      </c>
      <c r="M84" s="185">
        <v>240259.08493908565</v>
      </c>
      <c r="N84" s="185">
        <v>240827.61148424679</v>
      </c>
      <c r="O84" s="185">
        <v>241186.23596352979</v>
      </c>
      <c r="P84" s="187">
        <v>241913.54330540181</v>
      </c>
      <c r="Q84" s="187">
        <v>242643.04387346448</v>
      </c>
      <c r="R84" s="185">
        <v>243374.74428148457</v>
      </c>
      <c r="S84" s="185">
        <v>244108.65116317294</v>
      </c>
      <c r="T84" s="185">
        <v>244844.77117224468</v>
      </c>
      <c r="U84" s="185">
        <v>245583.11098247944</v>
      </c>
      <c r="V84" s="185">
        <v>246323.67728778193</v>
      </c>
      <c r="W84" s="185">
        <v>247066.47680224266</v>
      </c>
      <c r="X84" s="185">
        <v>247811.5162601987</v>
      </c>
      <c r="Y84" s="185">
        <v>248558.80241629481</v>
      </c>
      <c r="Z84" s="188" t="s">
        <v>5405</v>
      </c>
    </row>
    <row r="85" spans="1:26">
      <c r="A85" s="196"/>
      <c r="B85" s="197"/>
      <c r="C85" s="197"/>
      <c r="D85" s="193" t="s">
        <v>5406</v>
      </c>
      <c r="E85" s="186">
        <v>1.329583374495052</v>
      </c>
      <c r="F85" s="186">
        <v>1.3414456656522207</v>
      </c>
      <c r="G85" s="186">
        <v>1.3666010665724717</v>
      </c>
      <c r="H85" s="186">
        <v>1.3686765532702152</v>
      </c>
      <c r="I85" s="186">
        <v>1.2584698734863551</v>
      </c>
      <c r="J85" s="186">
        <v>1.3022423069169138</v>
      </c>
      <c r="K85" s="186">
        <v>1.3059474714326729</v>
      </c>
      <c r="L85" s="186">
        <v>1.1888415384503412</v>
      </c>
      <c r="M85" s="186">
        <v>1.1887051226758136</v>
      </c>
      <c r="N85" s="186">
        <v>1.1918768825271229</v>
      </c>
      <c r="O85" s="186">
        <v>1.1941760305844422</v>
      </c>
      <c r="P85" s="203">
        <v>1.184800350630961</v>
      </c>
      <c r="Q85" s="203">
        <v>1.1790370590596146</v>
      </c>
      <c r="R85" s="186">
        <v>1.1622803080779922</v>
      </c>
      <c r="S85" s="186">
        <v>1.1575413437425917</v>
      </c>
      <c r="T85" s="186">
        <v>1.1414265182728747</v>
      </c>
      <c r="U85" s="186">
        <v>1.1299462934386444</v>
      </c>
      <c r="V85" s="186">
        <v>1.1231495831791185</v>
      </c>
      <c r="W85" s="186">
        <v>1.1205791763671435</v>
      </c>
      <c r="X85" s="186">
        <v>1.1180202344688246</v>
      </c>
      <c r="Y85" s="186">
        <v>1.1147005901544937</v>
      </c>
      <c r="Z85" s="188" t="s">
        <v>4350</v>
      </c>
    </row>
    <row r="86" spans="1:26">
      <c r="A86" s="196"/>
      <c r="B86" s="684"/>
      <c r="C86" s="685"/>
      <c r="D86" s="685"/>
      <c r="E86" s="685"/>
      <c r="F86" s="685"/>
      <c r="G86" s="685"/>
      <c r="H86" s="685"/>
      <c r="I86" s="685"/>
      <c r="J86" s="197"/>
      <c r="K86" s="197"/>
      <c r="L86" s="197"/>
      <c r="M86" s="197"/>
      <c r="N86" s="197"/>
      <c r="O86" s="197"/>
      <c r="P86" s="197"/>
      <c r="Q86" s="197"/>
      <c r="R86" s="197"/>
      <c r="S86" s="197"/>
      <c r="T86" s="197"/>
      <c r="U86" s="197"/>
      <c r="V86" s="197"/>
      <c r="W86" s="197"/>
      <c r="X86" s="197"/>
      <c r="Y86" s="197"/>
      <c r="Z86" s="199"/>
    </row>
    <row r="87" spans="1:26">
      <c r="A87" s="198"/>
      <c r="B87" s="686"/>
      <c r="C87" s="687"/>
      <c r="D87" s="688"/>
      <c r="E87" s="687"/>
      <c r="F87" s="687"/>
      <c r="G87" s="687"/>
      <c r="H87" s="687"/>
      <c r="I87" s="687"/>
      <c r="J87" s="200"/>
      <c r="K87" s="200"/>
      <c r="L87" s="200"/>
      <c r="M87" s="200"/>
      <c r="N87" s="200"/>
      <c r="O87" s="200"/>
      <c r="P87" s="200"/>
      <c r="Q87" s="200"/>
      <c r="R87" s="200"/>
      <c r="S87" s="200"/>
      <c r="T87" s="200"/>
      <c r="U87" s="200"/>
      <c r="V87" s="200"/>
      <c r="W87" s="200"/>
      <c r="X87" s="200"/>
      <c r="Y87" s="200"/>
      <c r="Z87" s="201"/>
    </row>
    <row r="88" spans="1:26">
      <c r="D88" s="1"/>
    </row>
    <row r="90" spans="1:26">
      <c r="D90" s="76"/>
    </row>
    <row r="91" spans="1:26">
      <c r="D91" s="1"/>
    </row>
    <row r="92" spans="1:26">
      <c r="D92" s="1"/>
    </row>
    <row r="93" spans="1:26">
      <c r="D93" s="1"/>
    </row>
    <row r="94" spans="1:26">
      <c r="D94" s="1"/>
    </row>
    <row r="95" spans="1:26">
      <c r="D95" s="1"/>
    </row>
    <row r="97" spans="4:4">
      <c r="D97" s="76"/>
    </row>
    <row r="98" spans="4:4">
      <c r="D98" s="1"/>
    </row>
    <row r="99" spans="4:4">
      <c r="D99" s="1"/>
    </row>
    <row r="100" spans="4:4">
      <c r="D100" s="1"/>
    </row>
    <row r="101" spans="4:4">
      <c r="D101" s="1"/>
    </row>
    <row r="102" spans="4:4">
      <c r="D102" s="1"/>
    </row>
    <row r="103" spans="4:4">
      <c r="D103" s="1"/>
    </row>
    <row r="104" spans="4:4">
      <c r="D104" s="1"/>
    </row>
  </sheetData>
  <dataValidations count="16">
    <dataValidation type="list" allowBlank="1" showInputMessage="1" showErrorMessage="1" sqref="B30">
      <formula1>MWOtherRetires</formula1>
    </dataValidation>
    <dataValidation type="list" allowBlank="1" showInputMessage="1" showErrorMessage="1" sqref="B26">
      <formula1>MWNuclearRetires</formula1>
    </dataValidation>
    <dataValidation type="list" allowBlank="1" showInputMessage="1" showErrorMessage="1" sqref="B21">
      <formula1>MWEventBasedDR</formula1>
    </dataValidation>
    <dataValidation type="list" allowBlank="1" showInputMessage="1" showErrorMessage="1" sqref="B20">
      <formula1>MWIncSCHP</formula1>
    </dataValidation>
    <dataValidation type="list" allowBlank="1" showInputMessage="1" showErrorMessage="1" sqref="B19">
      <formula1>MWImports</formula1>
    </dataValidation>
    <dataValidation type="list" allowBlank="1" showInputMessage="1" showErrorMessage="1" sqref="B12">
      <formula1>MWIncDCHP</formula1>
    </dataValidation>
    <dataValidation type="list" allowBlank="1" showInputMessage="1" showErrorMessage="1" sqref="B11">
      <formula1>MWIncSmPV</formula1>
    </dataValidation>
    <dataValidation type="list" allowBlank="1" showInputMessage="1" showErrorMessage="1" sqref="B17">
      <formula1>MWResourceAddsRPS</formula1>
    </dataValidation>
    <dataValidation type="list" showInputMessage="1" showErrorMessage="1" sqref="B64 B58">
      <formula1>"CSI Impact Eval,CED forecast,user input"</formula1>
    </dataValidation>
    <dataValidation type="list" allowBlank="1" showInputMessage="1" showErrorMessage="1" sqref="B29">
      <formula1>MWHydroRetires</formula1>
    </dataValidation>
    <dataValidation type="list" allowBlank="1" showInputMessage="1" showErrorMessage="1" sqref="B27">
      <formula1>MWSolarWindRetires</formula1>
    </dataValidation>
    <dataValidation type="list" allowBlank="1" showInputMessage="1" showErrorMessage="1" sqref="B28">
      <formula1>MWGeothermBiomassRetires</formula1>
    </dataValidation>
    <dataValidation type="list" allowBlank="1" showInputMessage="1" showErrorMessage="1" sqref="B18">
      <formula1>MWAuthProc</formula1>
    </dataValidation>
    <dataValidation type="list" allowBlank="1" showInputMessage="1" showErrorMessage="1" sqref="B22">
      <formula1>MWEnergyStorage</formula1>
    </dataValidation>
    <dataValidation type="list" allowBlank="1" showInputMessage="1" showErrorMessage="1" sqref="B23">
      <formula1>MWEnergyStorageOther</formula1>
    </dataValidation>
    <dataValidation type="list" allowBlank="1" showInputMessage="1" showErrorMessage="1" sqref="B6">
      <formula1>MWLoadAAEE</formula1>
    </dataValidation>
  </dataValidations>
  <pageMargins left="0.25" right="0.25" top="0.75" bottom="0.75" header="0.3" footer="0.3"/>
  <pageSetup paperSize="17" scale="55" orientation="landscape"/>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AA172"/>
  <sheetViews>
    <sheetView zoomScale="80" zoomScaleNormal="80" zoomScalePageLayoutView="80" workbookViewId="0">
      <pane ySplit="3" topLeftCell="A4" activePane="bottomLeft" state="frozen"/>
      <selection pane="bottomLeft"/>
    </sheetView>
  </sheetViews>
  <sheetFormatPr defaultColWidth="8.85546875" defaultRowHeight="15"/>
  <cols>
    <col min="1" max="1" width="9.7109375" style="3" customWidth="1"/>
    <col min="2" max="2" width="45.42578125" customWidth="1"/>
    <col min="3" max="3" width="11.28515625" customWidth="1"/>
    <col min="4" max="10" width="13.7109375" bestFit="1" customWidth="1"/>
    <col min="11" max="11" width="13.7109375" style="31" bestFit="1" customWidth="1"/>
    <col min="12" max="13" width="13.7109375" bestFit="1" customWidth="1"/>
    <col min="14" max="14" width="11.140625" style="31" bestFit="1" customWidth="1"/>
    <col min="15" max="16" width="11.140625" bestFit="1" customWidth="1"/>
    <col min="17" max="17" width="11.42578125" bestFit="1" customWidth="1"/>
    <col min="18" max="18" width="12" bestFit="1" customWidth="1"/>
    <col min="19" max="19" width="11.42578125" bestFit="1" customWidth="1"/>
    <col min="20" max="23" width="12" bestFit="1" customWidth="1"/>
    <col min="24" max="24" width="8.85546875" style="9"/>
  </cols>
  <sheetData>
    <row r="1" spans="1:24" s="7" customFormat="1">
      <c r="A1" s="3"/>
      <c r="C1" s="12"/>
      <c r="K1" s="31"/>
      <c r="N1" s="31"/>
      <c r="X1" s="9"/>
    </row>
    <row r="3" spans="1:24" s="4" customFormat="1">
      <c r="A3" s="10"/>
      <c r="C3" s="4">
        <v>2014</v>
      </c>
      <c r="D3" s="4">
        <f>C3+1</f>
        <v>2015</v>
      </c>
      <c r="E3" s="4">
        <f t="shared" ref="E3:N3" si="0">D3+1</f>
        <v>2016</v>
      </c>
      <c r="F3" s="4">
        <f t="shared" si="0"/>
        <v>2017</v>
      </c>
      <c r="G3" s="4">
        <f t="shared" si="0"/>
        <v>2018</v>
      </c>
      <c r="H3" s="4">
        <f t="shared" si="0"/>
        <v>2019</v>
      </c>
      <c r="I3" s="4">
        <f t="shared" si="0"/>
        <v>2020</v>
      </c>
      <c r="J3" s="4">
        <f t="shared" si="0"/>
        <v>2021</v>
      </c>
      <c r="K3" s="216">
        <f t="shared" si="0"/>
        <v>2022</v>
      </c>
      <c r="L3" s="4">
        <f>K3+1</f>
        <v>2023</v>
      </c>
      <c r="M3" s="4">
        <f t="shared" si="0"/>
        <v>2024</v>
      </c>
      <c r="N3" s="216">
        <f t="shared" si="0"/>
        <v>2025</v>
      </c>
      <c r="O3" s="4">
        <f>N3+1</f>
        <v>2026</v>
      </c>
      <c r="P3" s="4">
        <f t="shared" ref="P3:W3" si="1">O3+1</f>
        <v>2027</v>
      </c>
      <c r="Q3" s="4">
        <f t="shared" si="1"/>
        <v>2028</v>
      </c>
      <c r="R3" s="4">
        <f t="shared" si="1"/>
        <v>2029</v>
      </c>
      <c r="S3" s="4">
        <f t="shared" si="1"/>
        <v>2030</v>
      </c>
      <c r="T3" s="4">
        <f t="shared" si="1"/>
        <v>2031</v>
      </c>
      <c r="U3" s="4">
        <f t="shared" si="1"/>
        <v>2032</v>
      </c>
      <c r="V3" s="4">
        <f t="shared" si="1"/>
        <v>2033</v>
      </c>
      <c r="W3" s="4">
        <f t="shared" si="1"/>
        <v>2034</v>
      </c>
      <c r="X3" s="11"/>
    </row>
    <row r="4" spans="1:24">
      <c r="A4" s="69"/>
      <c r="B4" s="4" t="s">
        <v>2</v>
      </c>
    </row>
    <row r="5" spans="1:24">
      <c r="A5" s="69"/>
      <c r="B5" s="1" t="s">
        <v>5455</v>
      </c>
      <c r="C5" s="5">
        <f>'Demand Individual Assumptions'!E11</f>
        <v>49444.356933466377</v>
      </c>
      <c r="D5" s="5">
        <f>'Demand Individual Assumptions'!F11</f>
        <v>50391.206209292824</v>
      </c>
      <c r="E5" s="5">
        <f>'Demand Individual Assumptions'!G11</f>
        <v>50995.787277272699</v>
      </c>
      <c r="F5" s="5">
        <f>'Demand Individual Assumptions'!H11</f>
        <v>51628.629446229461</v>
      </c>
      <c r="G5" s="5">
        <f>'Demand Individual Assumptions'!I11</f>
        <v>52309.843694988827</v>
      </c>
      <c r="H5" s="5">
        <f>'Demand Individual Assumptions'!J11</f>
        <v>53021.084748113077</v>
      </c>
      <c r="I5" s="5">
        <f>'Demand Individual Assumptions'!K11</f>
        <v>53724.566633793911</v>
      </c>
      <c r="J5" s="5">
        <f>'Demand Individual Assumptions'!L11</f>
        <v>54376.746851115866</v>
      </c>
      <c r="K5" s="5">
        <f>'Demand Individual Assumptions'!M11</f>
        <v>54994.548649159813</v>
      </c>
      <c r="L5" s="5">
        <f>'Demand Individual Assumptions'!N11</f>
        <v>55543.578420602382</v>
      </c>
      <c r="M5" s="5">
        <f>'Demand Individual Assumptions'!O11</f>
        <v>56044.153506268129</v>
      </c>
    </row>
    <row r="6" spans="1:24">
      <c r="A6" s="69"/>
      <c r="B6" s="1" t="s">
        <v>5456</v>
      </c>
      <c r="C6" s="5">
        <f>'Demand Individual Assumptions'!E23</f>
        <v>52061.021815934306</v>
      </c>
      <c r="D6" s="5">
        <f>'Demand Individual Assumptions'!F23</f>
        <v>53059.108934964723</v>
      </c>
      <c r="E6" s="5">
        <f>'Demand Individual Assumptions'!G23</f>
        <v>53699.271000004781</v>
      </c>
      <c r="F6" s="5">
        <f>'Demand Individual Assumptions'!H23</f>
        <v>54364.953762404366</v>
      </c>
      <c r="G6" s="5">
        <f>'Demand Individual Assumptions'!I23</f>
        <v>55081.976538515009</v>
      </c>
      <c r="H6" s="5">
        <f>'Demand Individual Assumptions'!J23</f>
        <v>55833.99680926076</v>
      </c>
      <c r="I6" s="5">
        <f>'Demand Individual Assumptions'!K23</f>
        <v>56573.210919739031</v>
      </c>
      <c r="J6" s="5">
        <f>'Demand Individual Assumptions'!L23</f>
        <v>57262.096734180413</v>
      </c>
      <c r="K6" s="5">
        <f>'Demand Individual Assumptions'!M23</f>
        <v>57912.899758845197</v>
      </c>
      <c r="L6" s="5">
        <f>'Demand Individual Assumptions'!N23</f>
        <v>58490.531889568847</v>
      </c>
      <c r="M6" s="5">
        <f>'Demand Individual Assumptions'!O23</f>
        <v>59019.818279766121</v>
      </c>
    </row>
    <row r="7" spans="1:24">
      <c r="A7" s="69"/>
      <c r="B7" s="1" t="s">
        <v>5457</v>
      </c>
      <c r="C7" s="5">
        <f>'Demand Individual Assumptions'!E35</f>
        <v>53674.115477937303</v>
      </c>
      <c r="D7" s="5">
        <f>'Demand Individual Assumptions'!F35</f>
        <v>54700.131882803384</v>
      </c>
      <c r="E7" s="5">
        <f>'Demand Individual Assumptions'!G35</f>
        <v>55359.371318699115</v>
      </c>
      <c r="F7" s="5">
        <f>'Demand Individual Assumptions'!H35</f>
        <v>56048.318296906138</v>
      </c>
      <c r="G7" s="5">
        <f>'Demand Individual Assumptions'!I35</f>
        <v>56784.609067894715</v>
      </c>
      <c r="H7" s="5">
        <f>'Demand Individual Assumptions'!J35</f>
        <v>57559.922611623355</v>
      </c>
      <c r="I7" s="5">
        <f>'Demand Individual Assumptions'!K35</f>
        <v>58322.309530337348</v>
      </c>
      <c r="J7" s="5">
        <f>'Demand Individual Assumptions'!L35</f>
        <v>59032.544870539525</v>
      </c>
      <c r="K7" s="5">
        <f>'Demand Individual Assumptions'!M35</f>
        <v>59703.537879416093</v>
      </c>
      <c r="L7" s="5">
        <f>'Demand Individual Assumptions'!N35</f>
        <v>60300.48539597285</v>
      </c>
      <c r="M7" s="5">
        <f>'Demand Individual Assumptions'!O35</f>
        <v>60843.10047127484</v>
      </c>
    </row>
    <row r="8" spans="1:24">
      <c r="A8" s="69"/>
      <c r="B8" s="1" t="s">
        <v>5458</v>
      </c>
      <c r="C8" s="5">
        <f>'Demand Individual Assumptions'!E48</f>
        <v>49749.799279079351</v>
      </c>
      <c r="D8" s="5">
        <f>'Demand Individual Assumptions'!F48</f>
        <v>50991.161664265201</v>
      </c>
      <c r="E8" s="5">
        <f>'Demand Individual Assumptions'!G48</f>
        <v>51867.709969973032</v>
      </c>
      <c r="F8" s="5">
        <f>'Demand Individual Assumptions'!H48</f>
        <v>52808.746230269659</v>
      </c>
      <c r="G8" s="5">
        <f>'Demand Individual Assumptions'!I48</f>
        <v>53805.987124110768</v>
      </c>
      <c r="H8" s="5">
        <f>'Demand Individual Assumptions'!J48</f>
        <v>54765.868547256629</v>
      </c>
      <c r="I8" s="5">
        <f>'Demand Individual Assumptions'!K48</f>
        <v>55730.75867999909</v>
      </c>
      <c r="J8" s="5">
        <f>'Demand Individual Assumptions'!L48</f>
        <v>56584.992628597312</v>
      </c>
      <c r="K8" s="5">
        <f>'Demand Individual Assumptions'!M48</f>
        <v>57457.863975366403</v>
      </c>
      <c r="L8" s="5">
        <f>'Demand Individual Assumptions'!N48</f>
        <v>58271.623970836852</v>
      </c>
      <c r="M8" s="5">
        <f>'Demand Individual Assumptions'!O48</f>
        <v>59005.813769791654</v>
      </c>
    </row>
    <row r="9" spans="1:24" s="19" customFormat="1">
      <c r="A9" s="69"/>
      <c r="B9" s="1" t="s">
        <v>5459</v>
      </c>
      <c r="C9" s="5">
        <f>'Demand Individual Assumptions'!E58</f>
        <v>52384.944206048713</v>
      </c>
      <c r="D9" s="5">
        <f>'Demand Individual Assumptions'!F58</f>
        <v>53693.348884372805</v>
      </c>
      <c r="E9" s="5">
        <f>'Demand Individual Assumptions'!G58</f>
        <v>54617.228395495695</v>
      </c>
      <c r="F9" s="5">
        <f>'Demand Individual Assumptions'!H58</f>
        <v>55609.362556387518</v>
      </c>
      <c r="G9" s="5">
        <f>'Demand Individual Assumptions'!I58</f>
        <v>56657.735306332317</v>
      </c>
      <c r="H9" s="5">
        <f>'Demand Individual Assumptions'!J58</f>
        <v>57671.726789492743</v>
      </c>
      <c r="I9" s="5">
        <f>'Demand Individual Assumptions'!K58</f>
        <v>58685.763888824098</v>
      </c>
      <c r="J9" s="5">
        <f>'Demand Individual Assumptions'!L58</f>
        <v>59589.21558275693</v>
      </c>
      <c r="K9" s="5">
        <f>'Demand Individual Assumptions'!M58</f>
        <v>60506.209879089809</v>
      </c>
      <c r="L9" s="5">
        <f>'Demand Individual Assumptions'!N58</f>
        <v>61368.137522578465</v>
      </c>
      <c r="M9" s="5">
        <f>'Demand Individual Assumptions'!O58</f>
        <v>62139.364565006785</v>
      </c>
      <c r="N9" s="31"/>
      <c r="X9" s="9"/>
    </row>
    <row r="10" spans="1:24" s="19" customFormat="1">
      <c r="A10" s="69"/>
      <c r="B10" s="1" t="s">
        <v>4367</v>
      </c>
      <c r="C10" s="5">
        <f>'Demand Individual Assumptions'!E68</f>
        <v>54005.983664163621</v>
      </c>
      <c r="D10" s="5">
        <f>'Demand Individual Assumptions'!F68</f>
        <v>55354.566124144236</v>
      </c>
      <c r="E10" s="5">
        <f>'Demand Individual Assumptions'!G68</f>
        <v>56309.101828816893</v>
      </c>
      <c r="F10" s="5">
        <f>'Demand Individual Assumptions'!H68</f>
        <v>57332.929699030501</v>
      </c>
      <c r="G10" s="5">
        <f>'Demand Individual Assumptions'!I68</f>
        <v>58412.932713727692</v>
      </c>
      <c r="H10" s="5">
        <f>'Demand Individual Assumptions'!J68</f>
        <v>59462.658561057295</v>
      </c>
      <c r="I10" s="5">
        <f>'Demand Individual Assumptions'!K68</f>
        <v>60508.385574325519</v>
      </c>
      <c r="J10" s="5">
        <f>'Demand Individual Assumptions'!L68</f>
        <v>61438.571481232357</v>
      </c>
      <c r="K10" s="5">
        <f>'Demand Individual Assumptions'!M68</f>
        <v>62386.264986875634</v>
      </c>
      <c r="L10" s="5">
        <f>'Demand Individual Assumptions'!N68</f>
        <v>63273.935071087064</v>
      </c>
      <c r="M10" s="5">
        <f>'Demand Individual Assumptions'!O68</f>
        <v>64070.776458361128</v>
      </c>
      <c r="N10" s="31"/>
      <c r="X10" s="9"/>
    </row>
    <row r="11" spans="1:24" s="19" customFormat="1">
      <c r="A11" s="69"/>
      <c r="B11" s="1"/>
      <c r="C11" s="5"/>
      <c r="D11" s="5"/>
      <c r="E11" s="5"/>
      <c r="F11" s="5"/>
      <c r="G11" s="5"/>
      <c r="H11" s="5"/>
      <c r="I11" s="5"/>
      <c r="J11" s="5"/>
      <c r="K11" s="5"/>
      <c r="L11" s="5"/>
      <c r="M11" s="5"/>
      <c r="N11" s="31"/>
      <c r="X11" s="9"/>
    </row>
    <row r="12" spans="1:24" s="19" customFormat="1">
      <c r="A12" s="69"/>
      <c r="B12" s="10" t="s">
        <v>5454</v>
      </c>
      <c r="C12" s="5"/>
      <c r="D12" s="5"/>
      <c r="E12" s="5"/>
      <c r="F12" s="5"/>
      <c r="G12" s="5"/>
      <c r="H12" s="5"/>
      <c r="I12" s="5"/>
      <c r="J12" s="5"/>
      <c r="K12" s="5"/>
      <c r="L12" s="5"/>
      <c r="M12" s="5"/>
      <c r="N12" s="31"/>
      <c r="X12" s="9"/>
    </row>
    <row r="13" spans="1:24" s="19" customFormat="1">
      <c r="A13" s="69"/>
      <c r="B13" s="1" t="s">
        <v>5464</v>
      </c>
      <c r="C13" s="5">
        <f>'Demand Individual Assumptions'!E12</f>
        <v>49391.25115314452</v>
      </c>
      <c r="D13" s="5">
        <f>'Demand Individual Assumptions'!F12</f>
        <v>49985.888157155066</v>
      </c>
      <c r="E13" s="5">
        <f>'Demand Individual Assumptions'!G12</f>
        <v>50234.682630439376</v>
      </c>
      <c r="F13" s="5">
        <f>'Demand Individual Assumptions'!H12</f>
        <v>50506.163851864854</v>
      </c>
      <c r="G13" s="5">
        <f>'Demand Individual Assumptions'!I12</f>
        <v>50924.373598351624</v>
      </c>
      <c r="H13" s="5">
        <f>'Demand Individual Assumptions'!J12</f>
        <v>51336.496596809804</v>
      </c>
      <c r="I13" s="5">
        <f>'Demand Individual Assumptions'!K12</f>
        <v>51764.09176229046</v>
      </c>
      <c r="J13" s="5">
        <f>'Demand Individual Assumptions'!L12</f>
        <v>52147.544488292253</v>
      </c>
      <c r="K13" s="5">
        <f>'Demand Individual Assumptions'!M12</f>
        <v>52486.847027496944</v>
      </c>
      <c r="L13" s="5">
        <f>'Demand Individual Assumptions'!N12</f>
        <v>52713.603201909144</v>
      </c>
      <c r="M13" s="5">
        <f>'Demand Individual Assumptions'!O12</f>
        <v>52890.124533196904</v>
      </c>
      <c r="N13" s="31"/>
      <c r="X13" s="9"/>
    </row>
    <row r="14" spans="1:24" s="19" customFormat="1">
      <c r="A14" s="69"/>
      <c r="B14" s="1" t="s">
        <v>5465</v>
      </c>
      <c r="C14" s="5">
        <f>'Demand Individual Assumptions'!E13</f>
        <v>49359.434773256035</v>
      </c>
      <c r="D14" s="5">
        <f>'Demand Individual Assumptions'!F13</f>
        <v>49849.107126767711</v>
      </c>
      <c r="E14" s="5">
        <f>'Demand Individual Assumptions'!G13</f>
        <v>49913.266066928103</v>
      </c>
      <c r="F14" s="5">
        <f>'Demand Individual Assumptions'!H13</f>
        <v>50041.594551341412</v>
      </c>
      <c r="G14" s="5">
        <f>'Demand Individual Assumptions'!I13</f>
        <v>50238.54482716677</v>
      </c>
      <c r="H14" s="5">
        <f>'Demand Individual Assumptions'!J13</f>
        <v>50477.469391382299</v>
      </c>
      <c r="I14" s="5">
        <f>'Demand Individual Assumptions'!K13</f>
        <v>50744.666141867827</v>
      </c>
      <c r="J14" s="5">
        <f>'Demand Individual Assumptions'!L13</f>
        <v>50924.196984502065</v>
      </c>
      <c r="K14" s="5">
        <f>'Demand Individual Assumptions'!M13</f>
        <v>51049.142161008203</v>
      </c>
      <c r="L14" s="5">
        <f>'Demand Individual Assumptions'!N13</f>
        <v>51054.303857003528</v>
      </c>
      <c r="M14" s="5">
        <f>'Demand Individual Assumptions'!O13</f>
        <v>51002.645724575246</v>
      </c>
      <c r="N14" s="31"/>
      <c r="X14" s="9"/>
    </row>
    <row r="15" spans="1:24" s="19" customFormat="1">
      <c r="A15" s="69"/>
      <c r="B15" s="1" t="s">
        <v>5460</v>
      </c>
      <c r="C15" s="5">
        <f>'Demand Individual Assumptions'!E14</f>
        <v>49359.434773256035</v>
      </c>
      <c r="D15" s="5">
        <f>'Demand Individual Assumptions'!F14</f>
        <v>49747.304229171605</v>
      </c>
      <c r="E15" s="5">
        <f>'Demand Individual Assumptions'!G14</f>
        <v>49611.311891805737</v>
      </c>
      <c r="F15" s="5">
        <f>'Demand Individual Assumptions'!H14</f>
        <v>49456.371132829205</v>
      </c>
      <c r="G15" s="5">
        <f>'Demand Individual Assumptions'!I14</f>
        <v>49345.53706151279</v>
      </c>
      <c r="H15" s="5">
        <f>'Demand Individual Assumptions'!J14</f>
        <v>49263.875335886572</v>
      </c>
      <c r="I15" s="5">
        <f>'Demand Individual Assumptions'!K14</f>
        <v>49198.961868016755</v>
      </c>
      <c r="J15" s="5">
        <f>'Demand Individual Assumptions'!L14</f>
        <v>49003.192329252517</v>
      </c>
      <c r="K15" s="5">
        <f>'Demand Individual Assumptions'!M14</f>
        <v>48716.195496175154</v>
      </c>
      <c r="L15" s="5">
        <f>'Demand Individual Assumptions'!N14</f>
        <v>48276.075176290797</v>
      </c>
      <c r="M15" s="5">
        <f>'Demand Individual Assumptions'!O14</f>
        <v>47757.991041271271</v>
      </c>
      <c r="N15" s="31"/>
      <c r="X15" s="9"/>
    </row>
    <row r="16" spans="1:24" s="19" customFormat="1">
      <c r="A16" s="69"/>
      <c r="B16" s="1" t="s">
        <v>5466</v>
      </c>
      <c r="C16" s="5">
        <f>'Demand Individual Assumptions'!E24</f>
        <v>52005.09449759667</v>
      </c>
      <c r="D16" s="5">
        <f>'Demand Individual Assumptions'!F24</f>
        <v>52632.138825313203</v>
      </c>
      <c r="E16" s="5">
        <f>'Demand Individual Assumptions'!G24</f>
        <v>52897.425444782457</v>
      </c>
      <c r="F16" s="5">
        <f>'Demand Individual Assumptions'!H24</f>
        <v>53182.430417993979</v>
      </c>
      <c r="G16" s="5">
        <f>'Demand Individual Assumptions'!I24</f>
        <v>53622.445960990961</v>
      </c>
      <c r="H16" s="5">
        <f>'Demand Individual Assumptions'!J24</f>
        <v>54059.30621197971</v>
      </c>
      <c r="I16" s="5">
        <f>'Demand Individual Assumptions'!K24</f>
        <v>54507.888705535435</v>
      </c>
      <c r="J16" s="5">
        <f>'Demand Individual Assumptions'!L24</f>
        <v>54913.699989827743</v>
      </c>
      <c r="K16" s="5">
        <f>'Demand Individual Assumptions'!M24</f>
        <v>55270.945464863951</v>
      </c>
      <c r="L16" s="5">
        <f>'Demand Individual Assumptions'!N24</f>
        <v>55508.966830466255</v>
      </c>
      <c r="M16" s="5">
        <f>'Demand Individual Assumptions'!O24</f>
        <v>55696.841390322305</v>
      </c>
      <c r="N16" s="31"/>
      <c r="X16" s="9"/>
    </row>
    <row r="17" spans="1:24" s="19" customFormat="1">
      <c r="A17" s="69"/>
      <c r="B17" s="1" t="s">
        <v>5467</v>
      </c>
      <c r="C17" s="5">
        <f>'Demand Individual Assumptions'!E25</f>
        <v>51971.589008198876</v>
      </c>
      <c r="D17" s="5">
        <f>'Demand Individual Assumptions'!F25</f>
        <v>52488.065074824917</v>
      </c>
      <c r="E17" s="5">
        <f>'Demand Individual Assumptions'!G25</f>
        <v>52558.8460689411</v>
      </c>
      <c r="F17" s="5">
        <f>'Demand Individual Assumptions'!H25</f>
        <v>52693.127626288318</v>
      </c>
      <c r="G17" s="5">
        <f>'Demand Individual Assumptions'!I25</f>
        <v>52900.110778932081</v>
      </c>
      <c r="H17" s="5">
        <f>'Demand Individual Assumptions'!J25</f>
        <v>53154.540751211476</v>
      </c>
      <c r="I17" s="5">
        <f>'Demand Individual Assumptions'!K25</f>
        <v>53434.309422530445</v>
      </c>
      <c r="J17" s="5">
        <f>'Demand Individual Assumptions'!L25</f>
        <v>53625.443797733802</v>
      </c>
      <c r="K17" s="5">
        <f>'Demand Individual Assumptions'!M25</f>
        <v>53756.961099645217</v>
      </c>
      <c r="L17" s="5">
        <f>'Demand Individual Assumptions'!N25</f>
        <v>53761.663825140015</v>
      </c>
      <c r="M17" s="5">
        <f>'Demand Individual Assumptions'!O25</f>
        <v>53709.297258943028</v>
      </c>
      <c r="N17" s="31"/>
      <c r="X17" s="9"/>
    </row>
    <row r="18" spans="1:24" s="19" customFormat="1">
      <c r="A18" s="69"/>
      <c r="B18" s="1" t="s">
        <v>5461</v>
      </c>
      <c r="C18" s="5">
        <f>'Demand Individual Assumptions'!E26</f>
        <v>51971.589008198876</v>
      </c>
      <c r="D18" s="5">
        <f>'Demand Individual Assumptions'!F26</f>
        <v>52380.930833243212</v>
      </c>
      <c r="E18" s="5">
        <f>'Demand Individual Assumptions'!G26</f>
        <v>52240.967023846024</v>
      </c>
      <c r="F18" s="5">
        <f>'Demand Individual Assumptions'!H26</f>
        <v>52076.96130409238</v>
      </c>
      <c r="G18" s="5">
        <f>'Demand Individual Assumptions'!I26</f>
        <v>51959.921837127789</v>
      </c>
      <c r="H18" s="5">
        <f>'Demand Individual Assumptions'!J26</f>
        <v>51876.80620689199</v>
      </c>
      <c r="I18" s="5">
        <f>'Demand Individual Assumptions'!K26</f>
        <v>51806.949415283438</v>
      </c>
      <c r="J18" s="5">
        <f>'Demand Individual Assumptions'!L26</f>
        <v>51602.972507612256</v>
      </c>
      <c r="K18" s="5">
        <f>'Demand Individual Assumptions'!M26</f>
        <v>51300.677542181053</v>
      </c>
      <c r="L18" s="5">
        <f>'Demand Individual Assumptions'!N26</f>
        <v>50836.505802335319</v>
      </c>
      <c r="M18" s="5">
        <f>'Demand Individual Assumptions'!O26</f>
        <v>50293.05403524507</v>
      </c>
      <c r="N18" s="31"/>
      <c r="X18" s="9"/>
    </row>
    <row r="19" spans="1:24" s="19" customFormat="1">
      <c r="A19" s="69"/>
      <c r="B19" s="1" t="s">
        <v>5468</v>
      </c>
      <c r="C19" s="5">
        <f>'Demand Individual Assumptions'!E36</f>
        <v>53616.326815808847</v>
      </c>
      <c r="D19" s="5">
        <f>'Demand Individual Assumptions'!F36</f>
        <v>54259.116930000848</v>
      </c>
      <c r="E19" s="5">
        <f>'Demand Individual Assumptions'!G36</f>
        <v>54531.208134439556</v>
      </c>
      <c r="F19" s="5">
        <f>'Demand Individual Assumptions'!H36</f>
        <v>54826.966474704335</v>
      </c>
      <c r="G19" s="5">
        <f>'Demand Individual Assumptions'!I36</f>
        <v>55277.268498320977</v>
      </c>
      <c r="H19" s="5">
        <f>'Demand Individual Assumptions'!J36</f>
        <v>55727.233260868961</v>
      </c>
      <c r="I19" s="5">
        <f>'Demand Individual Assumptions'!K36</f>
        <v>56189.627209340288</v>
      </c>
      <c r="J19" s="5">
        <f>'Demand Individual Assumptions'!L36</f>
        <v>56607.476515383772</v>
      </c>
      <c r="K19" s="5">
        <f>'Demand Individual Assumptions'!M36</f>
        <v>56975.615368891609</v>
      </c>
      <c r="L19" s="5">
        <f>'Demand Individual Assumptions'!N36</f>
        <v>57221.962700713288</v>
      </c>
      <c r="M19" s="5">
        <f>'Demand Individual Assumptions'!O36</f>
        <v>57412.167925243499</v>
      </c>
      <c r="N19" s="31"/>
      <c r="X19" s="9"/>
    </row>
    <row r="20" spans="1:24" s="19" customFormat="1">
      <c r="A20" s="69"/>
      <c r="B20" s="1" t="s">
        <v>5469</v>
      </c>
      <c r="C20" s="5">
        <f>'Demand Individual Assumptions'!E37</f>
        <v>53581.71364144735</v>
      </c>
      <c r="D20" s="5">
        <f>'Demand Individual Assumptions'!F37</f>
        <v>54110.342870749817</v>
      </c>
      <c r="E20" s="5">
        <f>'Demand Individual Assumptions'!G37</f>
        <v>54181.63070822195</v>
      </c>
      <c r="F20" s="5">
        <f>'Demand Individual Assumptions'!H37</f>
        <v>54321.860541942144</v>
      </c>
      <c r="G20" s="5">
        <f>'Demand Individual Assumptions'!I37</f>
        <v>54531.653913923445</v>
      </c>
      <c r="H20" s="5">
        <f>'Demand Individual Assumptions'!J37</f>
        <v>54793.367682198055</v>
      </c>
      <c r="I20" s="5">
        <f>'Demand Individual Assumptions'!K37</f>
        <v>55081.687514002042</v>
      </c>
      <c r="J20" s="5">
        <f>'Demand Individual Assumptions'!L37</f>
        <v>55277.968798568465</v>
      </c>
      <c r="K20" s="5">
        <f>'Demand Individual Assumptions'!M37</f>
        <v>55413.331006536624</v>
      </c>
      <c r="L20" s="5">
        <f>'Demand Individual Assumptions'!N37</f>
        <v>55418.966014861522</v>
      </c>
      <c r="M20" s="5">
        <f>'Demand Individual Assumptions'!O37</f>
        <v>55361.311778806587</v>
      </c>
      <c r="N20" s="31"/>
      <c r="X20" s="9"/>
    </row>
    <row r="21" spans="1:24" s="19" customFormat="1">
      <c r="A21" s="69"/>
      <c r="B21" s="1" t="s">
        <v>5462</v>
      </c>
      <c r="C21" s="5">
        <f>'Demand Individual Assumptions'!E38</f>
        <v>53581.71364144735</v>
      </c>
      <c r="D21" s="5">
        <f>'Demand Individual Assumptions'!F38</f>
        <v>53999.907037806057</v>
      </c>
      <c r="E21" s="5">
        <f>'Demand Individual Assumptions'!G38</f>
        <v>53853.707084053713</v>
      </c>
      <c r="F21" s="5">
        <f>'Demand Individual Assumptions'!H38</f>
        <v>53685.961718867911</v>
      </c>
      <c r="G21" s="5">
        <f>'Demand Individual Assumptions'!I38</f>
        <v>53561.26890024537</v>
      </c>
      <c r="H21" s="5">
        <f>'Demand Individual Assumptions'!J38</f>
        <v>53474.561732686998</v>
      </c>
      <c r="I21" s="5">
        <f>'Demand Individual Assumptions'!K38</f>
        <v>53401.95974967505</v>
      </c>
      <c r="J21" s="5">
        <f>'Demand Individual Assumptions'!L38</f>
        <v>53190.155346456355</v>
      </c>
      <c r="K21" s="5">
        <f>'Demand Individual Assumptions'!M38</f>
        <v>52877.767714242931</v>
      </c>
      <c r="L21" s="5">
        <f>'Demand Individual Assumptions'!N38</f>
        <v>52399.32454501513</v>
      </c>
      <c r="M21" s="5">
        <f>'Demand Individual Assumptions'!O38</f>
        <v>51834.714339445571</v>
      </c>
      <c r="N21" s="31"/>
      <c r="X21" s="9"/>
    </row>
    <row r="22" spans="1:24" s="19" customFormat="1">
      <c r="A22" s="69"/>
      <c r="B22" s="1" t="s">
        <v>5470</v>
      </c>
      <c r="C22" s="5">
        <f>'Demand Individual Assumptions'!E49</f>
        <v>49664.877118869001</v>
      </c>
      <c r="D22" s="5">
        <f>'Demand Individual Assumptions'!F49</f>
        <v>50449.062581740087</v>
      </c>
      <c r="E22" s="5">
        <f>'Demand Individual Assumptions'!G49</f>
        <v>50785.18875962845</v>
      </c>
      <c r="F22" s="5">
        <f>'Demand Individual Assumptions'!H49</f>
        <v>51221.711335381631</v>
      </c>
      <c r="G22" s="5">
        <f>'Demand Individual Assumptions'!I49</f>
        <v>51734.688256288719</v>
      </c>
      <c r="H22" s="5">
        <f>'Demand Individual Assumptions'!J49</f>
        <v>52222.253190525851</v>
      </c>
      <c r="I22" s="5">
        <f>'Demand Individual Assumptions'!K49</f>
        <v>52750.858188073005</v>
      </c>
      <c r="J22" s="5">
        <f>'Demand Individual Assumptions'!L49</f>
        <v>53132.442761983511</v>
      </c>
      <c r="K22" s="5">
        <f>'Demand Individual Assumptions'!M49</f>
        <v>53512.457487214793</v>
      </c>
      <c r="L22" s="5">
        <f>'Demand Individual Assumptions'!N49</f>
        <v>53782.349407237991</v>
      </c>
      <c r="M22" s="5">
        <f>'Demand Individual Assumptions'!O49</f>
        <v>53964.305988098771</v>
      </c>
      <c r="N22" s="31"/>
      <c r="X22" s="9"/>
    </row>
    <row r="23" spans="1:24" s="19" customFormat="1">
      <c r="A23" s="69"/>
      <c r="B23" s="1" t="s">
        <v>5471</v>
      </c>
      <c r="C23" s="5">
        <f>'Demand Individual Assumptions'!E59</f>
        <v>52295.509864281048</v>
      </c>
      <c r="D23" s="5">
        <f>'Demand Individual Assumptions'!F59</f>
        <v>53122.284458748145</v>
      </c>
      <c r="E23" s="5">
        <f>'Demand Individual Assumptions'!G59</f>
        <v>53476.834434787175</v>
      </c>
      <c r="F23" s="5">
        <f>'Demand Individual Assumptions'!H59</f>
        <v>53937.484384146323</v>
      </c>
      <c r="G23" s="5">
        <f>'Demand Individual Assumptions'!I59</f>
        <v>54475.899580428188</v>
      </c>
      <c r="H23" s="5">
        <f>'Demand Individual Assumptions'!J59</f>
        <v>54992.250060680781</v>
      </c>
      <c r="I23" s="5">
        <f>'Demand Individual Assumptions'!K59</f>
        <v>55546.889469369649</v>
      </c>
      <c r="J23" s="5">
        <f>'Demand Individual Assumptions'!L59</f>
        <v>55952.476331526414</v>
      </c>
      <c r="K23" s="5">
        <f>'Demand Individual Assumptions'!M59</f>
        <v>56350.227109201798</v>
      </c>
      <c r="L23" s="5">
        <f>'Demand Individual Assumptions'!N59</f>
        <v>56639.171098183477</v>
      </c>
      <c r="M23" s="5">
        <f>'Demand Individual Assumptions'!O59</f>
        <v>56828.859765123452</v>
      </c>
      <c r="N23" s="31"/>
      <c r="X23" s="9"/>
    </row>
    <row r="24" spans="1:24" s="19" customFormat="1">
      <c r="A24" s="69"/>
      <c r="B24" s="1" t="s">
        <v>5472</v>
      </c>
      <c r="C24" s="5">
        <f>'Demand Individual Assumptions'!E69</f>
        <v>53913.583697870068</v>
      </c>
      <c r="D24" s="5">
        <f>'Demand Individual Assumptions'!F69</f>
        <v>54764.77541013914</v>
      </c>
      <c r="E24" s="5">
        <f>'Demand Individual Assumptions'!G69</f>
        <v>55131.390984017016</v>
      </c>
      <c r="F24" s="5">
        <f>'Demand Individual Assumptions'!H69</f>
        <v>55606.530873793658</v>
      </c>
      <c r="G24" s="5">
        <f>'Demand Individual Assumptions'!I69</f>
        <v>56160.03694823564</v>
      </c>
      <c r="H24" s="5">
        <f>'Demand Individual Assumptions'!J69</f>
        <v>56696.067315274122</v>
      </c>
      <c r="I24" s="5">
        <f>'Demand Individual Assumptions'!K69</f>
        <v>57267.735330211181</v>
      </c>
      <c r="J24" s="5">
        <f>'Demand Individual Assumptions'!L69</f>
        <v>57684.111061772084</v>
      </c>
      <c r="K24" s="5">
        <f>'Demand Individual Assumptions'!M69</f>
        <v>58096.122132923949</v>
      </c>
      <c r="L24" s="5">
        <f>'Demand Individual Assumptions'!N69</f>
        <v>58392.422810469092</v>
      </c>
      <c r="M24" s="5">
        <f>'Demand Individual Assumptions'!O69</f>
        <v>58588.901279243764</v>
      </c>
      <c r="N24" s="31"/>
      <c r="X24" s="9"/>
    </row>
    <row r="25" spans="1:24" s="7" customFormat="1">
      <c r="A25" s="69"/>
      <c r="B25" s="1"/>
      <c r="C25" s="5"/>
      <c r="D25" s="5"/>
      <c r="E25" s="5"/>
      <c r="F25" s="5"/>
      <c r="G25" s="5"/>
      <c r="H25" s="5"/>
      <c r="I25" s="5"/>
      <c r="J25" s="5"/>
      <c r="K25" s="32"/>
      <c r="L25" s="5"/>
      <c r="M25" s="5"/>
      <c r="N25" s="31"/>
      <c r="X25" s="9"/>
    </row>
    <row r="26" spans="1:24">
      <c r="A26" s="69"/>
      <c r="B26" s="4" t="s">
        <v>3</v>
      </c>
      <c r="C26" s="5"/>
      <c r="D26" s="5"/>
      <c r="E26" s="5"/>
      <c r="F26" s="5"/>
      <c r="G26" s="5"/>
      <c r="H26" s="5"/>
      <c r="I26" s="5"/>
      <c r="J26" s="5"/>
      <c r="K26" s="32"/>
      <c r="L26" s="5"/>
      <c r="M26" s="5"/>
    </row>
    <row r="27" spans="1:24">
      <c r="A27" s="69"/>
      <c r="B27" s="1" t="s">
        <v>5455</v>
      </c>
      <c r="C27" s="5">
        <f>'Demand Individual Assumptions'!E79</f>
        <v>235038</v>
      </c>
      <c r="D27" s="5">
        <f>'Demand Individual Assumptions'!F79</f>
        <v>237816</v>
      </c>
      <c r="E27" s="5">
        <f>'Demand Individual Assumptions'!G79</f>
        <v>240228</v>
      </c>
      <c r="F27" s="5">
        <f>'Demand Individual Assumptions'!H79</f>
        <v>243025</v>
      </c>
      <c r="G27" s="5">
        <f>'Demand Individual Assumptions'!I79</f>
        <v>245557</v>
      </c>
      <c r="H27" s="5">
        <f>'Demand Individual Assumptions'!J79</f>
        <v>248748</v>
      </c>
      <c r="I27" s="5">
        <f>'Demand Individual Assumptions'!K79</f>
        <v>251957</v>
      </c>
      <c r="J27" s="5">
        <f>'Demand Individual Assumptions'!L79</f>
        <v>255122</v>
      </c>
      <c r="K27" s="32">
        <f>'Demand Individual Assumptions'!M79</f>
        <v>258271</v>
      </c>
      <c r="L27" s="5">
        <f>'Demand Individual Assumptions'!N79</f>
        <v>261107</v>
      </c>
      <c r="M27" s="5">
        <f>'Demand Individual Assumptions'!O79</f>
        <v>263751</v>
      </c>
    </row>
    <row r="28" spans="1:24" s="19" customFormat="1">
      <c r="A28" s="69"/>
      <c r="B28" s="1" t="s">
        <v>5456</v>
      </c>
      <c r="C28" s="5">
        <f>C27</f>
        <v>235038</v>
      </c>
      <c r="D28" s="5">
        <f t="shared" ref="D28:M28" si="2">D27</f>
        <v>237816</v>
      </c>
      <c r="E28" s="5">
        <f t="shared" si="2"/>
        <v>240228</v>
      </c>
      <c r="F28" s="5">
        <f t="shared" si="2"/>
        <v>243025</v>
      </c>
      <c r="G28" s="5">
        <f t="shared" si="2"/>
        <v>245557</v>
      </c>
      <c r="H28" s="5">
        <f t="shared" si="2"/>
        <v>248748</v>
      </c>
      <c r="I28" s="5">
        <f t="shared" si="2"/>
        <v>251957</v>
      </c>
      <c r="J28" s="5">
        <f t="shared" si="2"/>
        <v>255122</v>
      </c>
      <c r="K28" s="32">
        <f t="shared" si="2"/>
        <v>258271</v>
      </c>
      <c r="L28" s="5">
        <f t="shared" si="2"/>
        <v>261107</v>
      </c>
      <c r="M28" s="5">
        <f t="shared" si="2"/>
        <v>263751</v>
      </c>
      <c r="N28" s="31"/>
      <c r="X28" s="9"/>
    </row>
    <row r="29" spans="1:24" s="19" customFormat="1">
      <c r="A29" s="69"/>
      <c r="B29" s="1" t="s">
        <v>5457</v>
      </c>
      <c r="C29" s="5">
        <f>C27</f>
        <v>235038</v>
      </c>
      <c r="D29" s="5">
        <f t="shared" ref="D29:M29" si="3">D27</f>
        <v>237816</v>
      </c>
      <c r="E29" s="5">
        <f t="shared" si="3"/>
        <v>240228</v>
      </c>
      <c r="F29" s="5">
        <f t="shared" si="3"/>
        <v>243025</v>
      </c>
      <c r="G29" s="5">
        <f t="shared" si="3"/>
        <v>245557</v>
      </c>
      <c r="H29" s="5">
        <f t="shared" si="3"/>
        <v>248748</v>
      </c>
      <c r="I29" s="5">
        <f t="shared" si="3"/>
        <v>251957</v>
      </c>
      <c r="J29" s="5">
        <f t="shared" si="3"/>
        <v>255122</v>
      </c>
      <c r="K29" s="32">
        <f t="shared" si="3"/>
        <v>258271</v>
      </c>
      <c r="L29" s="5">
        <f t="shared" si="3"/>
        <v>261107</v>
      </c>
      <c r="M29" s="5">
        <f t="shared" si="3"/>
        <v>263751</v>
      </c>
      <c r="N29" s="31"/>
      <c r="X29" s="9"/>
    </row>
    <row r="30" spans="1:24">
      <c r="A30" s="69"/>
      <c r="B30" s="1" t="s">
        <v>5458</v>
      </c>
      <c r="C30" s="5">
        <f>'Demand Individual Assumptions'!E90</f>
        <v>237718</v>
      </c>
      <c r="D30" s="5">
        <f>'Demand Individual Assumptions'!F90</f>
        <v>241568</v>
      </c>
      <c r="E30" s="5">
        <f>'Demand Individual Assumptions'!G90</f>
        <v>245267</v>
      </c>
      <c r="F30" s="5">
        <f>'Demand Individual Assumptions'!H90</f>
        <v>249332</v>
      </c>
      <c r="G30" s="5">
        <f>'Demand Individual Assumptions'!I90</f>
        <v>253483</v>
      </c>
      <c r="H30" s="5">
        <f>'Demand Individual Assumptions'!J90</f>
        <v>258135</v>
      </c>
      <c r="I30" s="5">
        <f>'Demand Individual Assumptions'!K90</f>
        <v>262749</v>
      </c>
      <c r="J30" s="5">
        <f>'Demand Individual Assumptions'!L90</f>
        <v>267019</v>
      </c>
      <c r="K30" s="5">
        <f>'Demand Individual Assumptions'!M90</f>
        <v>271339</v>
      </c>
      <c r="L30" s="5">
        <f>'Demand Individual Assumptions'!N90</f>
        <v>275344</v>
      </c>
      <c r="M30" s="5">
        <f>'Demand Individual Assumptions'!O90</f>
        <v>279099</v>
      </c>
    </row>
    <row r="31" spans="1:24" s="19" customFormat="1">
      <c r="A31" s="69"/>
      <c r="B31" s="1" t="s">
        <v>5459</v>
      </c>
      <c r="C31" s="5">
        <f>C30</f>
        <v>237718</v>
      </c>
      <c r="D31" s="5">
        <f t="shared" ref="D31:M31" si="4">D30</f>
        <v>241568</v>
      </c>
      <c r="E31" s="5">
        <f t="shared" si="4"/>
        <v>245267</v>
      </c>
      <c r="F31" s="5">
        <f t="shared" si="4"/>
        <v>249332</v>
      </c>
      <c r="G31" s="5">
        <f t="shared" si="4"/>
        <v>253483</v>
      </c>
      <c r="H31" s="5">
        <f t="shared" si="4"/>
        <v>258135</v>
      </c>
      <c r="I31" s="5">
        <f t="shared" si="4"/>
        <v>262749</v>
      </c>
      <c r="J31" s="5">
        <f t="shared" si="4"/>
        <v>267019</v>
      </c>
      <c r="K31" s="5">
        <f t="shared" si="4"/>
        <v>271339</v>
      </c>
      <c r="L31" s="5">
        <f t="shared" si="4"/>
        <v>275344</v>
      </c>
      <c r="M31" s="5">
        <f t="shared" si="4"/>
        <v>279099</v>
      </c>
      <c r="N31" s="31"/>
      <c r="X31" s="9"/>
    </row>
    <row r="32" spans="1:24" s="19" customFormat="1">
      <c r="A32" s="69"/>
      <c r="B32" s="1" t="s">
        <v>4367</v>
      </c>
      <c r="C32" s="5">
        <f>C30</f>
        <v>237718</v>
      </c>
      <c r="D32" s="5">
        <f t="shared" ref="D32:M32" si="5">D30</f>
        <v>241568</v>
      </c>
      <c r="E32" s="5">
        <f t="shared" si="5"/>
        <v>245267</v>
      </c>
      <c r="F32" s="5">
        <f t="shared" si="5"/>
        <v>249332</v>
      </c>
      <c r="G32" s="5">
        <f t="shared" si="5"/>
        <v>253483</v>
      </c>
      <c r="H32" s="5">
        <f t="shared" si="5"/>
        <v>258135</v>
      </c>
      <c r="I32" s="5">
        <f t="shared" si="5"/>
        <v>262749</v>
      </c>
      <c r="J32" s="5">
        <f t="shared" si="5"/>
        <v>267019</v>
      </c>
      <c r="K32" s="5">
        <f t="shared" si="5"/>
        <v>271339</v>
      </c>
      <c r="L32" s="5">
        <f t="shared" si="5"/>
        <v>275344</v>
      </c>
      <c r="M32" s="5">
        <f t="shared" si="5"/>
        <v>279099</v>
      </c>
      <c r="N32" s="31"/>
      <c r="X32" s="9"/>
    </row>
    <row r="33" spans="1:24" s="19" customFormat="1">
      <c r="A33" s="69"/>
      <c r="B33" s="1"/>
      <c r="C33" s="5"/>
      <c r="D33" s="5"/>
      <c r="E33" s="5"/>
      <c r="F33" s="5"/>
      <c r="G33" s="5"/>
      <c r="H33" s="5"/>
      <c r="I33" s="5"/>
      <c r="J33" s="5"/>
      <c r="K33" s="32"/>
      <c r="L33" s="5"/>
      <c r="M33" s="5"/>
      <c r="N33" s="31"/>
      <c r="X33" s="9"/>
    </row>
    <row r="34" spans="1:24" s="19" customFormat="1">
      <c r="A34" s="69"/>
      <c r="B34" s="10" t="s">
        <v>5463</v>
      </c>
      <c r="C34" s="5"/>
      <c r="D34" s="5"/>
      <c r="E34" s="5"/>
      <c r="F34" s="5"/>
      <c r="G34" s="5"/>
      <c r="H34" s="5"/>
      <c r="I34" s="5"/>
      <c r="J34" s="5"/>
      <c r="K34" s="32"/>
      <c r="L34" s="5"/>
      <c r="M34" s="5"/>
      <c r="N34" s="31"/>
      <c r="X34" s="9"/>
    </row>
    <row r="35" spans="1:24" s="19" customFormat="1">
      <c r="A35" s="69"/>
      <c r="B35" s="1" t="s">
        <v>5464</v>
      </c>
      <c r="C35" s="5">
        <f>'Demand Individual Assumptions'!E80</f>
        <v>234434.48169237311</v>
      </c>
      <c r="D35" s="5">
        <f>'Demand Individual Assumptions'!F80</f>
        <v>235656.89210631564</v>
      </c>
      <c r="E35" s="5">
        <f>'Demand Individual Assumptions'!G80</f>
        <v>236497.5537354183</v>
      </c>
      <c r="F35" s="5">
        <f>'Demand Individual Assumptions'!H80</f>
        <v>237688.55325262994</v>
      </c>
      <c r="G35" s="5">
        <f>'Demand Individual Assumptions'!I80</f>
        <v>239260.41310030274</v>
      </c>
      <c r="H35" s="5">
        <f>'Demand Individual Assumptions'!J80</f>
        <v>241233.63299102854</v>
      </c>
      <c r="I35" s="5">
        <f>'Demand Individual Assumptions'!K80</f>
        <v>243302.7623507182</v>
      </c>
      <c r="J35" s="5">
        <f>'Demand Individual Assumptions'!L80</f>
        <v>245374.19046158213</v>
      </c>
      <c r="K35" s="5">
        <f>'Demand Individual Assumptions'!M80</f>
        <v>247387.78895288619</v>
      </c>
      <c r="L35" s="5">
        <f>'Demand Individual Assumptions'!N80</f>
        <v>248921.81664892679</v>
      </c>
      <c r="M35" s="5">
        <f>'Demand Individual Assumptions'!O80</f>
        <v>250295.51912851981</v>
      </c>
      <c r="N35" s="31"/>
      <c r="X35" s="9"/>
    </row>
    <row r="36" spans="1:24" s="19" customFormat="1">
      <c r="A36" s="69"/>
      <c r="B36" s="1" t="s">
        <v>5465</v>
      </c>
      <c r="C36" s="5">
        <f>'Demand Individual Assumptions'!E81</f>
        <v>234032.34909713228</v>
      </c>
      <c r="D36" s="5">
        <f>'Demand Individual Assumptions'!F81</f>
        <v>234720.08004546841</v>
      </c>
      <c r="E36" s="5">
        <f>'Demand Individual Assumptions'!G81</f>
        <v>234674.6326966722</v>
      </c>
      <c r="F36" s="5">
        <f>'Demand Individual Assumptions'!H81</f>
        <v>235121.73432824481</v>
      </c>
      <c r="G36" s="5">
        <f>'Demand Individual Assumptions'!I81</f>
        <v>235667.50183520053</v>
      </c>
      <c r="H36" s="5">
        <f>'Demand Individual Assumptions'!J81</f>
        <v>236746.64480492051</v>
      </c>
      <c r="I36" s="5">
        <f>'Demand Individual Assumptions'!K81</f>
        <v>238069.17438739352</v>
      </c>
      <c r="J36" s="5">
        <f>'Demand Individual Assumptions'!L81</f>
        <v>239209.11608181376</v>
      </c>
      <c r="K36" s="5">
        <f>'Demand Individual Assumptions'!M81</f>
        <v>240259.08493908565</v>
      </c>
      <c r="L36" s="5">
        <f>'Demand Individual Assumptions'!N81</f>
        <v>240827.61148424679</v>
      </c>
      <c r="M36" s="5">
        <f>'Demand Individual Assumptions'!O81</f>
        <v>241186.23596352979</v>
      </c>
      <c r="N36" s="31"/>
      <c r="X36" s="9"/>
    </row>
    <row r="37" spans="1:24" s="19" customFormat="1">
      <c r="A37" s="69"/>
      <c r="B37" s="1" t="s">
        <v>5460</v>
      </c>
      <c r="C37" s="5">
        <f>'Demand Individual Assumptions'!E82</f>
        <v>234032.34909713228</v>
      </c>
      <c r="D37" s="5">
        <f>'Demand Individual Assumptions'!F82</f>
        <v>234024.4666362743</v>
      </c>
      <c r="E37" s="5">
        <f>'Demand Individual Assumptions'!G82</f>
        <v>233027.93699633196</v>
      </c>
      <c r="F37" s="5">
        <f>'Demand Individual Assumptions'!H82</f>
        <v>232151.90895180858</v>
      </c>
      <c r="G37" s="5">
        <f>'Demand Individual Assumptions'!I82</f>
        <v>231368.89230857557</v>
      </c>
      <c r="H37" s="5">
        <f>'Demand Individual Assumptions'!J82</f>
        <v>231170.17002552559</v>
      </c>
      <c r="I37" s="5">
        <f>'Demand Individual Assumptions'!K82</f>
        <v>231176.87749982136</v>
      </c>
      <c r="J37" s="5">
        <f>'Demand Individual Assumptions'!L82</f>
        <v>230845.30868813922</v>
      </c>
      <c r="K37" s="5">
        <f>'Demand Individual Assumptions'!M82</f>
        <v>230292.82281633338</v>
      </c>
      <c r="L37" s="5">
        <f>'Demand Individual Assumptions'!N82</f>
        <v>229139.10335826786</v>
      </c>
      <c r="M37" s="5">
        <f>'Demand Individual Assumptions'!O82</f>
        <v>227682.51187244139</v>
      </c>
      <c r="N37" s="31"/>
      <c r="X37" s="9"/>
    </row>
    <row r="38" spans="1:24" s="19" customFormat="1">
      <c r="A38" s="69"/>
      <c r="B38" s="1" t="s">
        <v>5466</v>
      </c>
      <c r="C38" s="5">
        <f>C35</f>
        <v>234434.48169237311</v>
      </c>
      <c r="D38" s="5">
        <f t="shared" ref="D38:M38" si="6">D35</f>
        <v>235656.89210631564</v>
      </c>
      <c r="E38" s="5">
        <f t="shared" si="6"/>
        <v>236497.5537354183</v>
      </c>
      <c r="F38" s="5">
        <f t="shared" si="6"/>
        <v>237688.55325262994</v>
      </c>
      <c r="G38" s="5">
        <f t="shared" si="6"/>
        <v>239260.41310030274</v>
      </c>
      <c r="H38" s="5">
        <f t="shared" si="6"/>
        <v>241233.63299102854</v>
      </c>
      <c r="I38" s="5">
        <f t="shared" si="6"/>
        <v>243302.7623507182</v>
      </c>
      <c r="J38" s="5">
        <f t="shared" si="6"/>
        <v>245374.19046158213</v>
      </c>
      <c r="K38" s="5">
        <f t="shared" si="6"/>
        <v>247387.78895288619</v>
      </c>
      <c r="L38" s="5">
        <f t="shared" si="6"/>
        <v>248921.81664892679</v>
      </c>
      <c r="M38" s="5">
        <f t="shared" si="6"/>
        <v>250295.51912851981</v>
      </c>
      <c r="N38" s="31"/>
      <c r="X38" s="9"/>
    </row>
    <row r="39" spans="1:24" s="19" customFormat="1">
      <c r="A39" s="69"/>
      <c r="B39" s="1" t="s">
        <v>5467</v>
      </c>
      <c r="C39" s="5">
        <f>C36</f>
        <v>234032.34909713228</v>
      </c>
      <c r="D39" s="5">
        <f t="shared" ref="D39:M39" si="7">D36</f>
        <v>234720.08004546841</v>
      </c>
      <c r="E39" s="5">
        <f t="shared" si="7"/>
        <v>234674.6326966722</v>
      </c>
      <c r="F39" s="5">
        <f t="shared" si="7"/>
        <v>235121.73432824481</v>
      </c>
      <c r="G39" s="5">
        <f t="shared" si="7"/>
        <v>235667.50183520053</v>
      </c>
      <c r="H39" s="5">
        <f t="shared" si="7"/>
        <v>236746.64480492051</v>
      </c>
      <c r="I39" s="5">
        <f t="shared" si="7"/>
        <v>238069.17438739352</v>
      </c>
      <c r="J39" s="5">
        <f t="shared" si="7"/>
        <v>239209.11608181376</v>
      </c>
      <c r="K39" s="5">
        <f t="shared" si="7"/>
        <v>240259.08493908565</v>
      </c>
      <c r="L39" s="5">
        <f t="shared" si="7"/>
        <v>240827.61148424679</v>
      </c>
      <c r="M39" s="5">
        <f t="shared" si="7"/>
        <v>241186.23596352979</v>
      </c>
      <c r="N39" s="31"/>
      <c r="X39" s="9"/>
    </row>
    <row r="40" spans="1:24" s="19" customFormat="1">
      <c r="A40" s="69"/>
      <c r="B40" s="1" t="s">
        <v>5461</v>
      </c>
      <c r="C40" s="5">
        <f>C37</f>
        <v>234032.34909713228</v>
      </c>
      <c r="D40" s="5">
        <f t="shared" ref="D40:M40" si="8">D37</f>
        <v>234024.4666362743</v>
      </c>
      <c r="E40" s="5">
        <f t="shared" si="8"/>
        <v>233027.93699633196</v>
      </c>
      <c r="F40" s="5">
        <f t="shared" si="8"/>
        <v>232151.90895180858</v>
      </c>
      <c r="G40" s="5">
        <f t="shared" si="8"/>
        <v>231368.89230857557</v>
      </c>
      <c r="H40" s="5">
        <f t="shared" si="8"/>
        <v>231170.17002552559</v>
      </c>
      <c r="I40" s="5">
        <f t="shared" si="8"/>
        <v>231176.87749982136</v>
      </c>
      <c r="J40" s="5">
        <f t="shared" si="8"/>
        <v>230845.30868813922</v>
      </c>
      <c r="K40" s="5">
        <f t="shared" si="8"/>
        <v>230292.82281633338</v>
      </c>
      <c r="L40" s="5">
        <f t="shared" si="8"/>
        <v>229139.10335826786</v>
      </c>
      <c r="M40" s="5">
        <f t="shared" si="8"/>
        <v>227682.51187244139</v>
      </c>
      <c r="N40" s="31"/>
      <c r="X40" s="9"/>
    </row>
    <row r="41" spans="1:24" s="19" customFormat="1">
      <c r="A41" s="69"/>
      <c r="B41" s="1" t="s">
        <v>5468</v>
      </c>
      <c r="C41" s="5">
        <f>C35</f>
        <v>234434.48169237311</v>
      </c>
      <c r="D41" s="5">
        <f t="shared" ref="D41:M41" si="9">D35</f>
        <v>235656.89210631564</v>
      </c>
      <c r="E41" s="5">
        <f t="shared" si="9"/>
        <v>236497.5537354183</v>
      </c>
      <c r="F41" s="5">
        <f t="shared" si="9"/>
        <v>237688.55325262994</v>
      </c>
      <c r="G41" s="5">
        <f t="shared" si="9"/>
        <v>239260.41310030274</v>
      </c>
      <c r="H41" s="5">
        <f t="shared" si="9"/>
        <v>241233.63299102854</v>
      </c>
      <c r="I41" s="5">
        <f t="shared" si="9"/>
        <v>243302.7623507182</v>
      </c>
      <c r="J41" s="5">
        <f t="shared" si="9"/>
        <v>245374.19046158213</v>
      </c>
      <c r="K41" s="5">
        <f t="shared" si="9"/>
        <v>247387.78895288619</v>
      </c>
      <c r="L41" s="5">
        <f t="shared" si="9"/>
        <v>248921.81664892679</v>
      </c>
      <c r="M41" s="5">
        <f t="shared" si="9"/>
        <v>250295.51912851981</v>
      </c>
      <c r="N41" s="31"/>
      <c r="X41" s="9"/>
    </row>
    <row r="42" spans="1:24" s="19" customFormat="1">
      <c r="A42" s="69"/>
      <c r="B42" s="1" t="s">
        <v>5469</v>
      </c>
      <c r="C42" s="5">
        <f>C36</f>
        <v>234032.34909713228</v>
      </c>
      <c r="D42" s="5">
        <f t="shared" ref="D42:M42" si="10">D36</f>
        <v>234720.08004546841</v>
      </c>
      <c r="E42" s="5">
        <f t="shared" si="10"/>
        <v>234674.6326966722</v>
      </c>
      <c r="F42" s="5">
        <f t="shared" si="10"/>
        <v>235121.73432824481</v>
      </c>
      <c r="G42" s="5">
        <f t="shared" si="10"/>
        <v>235667.50183520053</v>
      </c>
      <c r="H42" s="5">
        <f t="shared" si="10"/>
        <v>236746.64480492051</v>
      </c>
      <c r="I42" s="5">
        <f t="shared" si="10"/>
        <v>238069.17438739352</v>
      </c>
      <c r="J42" s="5">
        <f t="shared" si="10"/>
        <v>239209.11608181376</v>
      </c>
      <c r="K42" s="5">
        <f t="shared" si="10"/>
        <v>240259.08493908565</v>
      </c>
      <c r="L42" s="5">
        <f t="shared" si="10"/>
        <v>240827.61148424679</v>
      </c>
      <c r="M42" s="5">
        <f t="shared" si="10"/>
        <v>241186.23596352979</v>
      </c>
      <c r="N42" s="31"/>
      <c r="X42" s="9"/>
    </row>
    <row r="43" spans="1:24" s="19" customFormat="1">
      <c r="A43" s="69"/>
      <c r="B43" s="1" t="s">
        <v>5462</v>
      </c>
      <c r="C43" s="5">
        <f>C37</f>
        <v>234032.34909713228</v>
      </c>
      <c r="D43" s="5">
        <f t="shared" ref="D43:M43" si="11">D37</f>
        <v>234024.4666362743</v>
      </c>
      <c r="E43" s="5">
        <f t="shared" si="11"/>
        <v>233027.93699633196</v>
      </c>
      <c r="F43" s="5">
        <f t="shared" si="11"/>
        <v>232151.90895180858</v>
      </c>
      <c r="G43" s="5">
        <f t="shared" si="11"/>
        <v>231368.89230857557</v>
      </c>
      <c r="H43" s="5">
        <f t="shared" si="11"/>
        <v>231170.17002552559</v>
      </c>
      <c r="I43" s="5">
        <f t="shared" si="11"/>
        <v>231176.87749982136</v>
      </c>
      <c r="J43" s="5">
        <f t="shared" si="11"/>
        <v>230845.30868813922</v>
      </c>
      <c r="K43" s="5">
        <f t="shared" si="11"/>
        <v>230292.82281633338</v>
      </c>
      <c r="L43" s="5">
        <f t="shared" si="11"/>
        <v>229139.10335826786</v>
      </c>
      <c r="M43" s="5">
        <f t="shared" si="11"/>
        <v>227682.51187244139</v>
      </c>
      <c r="N43" s="31"/>
      <c r="X43" s="9"/>
    </row>
    <row r="44" spans="1:24" s="19" customFormat="1">
      <c r="A44" s="69"/>
      <c r="B44" s="1" t="s">
        <v>5470</v>
      </c>
      <c r="C44" s="5">
        <f>'Demand Individual Assumptions'!E91</f>
        <v>236712.34909713233</v>
      </c>
      <c r="D44" s="5">
        <f>'Demand Individual Assumptions'!F91</f>
        <v>238472.08004546844</v>
      </c>
      <c r="E44" s="5">
        <f>'Demand Individual Assumptions'!G91</f>
        <v>239713.6326966722</v>
      </c>
      <c r="F44" s="5">
        <f>'Demand Individual Assumptions'!H91</f>
        <v>241428.73432824478</v>
      </c>
      <c r="G44" s="5">
        <f>'Demand Individual Assumptions'!I91</f>
        <v>243593.50183520056</v>
      </c>
      <c r="H44" s="5">
        <f>'Demand Individual Assumptions'!J91</f>
        <v>246133.64480492051</v>
      </c>
      <c r="I44" s="5">
        <f>'Demand Individual Assumptions'!K91</f>
        <v>248861.17438739358</v>
      </c>
      <c r="J44" s="5">
        <f>'Demand Individual Assumptions'!L91</f>
        <v>251106.11608181379</v>
      </c>
      <c r="K44" s="5">
        <f>'Demand Individual Assumptions'!M91</f>
        <v>253327.08493908562</v>
      </c>
      <c r="L44" s="5">
        <f>'Demand Individual Assumptions'!N91</f>
        <v>255064.61148424679</v>
      </c>
      <c r="M44" s="5">
        <f>'Demand Individual Assumptions'!O91</f>
        <v>256534.23596352973</v>
      </c>
      <c r="N44" s="31"/>
      <c r="X44" s="9"/>
    </row>
    <row r="45" spans="1:24" s="19" customFormat="1">
      <c r="A45" s="69"/>
      <c r="B45" s="1" t="s">
        <v>5471</v>
      </c>
      <c r="C45" s="5">
        <f>C44</f>
        <v>236712.34909713233</v>
      </c>
      <c r="D45" s="5">
        <f t="shared" ref="D45:M45" si="12">D44</f>
        <v>238472.08004546844</v>
      </c>
      <c r="E45" s="5">
        <f t="shared" si="12"/>
        <v>239713.6326966722</v>
      </c>
      <c r="F45" s="5">
        <f t="shared" si="12"/>
        <v>241428.73432824478</v>
      </c>
      <c r="G45" s="5">
        <f t="shared" si="12"/>
        <v>243593.50183520056</v>
      </c>
      <c r="H45" s="5">
        <f t="shared" si="12"/>
        <v>246133.64480492051</v>
      </c>
      <c r="I45" s="5">
        <f t="shared" si="12"/>
        <v>248861.17438739358</v>
      </c>
      <c r="J45" s="5">
        <f t="shared" si="12"/>
        <v>251106.11608181379</v>
      </c>
      <c r="K45" s="5">
        <f t="shared" si="12"/>
        <v>253327.08493908562</v>
      </c>
      <c r="L45" s="5">
        <f t="shared" si="12"/>
        <v>255064.61148424679</v>
      </c>
      <c r="M45" s="5">
        <f t="shared" si="12"/>
        <v>256534.23596352973</v>
      </c>
      <c r="N45" s="31"/>
      <c r="X45" s="9"/>
    </row>
    <row r="46" spans="1:24" s="19" customFormat="1">
      <c r="A46" s="69"/>
      <c r="B46" s="1" t="s">
        <v>5472</v>
      </c>
      <c r="C46" s="5">
        <f>C44</f>
        <v>236712.34909713233</v>
      </c>
      <c r="D46" s="5">
        <f t="shared" ref="D46:M46" si="13">D44</f>
        <v>238472.08004546844</v>
      </c>
      <c r="E46" s="5">
        <f t="shared" si="13"/>
        <v>239713.6326966722</v>
      </c>
      <c r="F46" s="5">
        <f t="shared" si="13"/>
        <v>241428.73432824478</v>
      </c>
      <c r="G46" s="5">
        <f t="shared" si="13"/>
        <v>243593.50183520056</v>
      </c>
      <c r="H46" s="5">
        <f t="shared" si="13"/>
        <v>246133.64480492051</v>
      </c>
      <c r="I46" s="5">
        <f t="shared" si="13"/>
        <v>248861.17438739358</v>
      </c>
      <c r="J46" s="5">
        <f t="shared" si="13"/>
        <v>251106.11608181379</v>
      </c>
      <c r="K46" s="5">
        <f t="shared" si="13"/>
        <v>253327.08493908562</v>
      </c>
      <c r="L46" s="5">
        <f t="shared" si="13"/>
        <v>255064.61148424679</v>
      </c>
      <c r="M46" s="5">
        <f t="shared" si="13"/>
        <v>256534.23596352973</v>
      </c>
      <c r="N46" s="31"/>
      <c r="X46" s="9"/>
    </row>
    <row r="47" spans="1:24" s="19" customFormat="1">
      <c r="A47" s="69"/>
      <c r="B47" s="1"/>
      <c r="C47" s="5"/>
      <c r="D47" s="5"/>
      <c r="E47" s="5"/>
      <c r="F47" s="5"/>
      <c r="G47" s="5"/>
      <c r="H47" s="5"/>
      <c r="I47" s="5"/>
      <c r="J47" s="5"/>
      <c r="K47" s="32"/>
      <c r="L47" s="5"/>
      <c r="M47" s="5"/>
      <c r="N47" s="31"/>
      <c r="X47" s="9"/>
    </row>
    <row r="48" spans="1:24" s="19" customFormat="1">
      <c r="A48" s="69"/>
      <c r="B48" s="10" t="s">
        <v>4368</v>
      </c>
      <c r="C48" s="5"/>
      <c r="D48" s="5"/>
      <c r="E48" s="5"/>
      <c r="F48" s="5"/>
      <c r="G48" s="5"/>
      <c r="H48" s="5"/>
      <c r="I48" s="5"/>
      <c r="J48" s="5"/>
      <c r="K48" s="32"/>
      <c r="L48" s="5"/>
      <c r="M48" s="5"/>
      <c r="N48" s="31"/>
      <c r="X48" s="9"/>
    </row>
    <row r="49" spans="1:24" s="19" customFormat="1">
      <c r="A49" s="69"/>
      <c r="B49" s="718" t="s">
        <v>4697</v>
      </c>
      <c r="C49" s="5"/>
      <c r="D49" s="5"/>
      <c r="E49" s="5"/>
      <c r="F49" s="5"/>
      <c r="G49" s="5"/>
      <c r="H49" s="5"/>
      <c r="I49" s="5"/>
      <c r="J49" s="5"/>
      <c r="K49" s="32"/>
      <c r="L49" s="5"/>
      <c r="M49" s="5"/>
      <c r="N49" s="31"/>
      <c r="X49" s="9"/>
    </row>
    <row r="50" spans="1:24" s="19" customFormat="1">
      <c r="A50" s="69"/>
      <c r="B50" s="132" t="s">
        <v>7</v>
      </c>
      <c r="C50" s="5">
        <f>'Demand Individual Assumptions'!E95</f>
        <v>267682</v>
      </c>
      <c r="D50" s="5">
        <f>'Demand Individual Assumptions'!F95</f>
        <v>270795</v>
      </c>
      <c r="E50" s="5">
        <f>'Demand Individual Assumptions'!G95</f>
        <v>273493</v>
      </c>
      <c r="F50" s="5">
        <f>'Demand Individual Assumptions'!H95</f>
        <v>276627</v>
      </c>
      <c r="G50" s="5">
        <f>'Demand Individual Assumptions'!I95</f>
        <v>279456</v>
      </c>
      <c r="H50" s="5">
        <f>'Demand Individual Assumptions'!J95</f>
        <v>283107</v>
      </c>
      <c r="I50" s="5">
        <f>'Demand Individual Assumptions'!K95</f>
        <v>286858</v>
      </c>
      <c r="J50" s="5">
        <f>'Demand Individual Assumptions'!L95</f>
        <v>290466</v>
      </c>
      <c r="K50" s="32">
        <f>'Demand Individual Assumptions'!M95</f>
        <v>294119</v>
      </c>
      <c r="L50" s="5">
        <f>'Demand Individual Assumptions'!N95</f>
        <v>297413</v>
      </c>
      <c r="M50" s="5">
        <f>'Demand Individual Assumptions'!O95</f>
        <v>300516</v>
      </c>
      <c r="N50" s="31"/>
      <c r="X50" s="9"/>
    </row>
    <row r="51" spans="1:24" s="19" customFormat="1">
      <c r="A51" s="69"/>
      <c r="B51" s="132" t="s">
        <v>1</v>
      </c>
      <c r="C51" s="5">
        <f>'Demand Individual Assumptions'!E99</f>
        <v>270814</v>
      </c>
      <c r="D51" s="5">
        <f>'Demand Individual Assumptions'!F99</f>
        <v>275113</v>
      </c>
      <c r="E51" s="5">
        <f>'Demand Individual Assumptions'!G99</f>
        <v>279272</v>
      </c>
      <c r="F51" s="5">
        <f>'Demand Individual Assumptions'!H99</f>
        <v>283834</v>
      </c>
      <c r="G51" s="5">
        <f>'Demand Individual Assumptions'!I99</f>
        <v>288472</v>
      </c>
      <c r="H51" s="5">
        <f>'Demand Individual Assumptions'!J99</f>
        <v>293755</v>
      </c>
      <c r="I51" s="5">
        <f>'Demand Individual Assumptions'!K99</f>
        <v>299030</v>
      </c>
      <c r="J51" s="5">
        <f>'Demand Individual Assumptions'!L99</f>
        <v>303855</v>
      </c>
      <c r="K51" s="5">
        <f>'Demand Individual Assumptions'!M99</f>
        <v>308824</v>
      </c>
      <c r="L51" s="5">
        <f>'Demand Individual Assumptions'!N99</f>
        <v>313428</v>
      </c>
      <c r="M51" s="5">
        <f>'Demand Individual Assumptions'!O99</f>
        <v>317781</v>
      </c>
      <c r="N51" s="31"/>
      <c r="X51" s="9"/>
    </row>
    <row r="52" spans="1:24" s="19" customFormat="1">
      <c r="A52" s="69"/>
      <c r="B52" s="719" t="s">
        <v>4698</v>
      </c>
      <c r="C52" s="5"/>
      <c r="D52" s="5"/>
      <c r="E52" s="5"/>
      <c r="F52" s="5"/>
      <c r="G52" s="5"/>
      <c r="H52" s="5"/>
      <c r="I52" s="5"/>
      <c r="J52" s="5"/>
      <c r="K52" s="5"/>
      <c r="L52" s="5"/>
      <c r="M52" s="5"/>
      <c r="N52" s="31"/>
      <c r="X52" s="9"/>
    </row>
    <row r="53" spans="1:24" s="19" customFormat="1">
      <c r="A53" s="69"/>
      <c r="B53" s="132" t="s">
        <v>7</v>
      </c>
      <c r="C53" s="5">
        <f>'Demand Individual Assumptions'!E96</f>
        <v>9228</v>
      </c>
      <c r="D53" s="5">
        <f>'Demand Individual Assumptions'!F96</f>
        <v>9223</v>
      </c>
      <c r="E53" s="5">
        <f>'Demand Individual Assumptions'!G96</f>
        <v>9218</v>
      </c>
      <c r="F53" s="5">
        <f>'Demand Individual Assumptions'!H96</f>
        <v>9227</v>
      </c>
      <c r="G53" s="5">
        <f>'Demand Individual Assumptions'!I96</f>
        <v>9233</v>
      </c>
      <c r="H53" s="5">
        <f>'Demand Individual Assumptions'!J96</f>
        <v>9239</v>
      </c>
      <c r="I53" s="5">
        <f>'Demand Individual Assumptions'!K96</f>
        <v>9244</v>
      </c>
      <c r="J53" s="5">
        <f>'Demand Individual Assumptions'!L96</f>
        <v>9252</v>
      </c>
      <c r="K53" s="32">
        <f>'Demand Individual Assumptions'!M96</f>
        <v>9259</v>
      </c>
      <c r="L53" s="5">
        <f>'Demand Individual Assumptions'!N96</f>
        <v>9265</v>
      </c>
      <c r="M53" s="5">
        <f>'Demand Individual Assumptions'!O96</f>
        <v>9272</v>
      </c>
      <c r="N53" s="31"/>
      <c r="X53" s="9"/>
    </row>
    <row r="54" spans="1:24" s="19" customFormat="1">
      <c r="A54" s="69"/>
      <c r="B54" s="132" t="s">
        <v>1</v>
      </c>
      <c r="C54" s="5">
        <f>'Demand Individual Assumptions'!E100</f>
        <v>9229</v>
      </c>
      <c r="D54" s="5">
        <f>'Demand Individual Assumptions'!F100</f>
        <v>9223</v>
      </c>
      <c r="E54" s="5">
        <f>'Demand Individual Assumptions'!G100</f>
        <v>9218</v>
      </c>
      <c r="F54" s="5">
        <f>'Demand Individual Assumptions'!H100</f>
        <v>9227</v>
      </c>
      <c r="G54" s="5">
        <f>'Demand Individual Assumptions'!I100</f>
        <v>9233</v>
      </c>
      <c r="H54" s="5">
        <f>'Demand Individual Assumptions'!J100</f>
        <v>9239</v>
      </c>
      <c r="I54" s="5">
        <f>'Demand Individual Assumptions'!K100</f>
        <v>9245</v>
      </c>
      <c r="J54" s="5">
        <f>'Demand Individual Assumptions'!L100</f>
        <v>9252</v>
      </c>
      <c r="K54" s="5">
        <f>'Demand Individual Assumptions'!M100</f>
        <v>9259</v>
      </c>
      <c r="L54" s="5">
        <f>'Demand Individual Assumptions'!N100</f>
        <v>9265</v>
      </c>
      <c r="M54" s="5">
        <f>'Demand Individual Assumptions'!O100</f>
        <v>9272</v>
      </c>
      <c r="N54" s="31"/>
      <c r="X54" s="9"/>
    </row>
    <row r="55" spans="1:24" s="19" customFormat="1">
      <c r="A55" s="69"/>
      <c r="B55" s="1"/>
      <c r="C55" s="5"/>
      <c r="D55" s="5"/>
      <c r="E55" s="5"/>
      <c r="F55" s="5"/>
      <c r="G55" s="5"/>
      <c r="H55" s="5"/>
      <c r="I55" s="5"/>
      <c r="J55" s="5"/>
      <c r="K55" s="32"/>
      <c r="L55" s="5"/>
      <c r="M55" s="5"/>
      <c r="N55" s="31"/>
      <c r="X55" s="9"/>
    </row>
    <row r="56" spans="1:24">
      <c r="A56" s="69"/>
      <c r="B56" s="102" t="s">
        <v>3341</v>
      </c>
      <c r="C56" s="15"/>
      <c r="D56" s="15"/>
      <c r="E56" s="15"/>
      <c r="F56" s="15"/>
      <c r="G56" s="15"/>
      <c r="H56" s="15"/>
      <c r="I56" s="15"/>
      <c r="J56" s="15"/>
      <c r="K56" s="15"/>
      <c r="L56" s="15"/>
      <c r="M56" s="15"/>
      <c r="N56" s="15"/>
      <c r="O56" s="15"/>
      <c r="P56" s="15"/>
      <c r="Q56" s="15"/>
      <c r="R56" s="15"/>
      <c r="S56" s="15"/>
      <c r="T56" s="15"/>
      <c r="U56" s="15"/>
      <c r="V56" s="15"/>
      <c r="W56" s="15"/>
    </row>
    <row r="57" spans="1:24">
      <c r="A57" s="69"/>
    </row>
    <row r="58" spans="1:24">
      <c r="A58" s="69"/>
      <c r="B58" s="10" t="s">
        <v>5484</v>
      </c>
    </row>
    <row r="59" spans="1:24" s="19" customFormat="1">
      <c r="A59" s="69"/>
      <c r="B59" s="35" t="s">
        <v>5474</v>
      </c>
      <c r="C59" s="5">
        <f>'Demand Individual Assumptions'!E109</f>
        <v>559.04054628063784</v>
      </c>
      <c r="D59" s="5">
        <f>'Demand Individual Assumptions'!F109</f>
        <v>2000.4751008213013</v>
      </c>
      <c r="E59" s="5">
        <f>'Demand Individual Assumptions'!G109</f>
        <v>3456.5586529838301</v>
      </c>
      <c r="F59" s="5">
        <f>'Demand Individual Assumptions'!H109</f>
        <v>4944.5436344469736</v>
      </c>
      <c r="G59" s="5">
        <f>'Demand Individual Assumptions'!I109</f>
        <v>5833.3485484856619</v>
      </c>
      <c r="H59" s="5">
        <f>'Demand Individual Assumptions'!J109</f>
        <v>6959.7479927882459</v>
      </c>
      <c r="I59" s="5">
        <f>'Demand Individual Assumptions'!K109</f>
        <v>8014.5249528818385</v>
      </c>
      <c r="J59" s="5">
        <f>'Demand Individual Assumptions'!L109</f>
        <v>9026.4728933386614</v>
      </c>
      <c r="K59" s="5">
        <f>'Demand Individual Assumptions'!M109</f>
        <v>10076.761893570818</v>
      </c>
      <c r="L59" s="5">
        <f>'Demand Individual Assumptions'!N109</f>
        <v>11281.290274501545</v>
      </c>
      <c r="M59" s="5">
        <f>'Demand Individual Assumptions'!O109</f>
        <v>12456.650711153085</v>
      </c>
      <c r="N59" s="31"/>
      <c r="X59" s="9"/>
    </row>
    <row r="60" spans="1:24">
      <c r="A60" s="69"/>
      <c r="B60" s="35" t="s">
        <v>5473</v>
      </c>
      <c r="C60" s="5">
        <f>'Demand Individual Assumptions'!E119</f>
        <v>931.15886819940556</v>
      </c>
      <c r="D60" s="5">
        <f>'Demand Individual Assumptions'!F119</f>
        <v>2867.5320209017432</v>
      </c>
      <c r="E60" s="5">
        <f>'Demand Individual Assumptions'!G119</f>
        <v>5143.7679280182992</v>
      </c>
      <c r="F60" s="5">
        <f>'Demand Individual Assumptions'!H119</f>
        <v>7320.0617910192341</v>
      </c>
      <c r="G60" s="5">
        <f>'Demand Individual Assumptions'!I119</f>
        <v>9158.3135902022423</v>
      </c>
      <c r="H60" s="5">
        <f>'Demand Individual Assumptions'!J119</f>
        <v>11112.054223595758</v>
      </c>
      <c r="I60" s="5">
        <f>'Demand Individual Assumptions'!K119</f>
        <v>12857.404525005972</v>
      </c>
      <c r="J60" s="5">
        <f>'Demand Individual Assumptions'!L119</f>
        <v>14731.096281875754</v>
      </c>
      <c r="K60" s="5">
        <f>'Demand Individual Assumptions'!M119</f>
        <v>16672.842083149841</v>
      </c>
      <c r="L60" s="5">
        <f>'Demand Individual Assumptions'!N119</f>
        <v>18770.56718970224</v>
      </c>
      <c r="M60" s="5">
        <f>'Demand Individual Assumptions'!O119</f>
        <v>20885.066236255039</v>
      </c>
    </row>
    <row r="61" spans="1:24" s="19" customFormat="1">
      <c r="A61" s="69"/>
      <c r="B61" s="1" t="s">
        <v>5475</v>
      </c>
      <c r="C61" s="5">
        <f>'Demand Individual Assumptions'!E129</f>
        <v>931.15886819940556</v>
      </c>
      <c r="D61" s="5">
        <f>'Demand Individual Assumptions'!F129</f>
        <v>3510.0164805755835</v>
      </c>
      <c r="E61" s="5">
        <f>'Demand Individual Assumptions'!G129</f>
        <v>6665.2455344935679</v>
      </c>
      <c r="F61" s="5">
        <f>'Demand Individual Assumptions'!H129</f>
        <v>10064.874048876211</v>
      </c>
      <c r="G61" s="5">
        <f>'Demand Individual Assumptions'!I129</f>
        <v>13132.736294105476</v>
      </c>
      <c r="H61" s="5">
        <f>'Demand Individual Assumptions'!J129</f>
        <v>16269.556310348209</v>
      </c>
      <c r="I61" s="5">
        <f>'Demand Individual Assumptions'!K129</f>
        <v>19232.561092150536</v>
      </c>
      <c r="J61" s="5">
        <f>'Demand Individual Assumptions'!L129</f>
        <v>22468.294226321883</v>
      </c>
      <c r="K61" s="5">
        <f>'Demand Individual Assumptions'!M129</f>
        <v>25893.476766164626</v>
      </c>
      <c r="L61" s="5">
        <f>'Demand Individual Assumptions'!N129</f>
        <v>29585.654391129483</v>
      </c>
      <c r="M61" s="5">
        <f>'Demand Individual Assumptions'!O129</f>
        <v>33380.474275088789</v>
      </c>
      <c r="N61" s="31"/>
      <c r="X61" s="9"/>
    </row>
    <row r="62" spans="1:24">
      <c r="A62" s="69"/>
    </row>
    <row r="63" spans="1:24" s="19" customFormat="1">
      <c r="A63" s="69"/>
      <c r="B63" s="10" t="s">
        <v>4384</v>
      </c>
      <c r="C63" s="5"/>
      <c r="D63" s="5"/>
      <c r="E63" s="5"/>
      <c r="F63" s="5"/>
      <c r="G63" s="5"/>
      <c r="H63" s="5"/>
      <c r="I63" s="5"/>
      <c r="J63" s="5"/>
      <c r="K63" s="5"/>
      <c r="L63" s="5"/>
      <c r="M63" s="5"/>
      <c r="N63" s="5"/>
      <c r="O63" s="5"/>
      <c r="P63" s="5"/>
      <c r="Q63" s="5"/>
      <c r="R63" s="5"/>
      <c r="S63" s="5"/>
      <c r="T63" s="5"/>
      <c r="U63" s="5"/>
      <c r="V63" s="5"/>
      <c r="W63" s="5"/>
      <c r="X63" s="9"/>
    </row>
    <row r="64" spans="1:24" s="19" customFormat="1">
      <c r="A64" s="69"/>
      <c r="B64" s="1"/>
      <c r="C64" s="5">
        <f>'Demand Individual Assumptions'!E205</f>
        <v>1447.7000000000003</v>
      </c>
      <c r="D64" s="5">
        <f>'Demand Individual Assumptions'!F205</f>
        <v>1694.1800000000003</v>
      </c>
      <c r="E64" s="5">
        <f>'Demand Individual Assumptions'!G205</f>
        <v>1940.8000000000002</v>
      </c>
      <c r="F64" s="5">
        <f>'Demand Individual Assumptions'!H205</f>
        <v>2187.3500000000004</v>
      </c>
      <c r="G64" s="5">
        <f>'Demand Individual Assumptions'!I205</f>
        <v>2433.9000000000005</v>
      </c>
      <c r="H64" s="5">
        <f>'Demand Individual Assumptions'!J205</f>
        <v>2680.45</v>
      </c>
      <c r="I64" s="5">
        <f>'Demand Individual Assumptions'!K205</f>
        <v>2927</v>
      </c>
      <c r="J64" s="5">
        <f>'Demand Individual Assumptions'!L205</f>
        <v>3173.55</v>
      </c>
      <c r="K64" s="5">
        <f>'Demand Individual Assumptions'!M205</f>
        <v>3420</v>
      </c>
      <c r="L64" s="5">
        <f>'Demand Individual Assumptions'!N205</f>
        <v>3420</v>
      </c>
      <c r="M64" s="5">
        <f>'Demand Individual Assumptions'!O205</f>
        <v>3420</v>
      </c>
      <c r="N64" s="32"/>
      <c r="O64" s="5"/>
      <c r="P64" s="5"/>
      <c r="Q64" s="5"/>
      <c r="R64" s="5"/>
      <c r="S64" s="5"/>
      <c r="T64" s="5"/>
      <c r="U64" s="5"/>
      <c r="V64" s="5"/>
      <c r="W64" s="5"/>
      <c r="X64" s="9"/>
    </row>
    <row r="65" spans="1:24" s="19" customFormat="1">
      <c r="A65" s="69"/>
      <c r="B65" s="1"/>
      <c r="C65" s="5"/>
      <c r="D65" s="5"/>
      <c r="E65" s="5"/>
      <c r="F65" s="5"/>
      <c r="G65" s="5"/>
      <c r="H65" s="5"/>
      <c r="I65" s="5"/>
      <c r="J65" s="5"/>
      <c r="K65" s="5"/>
      <c r="L65" s="5"/>
      <c r="M65" s="5"/>
      <c r="N65" s="32"/>
      <c r="O65" s="5"/>
      <c r="P65" s="5"/>
      <c r="Q65" s="5"/>
      <c r="R65" s="5"/>
      <c r="S65" s="5"/>
      <c r="T65" s="5"/>
      <c r="U65" s="5"/>
      <c r="V65" s="5"/>
      <c r="W65" s="5"/>
      <c r="X65" s="9"/>
    </row>
    <row r="66" spans="1:24">
      <c r="A66" s="69"/>
      <c r="B66" s="103" t="s">
        <v>5300</v>
      </c>
      <c r="C66" s="16"/>
      <c r="D66" s="16"/>
      <c r="E66" s="16"/>
      <c r="F66" s="16"/>
      <c r="G66" s="16"/>
      <c r="H66" s="16"/>
      <c r="I66" s="16"/>
      <c r="J66" s="16"/>
      <c r="K66" s="16"/>
      <c r="L66" s="16"/>
      <c r="M66" s="16"/>
      <c r="N66" s="16"/>
      <c r="O66" s="16"/>
      <c r="P66" s="16"/>
      <c r="Q66" s="16"/>
      <c r="R66" s="16"/>
      <c r="S66" s="16"/>
      <c r="T66" s="16"/>
      <c r="U66" s="16"/>
      <c r="V66" s="16"/>
      <c r="W66" s="16"/>
    </row>
    <row r="67" spans="1:24">
      <c r="A67" s="69"/>
      <c r="B67" s="10" t="s">
        <v>10</v>
      </c>
    </row>
    <row r="68" spans="1:24" s="19" customFormat="1">
      <c r="A68" s="69"/>
      <c r="B68" s="1" t="s">
        <v>4271</v>
      </c>
      <c r="C68" s="5">
        <v>0</v>
      </c>
      <c r="D68" s="5">
        <f>C68</f>
        <v>0</v>
      </c>
      <c r="E68" s="5">
        <f t="shared" ref="E68:M68" si="14">D68</f>
        <v>0</v>
      </c>
      <c r="F68" s="5">
        <f t="shared" si="14"/>
        <v>0</v>
      </c>
      <c r="G68" s="5">
        <f t="shared" si="14"/>
        <v>0</v>
      </c>
      <c r="H68" s="5">
        <f t="shared" si="14"/>
        <v>0</v>
      </c>
      <c r="I68" s="5">
        <f t="shared" si="14"/>
        <v>0</v>
      </c>
      <c r="J68" s="5">
        <f t="shared" si="14"/>
        <v>0</v>
      </c>
      <c r="K68" s="32">
        <f t="shared" si="14"/>
        <v>0</v>
      </c>
      <c r="L68" s="5">
        <f t="shared" si="14"/>
        <v>0</v>
      </c>
      <c r="M68" s="5">
        <f t="shared" si="14"/>
        <v>0</v>
      </c>
      <c r="N68" s="5">
        <f t="shared" ref="N68" si="15">M68</f>
        <v>0</v>
      </c>
      <c r="O68" s="5">
        <f t="shared" ref="O68" si="16">N68</f>
        <v>0</v>
      </c>
      <c r="P68" s="5">
        <f t="shared" ref="P68" si="17">O68</f>
        <v>0</v>
      </c>
      <c r="Q68" s="5">
        <f t="shared" ref="Q68" si="18">P68</f>
        <v>0</v>
      </c>
      <c r="R68" s="5">
        <f t="shared" ref="R68" si="19">Q68</f>
        <v>0</v>
      </c>
      <c r="S68" s="5">
        <f t="shared" ref="S68" si="20">R68</f>
        <v>0</v>
      </c>
      <c r="T68" s="5">
        <f t="shared" ref="T68" si="21">S68</f>
        <v>0</v>
      </c>
      <c r="U68" s="5">
        <f t="shared" ref="U68" si="22">T68</f>
        <v>0</v>
      </c>
      <c r="V68" s="5">
        <f t="shared" ref="V68" si="23">U68</f>
        <v>0</v>
      </c>
      <c r="W68" s="5">
        <f t="shared" ref="W68" si="24">V68</f>
        <v>0</v>
      </c>
      <c r="X68" s="9"/>
    </row>
    <row r="69" spans="1:24">
      <c r="A69" s="69"/>
      <c r="B69" s="1" t="s">
        <v>0</v>
      </c>
      <c r="C69" s="5">
        <f>'Demand Individual Assumptions'!E173</f>
        <v>13.058603072621661</v>
      </c>
      <c r="D69" s="5">
        <f>'Demand Individual Assumptions'!F173</f>
        <v>39.332768042374468</v>
      </c>
      <c r="E69" s="5">
        <f>'Demand Individual Assumptions'!G173</f>
        <v>75.065092249491769</v>
      </c>
      <c r="F69" s="5">
        <f>'Demand Individual Assumptions'!H173</f>
        <v>82.841452679532466</v>
      </c>
      <c r="G69" s="5">
        <f>'Demand Individual Assumptions'!I173</f>
        <v>92.581100991034688</v>
      </c>
      <c r="H69" s="5">
        <f>'Demand Individual Assumptions'!J173</f>
        <v>106.84559854529094</v>
      </c>
      <c r="I69" s="5">
        <f>'Demand Individual Assumptions'!K173</f>
        <v>152.10504538475769</v>
      </c>
      <c r="J69" s="5">
        <f>'Demand Individual Assumptions'!L173</f>
        <v>196.22348366911183</v>
      </c>
      <c r="K69" s="5">
        <f>'Demand Individual Assumptions'!M173</f>
        <v>240.98597971983068</v>
      </c>
      <c r="L69" s="5">
        <f>'Demand Individual Assumptions'!N173</f>
        <v>286.1068418261616</v>
      </c>
      <c r="M69" s="5">
        <f>'Demand Individual Assumptions'!O173</f>
        <v>333.1128348794806</v>
      </c>
      <c r="N69" s="5">
        <f>'Demand Individual Assumptions'!P173</f>
        <v>370.34467094021647</v>
      </c>
      <c r="O69" s="5">
        <f>'Demand Individual Assumptions'!Q173</f>
        <v>409.20468767260826</v>
      </c>
      <c r="P69" s="5">
        <f>'Demand Individual Assumptions'!R173</f>
        <v>446.59793371501462</v>
      </c>
      <c r="Q69" s="5">
        <f>'Demand Individual Assumptions'!S173</f>
        <v>482.63111994175699</v>
      </c>
      <c r="R69" s="5">
        <f>'Demand Individual Assumptions'!T173</f>
        <v>517.39971962780328</v>
      </c>
      <c r="S69" s="5">
        <f>'Demand Individual Assumptions'!U173</f>
        <v>550.9894929759397</v>
      </c>
      <c r="T69" s="5">
        <f>'Demand Individual Assumptions'!V173</f>
        <v>583.4777615745669</v>
      </c>
      <c r="U69" s="5">
        <f>'Demand Individual Assumptions'!W173</f>
        <v>614.93448044947615</v>
      </c>
      <c r="V69" s="5">
        <f>'Demand Individual Assumptions'!X173</f>
        <v>645.42314509971266</v>
      </c>
      <c r="W69" s="5">
        <f>'Demand Individual Assumptions'!Y173</f>
        <v>675.00156308957037</v>
      </c>
    </row>
    <row r="70" spans="1:24">
      <c r="A70" s="69"/>
      <c r="B70" s="1" t="s">
        <v>1</v>
      </c>
      <c r="C70" s="5">
        <f>'Demand Individual Assumptions'!E174</f>
        <v>15.550493936010735</v>
      </c>
      <c r="D70" s="5">
        <f>'Demand Individual Assumptions'!F174</f>
        <v>30.964882805193678</v>
      </c>
      <c r="E70" s="5">
        <f>'Demand Individual Assumptions'!G174</f>
        <v>149.32847773082895</v>
      </c>
      <c r="F70" s="5">
        <f>'Demand Individual Assumptions'!H174</f>
        <v>377.7550010929516</v>
      </c>
      <c r="G70" s="5">
        <f>'Demand Individual Assumptions'!I174</f>
        <v>625.83188363115585</v>
      </c>
      <c r="H70" s="5">
        <f>'Demand Individual Assumptions'!J174</f>
        <v>893.9467981265185</v>
      </c>
      <c r="I70" s="5">
        <f>'Demand Individual Assumptions'!K174</f>
        <v>1160.3347577696047</v>
      </c>
      <c r="J70" s="5">
        <f>'Demand Individual Assumptions'!L174</f>
        <v>1267.809996401277</v>
      </c>
      <c r="K70" s="5">
        <f>'Demand Individual Assumptions'!M174</f>
        <v>1416.825805257932</v>
      </c>
      <c r="L70" s="5">
        <f>'Demand Individual Assumptions'!N174</f>
        <v>1542.6392000389876</v>
      </c>
      <c r="M70" s="5">
        <f>'Demand Individual Assumptions'!O174</f>
        <v>1647.3308505875018</v>
      </c>
      <c r="N70" s="5">
        <f>'Demand Individual Assumptions'!P174</f>
        <v>1763.1696188581961</v>
      </c>
      <c r="O70" s="5">
        <f>'Demand Individual Assumptions'!Q174</f>
        <v>1870.6458389145255</v>
      </c>
      <c r="P70" s="5">
        <f>'Demand Individual Assumptions'!R174</f>
        <v>1974.0653708192685</v>
      </c>
      <c r="Q70" s="5">
        <f>'Demand Individual Assumptions'!S174</f>
        <v>2073.7233477806622</v>
      </c>
      <c r="R70" s="5">
        <f>'Demand Individual Assumptions'!T174</f>
        <v>2169.8838228684949</v>
      </c>
      <c r="S70" s="5">
        <f>'Demand Individual Assumptions'!U174</f>
        <v>2262.7839854409276</v>
      </c>
      <c r="T70" s="5">
        <f>'Demand Individual Assumptions'!V174</f>
        <v>2352.637685947569</v>
      </c>
      <c r="U70" s="5">
        <f>'Demand Individual Assumptions'!W174</f>
        <v>2439.6384009326375</v>
      </c>
      <c r="V70" s="5">
        <f>'Demand Individual Assumptions'!X174</f>
        <v>2523.9617416490887</v>
      </c>
      <c r="W70" s="5">
        <f>'Demand Individual Assumptions'!Y174</f>
        <v>2605.7675880718543</v>
      </c>
    </row>
    <row r="71" spans="1:24">
      <c r="A71" s="69"/>
    </row>
    <row r="72" spans="1:24" s="7" customFormat="1">
      <c r="A72" s="69"/>
      <c r="B72" s="10" t="s">
        <v>3330</v>
      </c>
      <c r="K72" s="31"/>
      <c r="N72" s="31"/>
      <c r="X72" s="9"/>
    </row>
    <row r="73" spans="1:24" s="19" customFormat="1">
      <c r="A73" s="69"/>
      <c r="B73" s="1" t="s">
        <v>4271</v>
      </c>
      <c r="C73" s="5">
        <v>0</v>
      </c>
      <c r="D73" s="5">
        <f>C73</f>
        <v>0</v>
      </c>
      <c r="E73" s="5">
        <f t="shared" ref="E73:M73" si="25">D73</f>
        <v>0</v>
      </c>
      <c r="F73" s="5">
        <f t="shared" si="25"/>
        <v>0</v>
      </c>
      <c r="G73" s="5">
        <f t="shared" si="25"/>
        <v>0</v>
      </c>
      <c r="H73" s="5">
        <f t="shared" si="25"/>
        <v>0</v>
      </c>
      <c r="I73" s="5">
        <f t="shared" si="25"/>
        <v>0</v>
      </c>
      <c r="J73" s="5">
        <f t="shared" si="25"/>
        <v>0</v>
      </c>
      <c r="K73" s="32">
        <f t="shared" si="25"/>
        <v>0</v>
      </c>
      <c r="L73" s="5">
        <f t="shared" si="25"/>
        <v>0</v>
      </c>
      <c r="M73" s="5">
        <f t="shared" si="25"/>
        <v>0</v>
      </c>
      <c r="N73" s="5">
        <f t="shared" ref="N73" si="26">M73</f>
        <v>0</v>
      </c>
      <c r="O73" s="5">
        <f t="shared" ref="O73" si="27">N73</f>
        <v>0</v>
      </c>
      <c r="P73" s="5">
        <f t="shared" ref="P73" si="28">O73</f>
        <v>0</v>
      </c>
      <c r="Q73" s="5">
        <f t="shared" ref="Q73" si="29">P73</f>
        <v>0</v>
      </c>
      <c r="R73" s="5">
        <f t="shared" ref="R73" si="30">Q73</f>
        <v>0</v>
      </c>
      <c r="S73" s="5">
        <f t="shared" ref="S73" si="31">R73</f>
        <v>0</v>
      </c>
      <c r="T73" s="5">
        <f t="shared" ref="T73" si="32">S73</f>
        <v>0</v>
      </c>
      <c r="U73" s="5">
        <f t="shared" ref="U73" si="33">T73</f>
        <v>0</v>
      </c>
      <c r="V73" s="5">
        <f t="shared" ref="V73" si="34">U73</f>
        <v>0</v>
      </c>
      <c r="W73" s="5">
        <f t="shared" ref="W73" si="35">V73</f>
        <v>0</v>
      </c>
      <c r="X73" s="9"/>
    </row>
    <row r="74" spans="1:24" s="7" customFormat="1">
      <c r="A74" s="69"/>
      <c r="B74" s="1" t="s">
        <v>0</v>
      </c>
      <c r="C74" s="5">
        <f>'Demand Individual Assumptions'!E178</f>
        <v>42.128075547594356</v>
      </c>
      <c r="D74" s="5">
        <f>'Demand Individual Assumptions'!F178</f>
        <v>127.39424292466225</v>
      </c>
      <c r="E74" s="5">
        <f>'Demand Individual Assumptions'!G178</f>
        <v>243.36246785478843</v>
      </c>
      <c r="F74" s="5">
        <f>'Demand Individual Assumptions'!H178</f>
        <v>268.51803359138472</v>
      </c>
      <c r="G74" s="5">
        <f>'Demand Individual Assumptions'!I178</f>
        <v>300.027643611271</v>
      </c>
      <c r="H74" s="5">
        <f>'Demand Individual Assumptions'!J178</f>
        <v>346.33941539636277</v>
      </c>
      <c r="I74" s="5">
        <f>'Demand Individual Assumptions'!K178</f>
        <v>493.20968982959312</v>
      </c>
      <c r="J74" s="5">
        <f>'Demand Individual Assumptions'!L178</f>
        <v>636.19151539849463</v>
      </c>
      <c r="K74" s="5">
        <f>'Demand Individual Assumptions'!M178</f>
        <v>781.2559651601963</v>
      </c>
      <c r="L74" s="5">
        <f>'Demand Individual Assumptions'!N178</f>
        <v>927.5316741400261</v>
      </c>
      <c r="M74" s="5">
        <f>'Demand Individual Assumptions'!O178</f>
        <v>1079.9296576932504</v>
      </c>
      <c r="N74" s="5">
        <f>'Demand Individual Assumptions'!P178</f>
        <v>1200.5921777871745</v>
      </c>
      <c r="O74" s="5">
        <f>'Demand Individual Assumptions'!Q178</f>
        <v>1326.552345342544</v>
      </c>
      <c r="P74" s="5">
        <f>'Demand Individual Assumptions'!R178</f>
        <v>1447.7581484531374</v>
      </c>
      <c r="Q74" s="5">
        <f>'Demand Individual Assumptions'!S178</f>
        <v>1564.5554778503483</v>
      </c>
      <c r="R74" s="5">
        <f>'Demand Individual Assumptions'!T178</f>
        <v>1677.2537989107573</v>
      </c>
      <c r="S74" s="5">
        <f>'Demand Individual Assumptions'!U178</f>
        <v>1786.1310932314104</v>
      </c>
      <c r="T74" s="5">
        <f>'Demand Individual Assumptions'!V178</f>
        <v>1891.4379896346711</v>
      </c>
      <c r="U74" s="5">
        <f>'Demand Individual Assumptions'!W178</f>
        <v>1993.4012390977862</v>
      </c>
      <c r="V74" s="5">
        <f>'Demand Individual Assumptions'!X178</f>
        <v>2092.2266548028219</v>
      </c>
      <c r="W74" s="5">
        <f>'Demand Individual Assumptions'!Y178</f>
        <v>2188.1016131612332</v>
      </c>
      <c r="X74" s="9"/>
    </row>
    <row r="75" spans="1:24" s="7" customFormat="1">
      <c r="A75" s="69"/>
      <c r="B75" s="1" t="s">
        <v>1</v>
      </c>
      <c r="C75" s="5">
        <f>'Demand Individual Assumptions'!E179</f>
        <v>50.093802854787043</v>
      </c>
      <c r="D75" s="5">
        <f>'Demand Individual Assumptions'!F179</f>
        <v>99.749161733886567</v>
      </c>
      <c r="E75" s="5">
        <f>'Demand Individual Assumptions'!G179</f>
        <v>485.77096842621222</v>
      </c>
      <c r="F75" s="5">
        <f>'Demand Individual Assumptions'!H179</f>
        <v>1227.990678224056</v>
      </c>
      <c r="G75" s="5">
        <f>'Demand Individual Assumptions'!I179</f>
        <v>2034.354798402064</v>
      </c>
      <c r="H75" s="5">
        <f>'Demand Individual Assumptions'!J179</f>
        <v>2906.1967841162668</v>
      </c>
      <c r="I75" s="5">
        <f>'Demand Individual Assumptions'!K179</f>
        <v>3773.2034337173882</v>
      </c>
      <c r="J75" s="5">
        <f>'Demand Individual Assumptions'!L179</f>
        <v>4122.6393682145108</v>
      </c>
      <c r="K75" s="5">
        <f>'Demand Individual Assumptions'!M179</f>
        <v>4607.9228746895778</v>
      </c>
      <c r="L75" s="5">
        <f>'Demand Individual Assumptions'!N179</f>
        <v>5018.0337268789181</v>
      </c>
      <c r="M75" s="5">
        <f>'Demand Individual Assumptions'!O179</f>
        <v>5359.6454038965803</v>
      </c>
      <c r="N75" s="5">
        <f>'Demand Individual Assumptions'!P179</f>
        <v>5736.6028012708684</v>
      </c>
      <c r="O75" s="5">
        <f>'Demand Individual Assumptions'!Q179</f>
        <v>6086.7218525632579</v>
      </c>
      <c r="P75" s="5">
        <f>'Demand Individual Assumptions'!R179</f>
        <v>6423.6256660451063</v>
      </c>
      <c r="Q75" s="5">
        <f>'Demand Individual Assumptions'!S179</f>
        <v>6748.2756800589477</v>
      </c>
      <c r="R75" s="5">
        <f>'Demand Individual Assumptions'!T179</f>
        <v>7061.5320849821192</v>
      </c>
      <c r="S75" s="5">
        <f>'Demand Individual Assumptions'!U179</f>
        <v>7364.1675588359776</v>
      </c>
      <c r="T75" s="5">
        <f>'Demand Individual Assumptions'!V179</f>
        <v>7656.8787498325319</v>
      </c>
      <c r="U75" s="5">
        <f>'Demand Individual Assumptions'!W179</f>
        <v>7940.2959352933449</v>
      </c>
      <c r="V75" s="5">
        <f>'Demand Individual Assumptions'!X179</f>
        <v>8214.9911938163496</v>
      </c>
      <c r="W75" s="5">
        <f>'Demand Individual Assumptions'!Y179</f>
        <v>8481.4853571270633</v>
      </c>
      <c r="X75" s="9"/>
    </row>
    <row r="76" spans="1:24" s="7" customFormat="1">
      <c r="A76" s="69"/>
      <c r="K76" s="31"/>
      <c r="N76" s="31"/>
      <c r="X76" s="9"/>
    </row>
    <row r="77" spans="1:24">
      <c r="A77" s="69"/>
      <c r="B77" s="10" t="s">
        <v>5275</v>
      </c>
    </row>
    <row r="78" spans="1:24" s="19" customFormat="1">
      <c r="A78" s="69"/>
      <c r="B78" s="1" t="s">
        <v>4271</v>
      </c>
      <c r="C78" s="5">
        <v>0</v>
      </c>
      <c r="D78" s="5">
        <f>C78</f>
        <v>0</v>
      </c>
      <c r="E78" s="5">
        <f t="shared" ref="E78:S78" si="36">D78</f>
        <v>0</v>
      </c>
      <c r="F78" s="5">
        <f t="shared" si="36"/>
        <v>0</v>
      </c>
      <c r="G78" s="5">
        <f t="shared" si="36"/>
        <v>0</v>
      </c>
      <c r="H78" s="5">
        <f t="shared" si="36"/>
        <v>0</v>
      </c>
      <c r="I78" s="5">
        <f t="shared" si="36"/>
        <v>0</v>
      </c>
      <c r="J78" s="5">
        <f t="shared" si="36"/>
        <v>0</v>
      </c>
      <c r="K78" s="32">
        <f t="shared" si="36"/>
        <v>0</v>
      </c>
      <c r="L78" s="5">
        <f t="shared" si="36"/>
        <v>0</v>
      </c>
      <c r="M78" s="5">
        <f t="shared" si="36"/>
        <v>0</v>
      </c>
      <c r="N78" s="32">
        <f t="shared" si="36"/>
        <v>0</v>
      </c>
      <c r="O78" s="5">
        <f t="shared" si="36"/>
        <v>0</v>
      </c>
      <c r="P78" s="5">
        <f t="shared" si="36"/>
        <v>0</v>
      </c>
      <c r="Q78" s="5">
        <f t="shared" si="36"/>
        <v>0</v>
      </c>
      <c r="R78" s="5">
        <f t="shared" si="36"/>
        <v>0</v>
      </c>
      <c r="S78" s="5">
        <f t="shared" si="36"/>
        <v>0</v>
      </c>
      <c r="T78" s="5">
        <f t="shared" ref="T78" si="37">S78</f>
        <v>0</v>
      </c>
      <c r="U78" s="5">
        <f t="shared" ref="U78" si="38">T78</f>
        <v>0</v>
      </c>
      <c r="V78" s="5">
        <f t="shared" ref="V78" si="39">U78</f>
        <v>0</v>
      </c>
      <c r="W78" s="5">
        <f t="shared" ref="W78" si="40">V78</f>
        <v>0</v>
      </c>
      <c r="X78" s="9"/>
    </row>
    <row r="79" spans="1:24">
      <c r="A79" s="69"/>
      <c r="B79" s="1" t="s">
        <v>0</v>
      </c>
      <c r="C79" s="5">
        <f>'Demand Individual Assumptions'!E196</f>
        <v>72.667115716023261</v>
      </c>
      <c r="D79" s="5">
        <f>'Demand Individual Assumptions'!F196</f>
        <v>239.87404363552091</v>
      </c>
      <c r="E79" s="5">
        <f>'Demand Individual Assumptions'!G196</f>
        <v>311.59121372660388</v>
      </c>
      <c r="F79" s="5">
        <f>'Demand Individual Assumptions'!H196</f>
        <v>385.11612019330653</v>
      </c>
      <c r="G79" s="5">
        <f>'Demand Individual Assumptions'!I196</f>
        <v>459.08204852151789</v>
      </c>
      <c r="H79" s="5">
        <f>'Demand Individual Assumptions'!J196</f>
        <v>533.09843600002728</v>
      </c>
      <c r="I79" s="5">
        <f>'Demand Individual Assumptions'!K196</f>
        <v>607.2393327370828</v>
      </c>
      <c r="J79" s="5">
        <f>'Demand Individual Assumptions'!L196</f>
        <v>636.96693619741745</v>
      </c>
      <c r="K79" s="5">
        <f>'Demand Individual Assumptions'!M196</f>
        <v>667.0648172219943</v>
      </c>
      <c r="L79" s="5">
        <f>'Demand Individual Assumptions'!N196</f>
        <v>697.59208720577317</v>
      </c>
      <c r="M79" s="5">
        <f>'Demand Individual Assumptions'!O196</f>
        <v>728.58019772057969</v>
      </c>
      <c r="N79" s="5">
        <f>'Demand Individual Assumptions'!P196</f>
        <v>766.38778904773721</v>
      </c>
      <c r="O79" s="5">
        <f>'Demand Individual Assumptions'!Q196</f>
        <v>773.58750056251074</v>
      </c>
      <c r="P79" s="5">
        <f>'Demand Individual Assumptions'!R196</f>
        <v>780.78721207728415</v>
      </c>
      <c r="Q79" s="5">
        <f>'Demand Individual Assumptions'!S196</f>
        <v>787.98692359205745</v>
      </c>
      <c r="R79" s="5">
        <f>'Demand Individual Assumptions'!T196</f>
        <v>795.18663510683098</v>
      </c>
      <c r="S79" s="5">
        <f>'Demand Individual Assumptions'!U196</f>
        <v>802.38634662160428</v>
      </c>
      <c r="T79" s="5">
        <f>'Demand Individual Assumptions'!V196</f>
        <v>802.38634662160428</v>
      </c>
      <c r="U79" s="5">
        <f>'Demand Individual Assumptions'!W196</f>
        <v>802.38634662160428</v>
      </c>
      <c r="V79" s="5">
        <f>'Demand Individual Assumptions'!X196</f>
        <v>802.38634662160428</v>
      </c>
      <c r="W79" s="5">
        <f>'Demand Individual Assumptions'!Y196</f>
        <v>802.38634662160428</v>
      </c>
    </row>
    <row r="80" spans="1:24">
      <c r="A80" s="69"/>
      <c r="B80" s="1" t="s">
        <v>1</v>
      </c>
      <c r="C80" s="5">
        <f>'Demand Individual Assumptions'!E197</f>
        <v>172.70833831308221</v>
      </c>
      <c r="D80" s="5">
        <f>'Demand Individual Assumptions'!F197</f>
        <v>537.02462770866646</v>
      </c>
      <c r="E80" s="5">
        <f>'Demand Individual Assumptions'!G197</f>
        <v>753.01771934759893</v>
      </c>
      <c r="F80" s="5">
        <f>'Demand Individual Assumptions'!H197</f>
        <v>970.97163012353326</v>
      </c>
      <c r="G80" s="5">
        <f>'Demand Individual Assumptions'!I197</f>
        <v>1189.2798237600161</v>
      </c>
      <c r="H80" s="5">
        <f>'Demand Individual Assumptions'!J197</f>
        <v>1407.5692549299465</v>
      </c>
      <c r="I80" s="5">
        <f>'Demand Individual Assumptions'!K197</f>
        <v>1626.1196588873861</v>
      </c>
      <c r="J80" s="5">
        <f>'Demand Individual Assumptions'!L197</f>
        <v>1676.9599763273504</v>
      </c>
      <c r="K80" s="5">
        <f>'Demand Individual Assumptions'!M197</f>
        <v>1728.1939454524943</v>
      </c>
      <c r="L80" s="5">
        <f>'Demand Individual Assumptions'!N197</f>
        <v>1779.9246171280536</v>
      </c>
      <c r="M80" s="5">
        <f>'Demand Individual Assumptions'!O197</f>
        <v>1831.7933013003903</v>
      </c>
      <c r="N80" s="5">
        <f>'Demand Individual Assumptions'!P197</f>
        <v>1891.1720081998358</v>
      </c>
      <c r="O80" s="5">
        <f>'Demand Individual Assumptions'!Q197</f>
        <v>1910.5502427840825</v>
      </c>
      <c r="P80" s="5">
        <f>'Demand Individual Assumptions'!R197</f>
        <v>1929.9284773683289</v>
      </c>
      <c r="Q80" s="5">
        <f>'Demand Individual Assumptions'!S197</f>
        <v>1949.3067119525756</v>
      </c>
      <c r="R80" s="5">
        <f>'Demand Individual Assumptions'!T197</f>
        <v>1968.6849465368218</v>
      </c>
      <c r="S80" s="5">
        <f>'Demand Individual Assumptions'!U197</f>
        <v>1988.063181121069</v>
      </c>
      <c r="T80" s="5">
        <f>'Demand Individual Assumptions'!V197</f>
        <v>1988.063181121069</v>
      </c>
      <c r="U80" s="5">
        <f>'Demand Individual Assumptions'!W197</f>
        <v>1988.063181121069</v>
      </c>
      <c r="V80" s="5">
        <f>'Demand Individual Assumptions'!X197</f>
        <v>1988.063181121069</v>
      </c>
      <c r="W80" s="5">
        <f>'Demand Individual Assumptions'!Y197</f>
        <v>1988.063181121069</v>
      </c>
    </row>
    <row r="81" spans="1:27">
      <c r="A81" s="69"/>
      <c r="C81" s="5"/>
      <c r="D81" s="5"/>
      <c r="E81" s="5"/>
      <c r="F81" s="5"/>
      <c r="G81" s="5"/>
      <c r="H81" s="5"/>
      <c r="I81" s="5"/>
      <c r="J81" s="5"/>
      <c r="K81" s="32"/>
      <c r="L81" s="5"/>
      <c r="M81" s="5"/>
      <c r="N81" s="32"/>
      <c r="O81" s="5"/>
      <c r="P81" s="5"/>
      <c r="Q81" s="5"/>
      <c r="R81" s="5"/>
      <c r="S81" s="5"/>
      <c r="T81" s="5"/>
      <c r="U81" s="5"/>
      <c r="V81" s="5"/>
      <c r="W81" s="5"/>
    </row>
    <row r="82" spans="1:27">
      <c r="A82" s="69"/>
      <c r="B82" s="10" t="s">
        <v>5276</v>
      </c>
      <c r="C82" s="5"/>
      <c r="D82" s="5"/>
      <c r="E82" s="5"/>
      <c r="F82" s="5"/>
      <c r="G82" s="5"/>
      <c r="H82" s="5"/>
      <c r="I82" s="5"/>
      <c r="J82" s="5"/>
      <c r="K82" s="32"/>
      <c r="L82" s="5"/>
      <c r="M82" s="5"/>
      <c r="N82" s="32"/>
      <c r="O82" s="5"/>
      <c r="P82" s="5"/>
      <c r="Q82" s="5"/>
      <c r="R82" s="5"/>
      <c r="S82" s="5"/>
      <c r="T82" s="5"/>
      <c r="U82" s="5"/>
      <c r="V82" s="5"/>
      <c r="W82" s="5"/>
    </row>
    <row r="83" spans="1:27" s="19" customFormat="1">
      <c r="A83" s="69"/>
      <c r="B83" s="1" t="s">
        <v>4271</v>
      </c>
      <c r="C83" s="5">
        <v>0</v>
      </c>
      <c r="D83" s="5">
        <f>C83</f>
        <v>0</v>
      </c>
      <c r="E83" s="5">
        <f t="shared" ref="E83:S83" si="41">D83</f>
        <v>0</v>
      </c>
      <c r="F83" s="5">
        <f t="shared" si="41"/>
        <v>0</v>
      </c>
      <c r="G83" s="5">
        <f t="shared" si="41"/>
        <v>0</v>
      </c>
      <c r="H83" s="5">
        <f t="shared" si="41"/>
        <v>0</v>
      </c>
      <c r="I83" s="5">
        <f t="shared" si="41"/>
        <v>0</v>
      </c>
      <c r="J83" s="5">
        <f t="shared" si="41"/>
        <v>0</v>
      </c>
      <c r="K83" s="32">
        <f t="shared" si="41"/>
        <v>0</v>
      </c>
      <c r="L83" s="5">
        <f t="shared" si="41"/>
        <v>0</v>
      </c>
      <c r="M83" s="5">
        <f t="shared" si="41"/>
        <v>0</v>
      </c>
      <c r="N83" s="32">
        <f t="shared" si="41"/>
        <v>0</v>
      </c>
      <c r="O83" s="5">
        <f t="shared" si="41"/>
        <v>0</v>
      </c>
      <c r="P83" s="5">
        <f t="shared" si="41"/>
        <v>0</v>
      </c>
      <c r="Q83" s="5">
        <f t="shared" si="41"/>
        <v>0</v>
      </c>
      <c r="R83" s="5">
        <f t="shared" si="41"/>
        <v>0</v>
      </c>
      <c r="S83" s="5">
        <f t="shared" si="41"/>
        <v>0</v>
      </c>
      <c r="T83" s="5">
        <f t="shared" ref="T83" si="42">S83</f>
        <v>0</v>
      </c>
      <c r="U83" s="5">
        <f t="shared" ref="U83" si="43">T83</f>
        <v>0</v>
      </c>
      <c r="V83" s="5">
        <f t="shared" ref="V83" si="44">U83</f>
        <v>0</v>
      </c>
      <c r="W83" s="5">
        <f t="shared" ref="W83" si="45">V83</f>
        <v>0</v>
      </c>
      <c r="X83" s="9"/>
    </row>
    <row r="84" spans="1:27">
      <c r="A84" s="69"/>
      <c r="B84" s="1" t="s">
        <v>0</v>
      </c>
      <c r="C84" s="5">
        <f>'Demand Individual Assumptions'!E201</f>
        <v>667.28102506473181</v>
      </c>
      <c r="D84" s="5">
        <f>'Demand Individual Assumptions'!F201</f>
        <v>2202.6936964038364</v>
      </c>
      <c r="E84" s="5">
        <f>'Demand Individual Assumptions'!G201</f>
        <v>2861.2516466069883</v>
      </c>
      <c r="F84" s="5">
        <f>'Demand Individual Assumptions'!H201</f>
        <v>3536.4095150796957</v>
      </c>
      <c r="G84" s="5">
        <f>'Demand Individual Assumptions'!I201</f>
        <v>4215.6171592580149</v>
      </c>
      <c r="H84" s="5">
        <f>'Demand Individual Assumptions'!J201</f>
        <v>4895.2881551629407</v>
      </c>
      <c r="I84" s="5">
        <f>'Demand Individual Assumptions'!K201</f>
        <v>5576.1024834384189</v>
      </c>
      <c r="J84" s="5">
        <f>'Demand Individual Assumptions'!L201</f>
        <v>5849.0824347447297</v>
      </c>
      <c r="K84" s="5">
        <f>'Demand Individual Assumptions'!M201</f>
        <v>6125.4625374151246</v>
      </c>
      <c r="L84" s="5">
        <f>'Demand Individual Assumptions'!N201</f>
        <v>6405.7855942268052</v>
      </c>
      <c r="M84" s="5">
        <f>'Demand Individual Assumptions'!O201</f>
        <v>6690.3404158320309</v>
      </c>
      <c r="N84" s="5">
        <f>'Demand Individual Assumptions'!P201</f>
        <v>7037.5165497328735</v>
      </c>
      <c r="O84" s="5">
        <f>'Demand Individual Assumptions'!Q201</f>
        <v>7103.6294101706389</v>
      </c>
      <c r="P84" s="5">
        <f>'Demand Individual Assumptions'!R201</f>
        <v>7169.7422706084026</v>
      </c>
      <c r="Q84" s="5">
        <f>'Demand Individual Assumptions'!S201</f>
        <v>7235.855131046168</v>
      </c>
      <c r="R84" s="5">
        <f>'Demand Individual Assumptions'!T201</f>
        <v>7301.9679914839317</v>
      </c>
      <c r="S84" s="5">
        <f>'Demand Individual Assumptions'!U201</f>
        <v>7368.0808519216971</v>
      </c>
      <c r="T84" s="5">
        <f>'Demand Individual Assumptions'!V201</f>
        <v>7368.0808519216971</v>
      </c>
      <c r="U84" s="5">
        <f>'Demand Individual Assumptions'!W201</f>
        <v>7368.0808519216971</v>
      </c>
      <c r="V84" s="5">
        <f>'Demand Individual Assumptions'!X201</f>
        <v>7368.0808519216971</v>
      </c>
      <c r="W84" s="5">
        <f>'Demand Individual Assumptions'!Y201</f>
        <v>7368.0808519216971</v>
      </c>
    </row>
    <row r="85" spans="1:27">
      <c r="A85" s="69"/>
      <c r="B85" s="1" t="s">
        <v>1</v>
      </c>
      <c r="C85" s="5">
        <f>'Demand Individual Assumptions'!E202</f>
        <v>1588.9971176700506</v>
      </c>
      <c r="D85" s="5">
        <f>'Demand Individual Assumptions'!F202</f>
        <v>4940.8765892935789</v>
      </c>
      <c r="E85" s="5">
        <f>'Demand Individual Assumptions'!G202</f>
        <v>6928.1135889845737</v>
      </c>
      <c r="F85" s="5">
        <f>'Demand Individual Assumptions'!H202</f>
        <v>8933.3910376046751</v>
      </c>
      <c r="G85" s="5">
        <f>'Demand Individual Assumptions'!I202</f>
        <v>10941.928053479898</v>
      </c>
      <c r="H85" s="5">
        <f>'Demand Individual Assumptions'!J202</f>
        <v>12950.292445927882</v>
      </c>
      <c r="I85" s="5">
        <f>'Demand Individual Assumptions'!K202</f>
        <v>14961.057909518076</v>
      </c>
      <c r="J85" s="5">
        <f>'Demand Individual Assumptions'!L202</f>
        <v>15428.812498917738</v>
      </c>
      <c r="K85" s="5">
        <f>'Demand Individual Assumptions'!M202</f>
        <v>15900.188867087469</v>
      </c>
      <c r="L85" s="5">
        <f>'Demand Individual Assumptions'!N202</f>
        <v>16376.135129963259</v>
      </c>
      <c r="M85" s="5">
        <f>'Demand Individual Assumptions'!O202</f>
        <v>16853.351172061783</v>
      </c>
      <c r="N85" s="5">
        <f>'Demand Individual Assumptions'!P202</f>
        <v>17399.662919576556</v>
      </c>
      <c r="O85" s="5">
        <f>'Demand Individual Assumptions'!Q202</f>
        <v>17577.951699381061</v>
      </c>
      <c r="P85" s="5">
        <f>'Demand Individual Assumptions'!R202</f>
        <v>17756.240479185555</v>
      </c>
      <c r="Q85" s="5">
        <f>'Demand Individual Assumptions'!S202</f>
        <v>17934.529258990053</v>
      </c>
      <c r="R85" s="5">
        <f>'Demand Individual Assumptions'!T202</f>
        <v>18112.81803879455</v>
      </c>
      <c r="S85" s="5">
        <f>'Demand Individual Assumptions'!U202</f>
        <v>18291.106818599052</v>
      </c>
      <c r="T85" s="5">
        <f>'Demand Individual Assumptions'!V202</f>
        <v>18291.106818599052</v>
      </c>
      <c r="U85" s="5">
        <f>'Demand Individual Assumptions'!W202</f>
        <v>18291.106818599052</v>
      </c>
      <c r="V85" s="5">
        <f>'Demand Individual Assumptions'!X202</f>
        <v>18291.106818599052</v>
      </c>
      <c r="W85" s="5">
        <f>'Demand Individual Assumptions'!Y202</f>
        <v>18291.106818599052</v>
      </c>
    </row>
    <row r="86" spans="1:27" s="19" customFormat="1">
      <c r="A86" s="69"/>
      <c r="B86" s="1"/>
      <c r="C86" s="5"/>
      <c r="D86" s="5"/>
      <c r="E86" s="5"/>
      <c r="F86" s="5"/>
      <c r="G86" s="5"/>
      <c r="H86" s="5"/>
      <c r="I86" s="5"/>
      <c r="J86" s="5"/>
      <c r="K86" s="5"/>
      <c r="L86" s="5"/>
      <c r="M86" s="5"/>
      <c r="N86" s="5"/>
      <c r="O86" s="5"/>
      <c r="P86" s="5"/>
      <c r="Q86" s="5"/>
      <c r="R86" s="5"/>
      <c r="S86" s="5"/>
      <c r="T86" s="5"/>
      <c r="U86" s="5"/>
      <c r="V86" s="5"/>
      <c r="W86" s="5"/>
      <c r="X86" s="9"/>
    </row>
    <row r="87" spans="1:27" s="19" customFormat="1">
      <c r="A87" s="69"/>
      <c r="B87" s="103" t="s">
        <v>3342</v>
      </c>
      <c r="C87" s="16"/>
      <c r="D87" s="16"/>
      <c r="E87" s="16"/>
      <c r="F87" s="16"/>
      <c r="G87" s="16"/>
      <c r="H87" s="16"/>
      <c r="I87" s="16"/>
      <c r="J87" s="16"/>
      <c r="K87" s="16"/>
      <c r="L87" s="16"/>
      <c r="M87" s="16"/>
      <c r="N87" s="16"/>
      <c r="O87" s="16"/>
      <c r="P87" s="16"/>
      <c r="Q87" s="16"/>
      <c r="R87" s="16"/>
      <c r="S87" s="16"/>
      <c r="T87" s="16"/>
      <c r="U87" s="16"/>
      <c r="V87" s="16"/>
      <c r="W87" s="16"/>
      <c r="X87" s="9"/>
    </row>
    <row r="88" spans="1:27">
      <c r="A88" s="69"/>
      <c r="B88" s="10" t="s">
        <v>5277</v>
      </c>
    </row>
    <row r="89" spans="1:27" s="19" customFormat="1">
      <c r="A89" s="69"/>
      <c r="B89" s="1" t="s">
        <v>4271</v>
      </c>
      <c r="C89" s="5">
        <v>0</v>
      </c>
      <c r="D89" s="5">
        <f>C89</f>
        <v>0</v>
      </c>
      <c r="E89" s="5">
        <f t="shared" ref="E89:W89" si="46">D89</f>
        <v>0</v>
      </c>
      <c r="F89" s="5">
        <f t="shared" si="46"/>
        <v>0</v>
      </c>
      <c r="G89" s="5">
        <f t="shared" si="46"/>
        <v>0</v>
      </c>
      <c r="H89" s="5">
        <f t="shared" si="46"/>
        <v>0</v>
      </c>
      <c r="I89" s="5">
        <f t="shared" si="46"/>
        <v>0</v>
      </c>
      <c r="J89" s="5">
        <f t="shared" si="46"/>
        <v>0</v>
      </c>
      <c r="K89" s="32">
        <f t="shared" si="46"/>
        <v>0</v>
      </c>
      <c r="L89" s="5">
        <f t="shared" si="46"/>
        <v>0</v>
      </c>
      <c r="M89" s="5">
        <f t="shared" si="46"/>
        <v>0</v>
      </c>
      <c r="N89" s="32">
        <f t="shared" si="46"/>
        <v>0</v>
      </c>
      <c r="O89" s="5">
        <f t="shared" si="46"/>
        <v>0</v>
      </c>
      <c r="P89" s="5">
        <f t="shared" si="46"/>
        <v>0</v>
      </c>
      <c r="Q89" s="5">
        <f t="shared" si="46"/>
        <v>0</v>
      </c>
      <c r="R89" s="5">
        <f t="shared" si="46"/>
        <v>0</v>
      </c>
      <c r="S89" s="5">
        <f t="shared" si="46"/>
        <v>0</v>
      </c>
      <c r="T89" s="5">
        <f t="shared" si="46"/>
        <v>0</v>
      </c>
      <c r="U89" s="5">
        <f t="shared" si="46"/>
        <v>0</v>
      </c>
      <c r="V89" s="5">
        <f t="shared" si="46"/>
        <v>0</v>
      </c>
      <c r="W89" s="5">
        <f t="shared" si="46"/>
        <v>0</v>
      </c>
      <c r="X89" s="9"/>
    </row>
    <row r="90" spans="1:27">
      <c r="A90" s="69"/>
      <c r="B90" s="1" t="s">
        <v>0</v>
      </c>
      <c r="C90" s="5">
        <f>'Supply Individual Assumptions'!E28</f>
        <v>20.966399999999997</v>
      </c>
      <c r="D90" s="5">
        <f>'Supply Individual Assumptions'!F28</f>
        <v>58.239999999999995</v>
      </c>
      <c r="E90" s="5">
        <f>'Supply Individual Assumptions'!G28</f>
        <v>66.864000000000004</v>
      </c>
      <c r="F90" s="5">
        <f>'Supply Individual Assumptions'!H28</f>
        <v>75.488000000000014</v>
      </c>
      <c r="G90" s="5">
        <f>'Supply Individual Assumptions'!I28</f>
        <v>84.111999999999995</v>
      </c>
      <c r="H90" s="5">
        <f>'Supply Individual Assumptions'!J28</f>
        <v>92.73599999999999</v>
      </c>
      <c r="I90" s="5">
        <f>'Supply Individual Assumptions'!K28</f>
        <v>101.36</v>
      </c>
      <c r="J90" s="5">
        <f>'Supply Individual Assumptions'!L28</f>
        <v>104.71999999999998</v>
      </c>
      <c r="K90" s="32">
        <f>'Supply Individual Assumptions'!M28</f>
        <v>108.08</v>
      </c>
      <c r="L90" s="5">
        <f>'Supply Individual Assumptions'!N28</f>
        <v>111.44000000000001</v>
      </c>
      <c r="M90" s="5">
        <f>'Supply Individual Assumptions'!O28</f>
        <v>114.8</v>
      </c>
      <c r="N90" s="32">
        <f>'Supply Individual Assumptions'!P28</f>
        <v>118.16</v>
      </c>
      <c r="O90" s="5">
        <f>'Supply Individual Assumptions'!Q28</f>
        <v>118.49600000000001</v>
      </c>
      <c r="P90" s="5">
        <f>'Supply Individual Assumptions'!R28</f>
        <v>118.83199999999998</v>
      </c>
      <c r="Q90" s="5">
        <f>'Supply Individual Assumptions'!S28</f>
        <v>119.16799999999999</v>
      </c>
      <c r="R90" s="5">
        <f>'Supply Individual Assumptions'!T28</f>
        <v>119.50399999999999</v>
      </c>
      <c r="S90" s="5">
        <f>'Supply Individual Assumptions'!U28</f>
        <v>119.84</v>
      </c>
      <c r="T90" s="5">
        <f>'Supply Individual Assumptions'!V28</f>
        <v>119.84</v>
      </c>
      <c r="U90" s="5">
        <f>'Supply Individual Assumptions'!W28</f>
        <v>119.84</v>
      </c>
      <c r="V90" s="5">
        <f>'Supply Individual Assumptions'!X28</f>
        <v>119.84</v>
      </c>
      <c r="W90" s="5">
        <f>'Supply Individual Assumptions'!Y28</f>
        <v>119.84</v>
      </c>
    </row>
    <row r="91" spans="1:27">
      <c r="A91" s="69"/>
      <c r="B91" s="1" t="s">
        <v>1</v>
      </c>
      <c r="C91" s="5">
        <f>'Supply Individual Assumptions'!E29</f>
        <v>146.98880000000003</v>
      </c>
      <c r="D91" s="5">
        <f>'Supply Individual Assumptions'!F29</f>
        <v>393.12</v>
      </c>
      <c r="E91" s="5">
        <f>'Supply Individual Assumptions'!G29</f>
        <v>530.096</v>
      </c>
      <c r="F91" s="5">
        <f>'Supply Individual Assumptions'!H29</f>
        <v>667.072</v>
      </c>
      <c r="G91" s="5">
        <f>'Supply Individual Assumptions'!I29</f>
        <v>804.048</v>
      </c>
      <c r="H91" s="5">
        <f>'Supply Individual Assumptions'!J29</f>
        <v>941.024</v>
      </c>
      <c r="I91" s="5">
        <f>'Supply Individual Assumptions'!K29</f>
        <v>1078</v>
      </c>
      <c r="J91" s="5">
        <f>'Supply Individual Assumptions'!L29</f>
        <v>1133.104</v>
      </c>
      <c r="K91" s="32">
        <f>'Supply Individual Assumptions'!M29</f>
        <v>1188.2079999999999</v>
      </c>
      <c r="L91" s="5">
        <f>'Supply Individual Assumptions'!N29</f>
        <v>1243.3119999999999</v>
      </c>
      <c r="M91" s="5">
        <f>'Supply Individual Assumptions'!O29</f>
        <v>1298.4160000000002</v>
      </c>
      <c r="N91" s="32">
        <f>'Supply Individual Assumptions'!P29</f>
        <v>1353.52</v>
      </c>
      <c r="O91" s="5">
        <f>'Supply Individual Assumptions'!Q29</f>
        <v>1358</v>
      </c>
      <c r="P91" s="5">
        <f>'Supply Individual Assumptions'!R29</f>
        <v>1362.48</v>
      </c>
      <c r="Q91" s="5">
        <f>'Supply Individual Assumptions'!S29</f>
        <v>1366.96</v>
      </c>
      <c r="R91" s="5">
        <f>'Supply Individual Assumptions'!T29</f>
        <v>1371.44</v>
      </c>
      <c r="S91" s="5">
        <f>'Supply Individual Assumptions'!U29</f>
        <v>1375.92</v>
      </c>
      <c r="T91" s="5">
        <f>'Supply Individual Assumptions'!V29</f>
        <v>1375.92</v>
      </c>
      <c r="U91" s="5">
        <f>'Supply Individual Assumptions'!W29</f>
        <v>1375.92</v>
      </c>
      <c r="V91" s="5">
        <f>'Supply Individual Assumptions'!X29</f>
        <v>1375.92</v>
      </c>
      <c r="W91" s="5">
        <f>'Supply Individual Assumptions'!Y29</f>
        <v>1375.92</v>
      </c>
    </row>
    <row r="92" spans="1:27">
      <c r="A92" s="69"/>
      <c r="B92" s="7"/>
      <c r="C92" s="5"/>
      <c r="D92" s="5"/>
      <c r="E92" s="5"/>
      <c r="F92" s="5"/>
      <c r="G92" s="5"/>
      <c r="H92" s="5"/>
      <c r="I92" s="5"/>
      <c r="J92" s="5"/>
      <c r="K92" s="32"/>
      <c r="L92" s="5"/>
      <c r="M92" s="5"/>
      <c r="N92" s="32"/>
      <c r="O92" s="5"/>
      <c r="P92" s="5"/>
      <c r="Q92" s="5"/>
      <c r="R92" s="5"/>
      <c r="S92" s="5"/>
      <c r="T92" s="5"/>
      <c r="U92" s="5"/>
      <c r="V92" s="5"/>
      <c r="W92" s="5"/>
    </row>
    <row r="93" spans="1:27" s="19" customFormat="1">
      <c r="A93" s="69"/>
      <c r="B93" s="10" t="s">
        <v>5446</v>
      </c>
      <c r="K93" s="31"/>
      <c r="N93" s="31"/>
      <c r="X93" s="9"/>
    </row>
    <row r="94" spans="1:27" s="19" customFormat="1">
      <c r="A94" s="69"/>
      <c r="B94" s="1" t="s">
        <v>4271</v>
      </c>
      <c r="C94" s="5">
        <v>0</v>
      </c>
      <c r="D94" s="5">
        <f>C94</f>
        <v>0</v>
      </c>
      <c r="E94" s="5">
        <f t="shared" ref="E94" si="47">D94</f>
        <v>0</v>
      </c>
      <c r="F94" s="5">
        <f t="shared" ref="F94" si="48">E94</f>
        <v>0</v>
      </c>
      <c r="G94" s="5">
        <f t="shared" ref="G94" si="49">F94</f>
        <v>0</v>
      </c>
      <c r="H94" s="5">
        <f t="shared" ref="H94" si="50">G94</f>
        <v>0</v>
      </c>
      <c r="I94" s="5">
        <f t="shared" ref="I94" si="51">H94</f>
        <v>0</v>
      </c>
      <c r="J94" s="5">
        <f t="shared" ref="J94" si="52">I94</f>
        <v>0</v>
      </c>
      <c r="K94" s="32">
        <f t="shared" ref="K94" si="53">J94</f>
        <v>0</v>
      </c>
      <c r="L94" s="5">
        <f t="shared" ref="L94" si="54">K94</f>
        <v>0</v>
      </c>
      <c r="M94" s="5">
        <f t="shared" ref="M94" si="55">L94</f>
        <v>0</v>
      </c>
      <c r="N94" s="32">
        <f t="shared" ref="N94" si="56">M94</f>
        <v>0</v>
      </c>
      <c r="O94" s="5">
        <f t="shared" ref="O94" si="57">N94</f>
        <v>0</v>
      </c>
      <c r="P94" s="5">
        <f t="shared" ref="P94" si="58">O94</f>
        <v>0</v>
      </c>
      <c r="Q94" s="5">
        <f t="shared" ref="Q94" si="59">P94</f>
        <v>0</v>
      </c>
      <c r="R94" s="5">
        <f t="shared" ref="R94" si="60">Q94</f>
        <v>0</v>
      </c>
      <c r="S94" s="5">
        <f t="shared" ref="S94" si="61">R94</f>
        <v>0</v>
      </c>
      <c r="T94" s="5">
        <f t="shared" ref="T94" si="62">S94</f>
        <v>0</v>
      </c>
      <c r="U94" s="5">
        <f t="shared" ref="U94" si="63">T94</f>
        <v>0</v>
      </c>
      <c r="V94" s="5">
        <f t="shared" ref="V94" si="64">U94</f>
        <v>0</v>
      </c>
      <c r="W94" s="5">
        <f t="shared" ref="W94" si="65">V94</f>
        <v>0</v>
      </c>
      <c r="X94" s="9"/>
      <c r="AA94" s="18"/>
    </row>
    <row r="95" spans="1:27" s="19" customFormat="1">
      <c r="A95" s="69"/>
      <c r="B95" s="1" t="s">
        <v>0</v>
      </c>
      <c r="C95" s="5">
        <f>'Supply Individual Assumptions'!E34</f>
        <v>0</v>
      </c>
      <c r="D95" s="5">
        <f>'Supply Individual Assumptions'!F34</f>
        <v>0</v>
      </c>
      <c r="E95" s="5">
        <f>'Supply Individual Assumptions'!G34</f>
        <v>0</v>
      </c>
      <c r="F95" s="5">
        <f>'Supply Individual Assumptions'!H34</f>
        <v>114.0625</v>
      </c>
      <c r="G95" s="5">
        <f>'Supply Individual Assumptions'!I34</f>
        <v>228.125</v>
      </c>
      <c r="H95" s="5">
        <f>'Supply Individual Assumptions'!J34</f>
        <v>342.1875</v>
      </c>
      <c r="I95" s="5">
        <f>'Supply Individual Assumptions'!K34</f>
        <v>456.25</v>
      </c>
      <c r="J95" s="5">
        <f>'Supply Individual Assumptions'!L34</f>
        <v>570.3125</v>
      </c>
      <c r="K95" s="5">
        <f>'Supply Individual Assumptions'!M34</f>
        <v>684.375</v>
      </c>
      <c r="L95" s="5">
        <f>'Supply Individual Assumptions'!N34</f>
        <v>798.4375</v>
      </c>
      <c r="M95" s="5">
        <f>'Supply Individual Assumptions'!O34</f>
        <v>912.5</v>
      </c>
      <c r="N95" s="5">
        <f>'Supply Individual Assumptions'!P34</f>
        <v>912.5</v>
      </c>
      <c r="O95" s="5">
        <f>'Supply Individual Assumptions'!Q34</f>
        <v>912.5</v>
      </c>
      <c r="P95" s="5">
        <f>'Supply Individual Assumptions'!R34</f>
        <v>912.5</v>
      </c>
      <c r="Q95" s="5">
        <f>'Supply Individual Assumptions'!S34</f>
        <v>912.5</v>
      </c>
      <c r="R95" s="5">
        <f>'Supply Individual Assumptions'!T34</f>
        <v>912.5</v>
      </c>
      <c r="S95" s="5">
        <f>'Supply Individual Assumptions'!U34</f>
        <v>912.5</v>
      </c>
      <c r="T95" s="5">
        <f>'Supply Individual Assumptions'!V34</f>
        <v>912.5</v>
      </c>
      <c r="U95" s="5">
        <f>'Supply Individual Assumptions'!W34</f>
        <v>912.5</v>
      </c>
      <c r="V95" s="5">
        <f>'Supply Individual Assumptions'!X34</f>
        <v>912.5</v>
      </c>
      <c r="W95" s="5">
        <f>'Supply Individual Assumptions'!Y34</f>
        <v>912.5</v>
      </c>
      <c r="X95" s="9"/>
      <c r="AA95" s="18"/>
    </row>
    <row r="96" spans="1:27" s="19" customFormat="1">
      <c r="A96" s="69"/>
      <c r="B96" s="1" t="s">
        <v>7</v>
      </c>
      <c r="C96" s="5">
        <f>'Supply Individual Assumptions'!E35</f>
        <v>0</v>
      </c>
      <c r="D96" s="5">
        <f>'Supply Individual Assumptions'!F35</f>
        <v>0</v>
      </c>
      <c r="E96" s="5">
        <f>'Supply Individual Assumptions'!G35</f>
        <v>0</v>
      </c>
      <c r="F96" s="5">
        <f>'Supply Individual Assumptions'!H35</f>
        <v>140.625</v>
      </c>
      <c r="G96" s="5">
        <f>'Supply Individual Assumptions'!I35</f>
        <v>281.25</v>
      </c>
      <c r="H96" s="5">
        <f>'Supply Individual Assumptions'!J35</f>
        <v>421.875</v>
      </c>
      <c r="I96" s="5">
        <f>'Supply Individual Assumptions'!K35</f>
        <v>562.5</v>
      </c>
      <c r="J96" s="5">
        <f>'Supply Individual Assumptions'!L35</f>
        <v>703.125</v>
      </c>
      <c r="K96" s="5">
        <f>'Supply Individual Assumptions'!M35</f>
        <v>843.75</v>
      </c>
      <c r="L96" s="5">
        <f>'Supply Individual Assumptions'!N35</f>
        <v>984.375</v>
      </c>
      <c r="M96" s="5">
        <f>'Supply Individual Assumptions'!O35</f>
        <v>1125</v>
      </c>
      <c r="N96" s="5">
        <f>'Supply Individual Assumptions'!P35</f>
        <v>1125</v>
      </c>
      <c r="O96" s="5">
        <f>'Supply Individual Assumptions'!Q35</f>
        <v>1125</v>
      </c>
      <c r="P96" s="5">
        <f>'Supply Individual Assumptions'!R35</f>
        <v>1125</v>
      </c>
      <c r="Q96" s="5">
        <f>'Supply Individual Assumptions'!S35</f>
        <v>1125</v>
      </c>
      <c r="R96" s="5">
        <f>'Supply Individual Assumptions'!T35</f>
        <v>1125</v>
      </c>
      <c r="S96" s="5">
        <f>'Supply Individual Assumptions'!U35</f>
        <v>1125</v>
      </c>
      <c r="T96" s="5">
        <f>'Supply Individual Assumptions'!V35</f>
        <v>1125</v>
      </c>
      <c r="U96" s="5">
        <f>'Supply Individual Assumptions'!W35</f>
        <v>1125</v>
      </c>
      <c r="V96" s="5">
        <f>'Supply Individual Assumptions'!X35</f>
        <v>1125</v>
      </c>
      <c r="W96" s="5">
        <f>'Supply Individual Assumptions'!Y35</f>
        <v>1125</v>
      </c>
      <c r="X96" s="9"/>
    </row>
    <row r="97" spans="1:27" s="19" customFormat="1">
      <c r="A97" s="69"/>
      <c r="B97" s="1" t="s">
        <v>1</v>
      </c>
      <c r="C97" s="5">
        <f>'Supply Individual Assumptions'!E36</f>
        <v>0</v>
      </c>
      <c r="D97" s="5">
        <f>'Supply Individual Assumptions'!F36</f>
        <v>0</v>
      </c>
      <c r="E97" s="5">
        <f>'Supply Individual Assumptions'!G36</f>
        <v>0</v>
      </c>
      <c r="F97" s="5">
        <f>'Supply Individual Assumptions'!H36</f>
        <v>165.625</v>
      </c>
      <c r="G97" s="5">
        <f>'Supply Individual Assumptions'!I36</f>
        <v>331.25</v>
      </c>
      <c r="H97" s="5">
        <f>'Supply Individual Assumptions'!J36</f>
        <v>496.875</v>
      </c>
      <c r="I97" s="5">
        <f>'Supply Individual Assumptions'!K36</f>
        <v>662.5</v>
      </c>
      <c r="J97" s="5">
        <f>'Supply Individual Assumptions'!L36</f>
        <v>828.125</v>
      </c>
      <c r="K97" s="5">
        <f>'Supply Individual Assumptions'!M36</f>
        <v>993.75</v>
      </c>
      <c r="L97" s="5">
        <f>'Supply Individual Assumptions'!N36</f>
        <v>1159.375</v>
      </c>
      <c r="M97" s="5">
        <f>'Supply Individual Assumptions'!O36</f>
        <v>1325</v>
      </c>
      <c r="N97" s="5">
        <f>'Supply Individual Assumptions'!P36</f>
        <v>1325</v>
      </c>
      <c r="O97" s="5">
        <f>'Supply Individual Assumptions'!Q36</f>
        <v>1325</v>
      </c>
      <c r="P97" s="5">
        <f>'Supply Individual Assumptions'!R36</f>
        <v>1325</v>
      </c>
      <c r="Q97" s="5">
        <f>'Supply Individual Assumptions'!S36</f>
        <v>1325</v>
      </c>
      <c r="R97" s="5">
        <f>'Supply Individual Assumptions'!T36</f>
        <v>1325</v>
      </c>
      <c r="S97" s="5">
        <f>'Supply Individual Assumptions'!U36</f>
        <v>1325</v>
      </c>
      <c r="T97" s="5">
        <f>'Supply Individual Assumptions'!V36</f>
        <v>1325</v>
      </c>
      <c r="U97" s="5">
        <f>'Supply Individual Assumptions'!W36</f>
        <v>1325</v>
      </c>
      <c r="V97" s="5">
        <f>'Supply Individual Assumptions'!X36</f>
        <v>1325</v>
      </c>
      <c r="W97" s="5">
        <f>'Supply Individual Assumptions'!Y36</f>
        <v>1325</v>
      </c>
      <c r="X97" s="9"/>
    </row>
    <row r="98" spans="1:27" s="19" customFormat="1">
      <c r="A98" s="69"/>
      <c r="B98" s="1"/>
      <c r="C98" s="5"/>
      <c r="D98" s="5"/>
      <c r="E98" s="5"/>
      <c r="F98" s="5"/>
      <c r="G98" s="5"/>
      <c r="H98" s="5"/>
      <c r="I98" s="5"/>
      <c r="J98" s="5"/>
      <c r="K98" s="5"/>
      <c r="L98" s="5"/>
      <c r="M98" s="5"/>
      <c r="N98" s="5"/>
      <c r="O98" s="5"/>
      <c r="P98" s="5"/>
      <c r="Q98" s="5"/>
      <c r="R98" s="5"/>
      <c r="S98" s="5"/>
      <c r="T98" s="5"/>
      <c r="U98" s="5"/>
      <c r="V98" s="5"/>
      <c r="W98" s="5"/>
      <c r="X98" s="9"/>
    </row>
    <row r="99" spans="1:27" s="19" customFormat="1">
      <c r="A99" s="69"/>
      <c r="B99" s="10" t="s">
        <v>5314</v>
      </c>
      <c r="C99" s="5"/>
      <c r="D99" s="5"/>
      <c r="E99" s="5"/>
      <c r="F99" s="5"/>
      <c r="G99" s="5"/>
      <c r="H99" s="5"/>
      <c r="I99" s="5"/>
      <c r="J99" s="5"/>
      <c r="K99" s="5"/>
      <c r="L99" s="5"/>
      <c r="M99" s="5"/>
      <c r="N99" s="5"/>
      <c r="O99" s="5"/>
      <c r="P99" s="5"/>
      <c r="Q99" s="5"/>
      <c r="R99" s="5"/>
      <c r="S99" s="5"/>
      <c r="T99" s="5"/>
      <c r="U99" s="5"/>
      <c r="V99" s="5"/>
      <c r="W99" s="5"/>
      <c r="X99" s="9"/>
    </row>
    <row r="100" spans="1:27" s="19" customFormat="1">
      <c r="A100" s="69"/>
      <c r="B100" s="1" t="s">
        <v>4271</v>
      </c>
      <c r="C100" s="5">
        <v>0</v>
      </c>
      <c r="D100" s="5">
        <f>C100</f>
        <v>0</v>
      </c>
      <c r="E100" s="5">
        <f t="shared" ref="E100" si="66">D100</f>
        <v>0</v>
      </c>
      <c r="F100" s="5">
        <f t="shared" ref="F100" si="67">E100</f>
        <v>0</v>
      </c>
      <c r="G100" s="5">
        <f t="shared" ref="G100" si="68">F100</f>
        <v>0</v>
      </c>
      <c r="H100" s="5">
        <f t="shared" ref="H100" si="69">G100</f>
        <v>0</v>
      </c>
      <c r="I100" s="5">
        <f t="shared" ref="I100" si="70">H100</f>
        <v>0</v>
      </c>
      <c r="J100" s="5">
        <f t="shared" ref="J100" si="71">I100</f>
        <v>0</v>
      </c>
      <c r="K100" s="32">
        <f t="shared" ref="K100" si="72">J100</f>
        <v>0</v>
      </c>
      <c r="L100" s="5">
        <f t="shared" ref="L100" si="73">K100</f>
        <v>0</v>
      </c>
      <c r="M100" s="5">
        <f t="shared" ref="M100" si="74">L100</f>
        <v>0</v>
      </c>
      <c r="N100" s="32">
        <f t="shared" ref="N100" si="75">M100</f>
        <v>0</v>
      </c>
      <c r="O100" s="5">
        <f t="shared" ref="O100" si="76">N100</f>
        <v>0</v>
      </c>
      <c r="P100" s="5">
        <f t="shared" ref="P100" si="77">O100</f>
        <v>0</v>
      </c>
      <c r="Q100" s="5">
        <f t="shared" ref="Q100" si="78">P100</f>
        <v>0</v>
      </c>
      <c r="R100" s="5">
        <f t="shared" ref="R100" si="79">Q100</f>
        <v>0</v>
      </c>
      <c r="S100" s="5">
        <f t="shared" ref="S100" si="80">R100</f>
        <v>0</v>
      </c>
      <c r="T100" s="5">
        <f t="shared" ref="T100" si="81">S100</f>
        <v>0</v>
      </c>
      <c r="U100" s="5">
        <f t="shared" ref="U100" si="82">T100</f>
        <v>0</v>
      </c>
      <c r="V100" s="5">
        <f t="shared" ref="V100" si="83">U100</f>
        <v>0</v>
      </c>
      <c r="W100" s="5">
        <f t="shared" ref="W100" si="84">V100</f>
        <v>0</v>
      </c>
      <c r="X100" s="9"/>
      <c r="AA100" s="18"/>
    </row>
    <row r="101" spans="1:27" s="19" customFormat="1">
      <c r="A101" s="69"/>
      <c r="B101" s="1" t="s">
        <v>5312</v>
      </c>
      <c r="C101" s="5">
        <f>'Supply Individual Assumptions'!E38</f>
        <v>0</v>
      </c>
      <c r="D101" s="5">
        <f>'Supply Individual Assumptions'!F38</f>
        <v>0</v>
      </c>
      <c r="E101" s="5">
        <f>'Supply Individual Assumptions'!G38</f>
        <v>0</v>
      </c>
      <c r="F101" s="5">
        <f>'Supply Individual Assumptions'!H38</f>
        <v>0</v>
      </c>
      <c r="G101" s="5">
        <f>'Supply Individual Assumptions'!I38</f>
        <v>1000</v>
      </c>
      <c r="H101" s="5">
        <f>'Supply Individual Assumptions'!J38</f>
        <v>1000</v>
      </c>
      <c r="I101" s="5">
        <f>'Supply Individual Assumptions'!K38</f>
        <v>1000</v>
      </c>
      <c r="J101" s="5">
        <f>'Supply Individual Assumptions'!L38</f>
        <v>1000</v>
      </c>
      <c r="K101" s="5">
        <f>'Supply Individual Assumptions'!M38</f>
        <v>1000</v>
      </c>
      <c r="L101" s="5">
        <f>'Supply Individual Assumptions'!N38</f>
        <v>1000</v>
      </c>
      <c r="M101" s="5">
        <f>'Supply Individual Assumptions'!O38</f>
        <v>1000</v>
      </c>
      <c r="N101" s="5">
        <f>'Supply Individual Assumptions'!P38</f>
        <v>1000</v>
      </c>
      <c r="O101" s="5">
        <f>'Supply Individual Assumptions'!Q38</f>
        <v>1000</v>
      </c>
      <c r="P101" s="5">
        <f>'Supply Individual Assumptions'!R38</f>
        <v>1000</v>
      </c>
      <c r="Q101" s="5">
        <f>'Supply Individual Assumptions'!S38</f>
        <v>1000</v>
      </c>
      <c r="R101" s="5">
        <f>'Supply Individual Assumptions'!T38</f>
        <v>1000</v>
      </c>
      <c r="S101" s="5">
        <f>'Supply Individual Assumptions'!U38</f>
        <v>1000</v>
      </c>
      <c r="T101" s="5">
        <f>'Supply Individual Assumptions'!V38</f>
        <v>1000</v>
      </c>
      <c r="U101" s="5">
        <f>'Supply Individual Assumptions'!W38</f>
        <v>1000</v>
      </c>
      <c r="V101" s="5">
        <f>'Supply Individual Assumptions'!X38</f>
        <v>1000</v>
      </c>
      <c r="W101" s="5">
        <f>'Supply Individual Assumptions'!Y38</f>
        <v>1000</v>
      </c>
      <c r="X101" s="9"/>
    </row>
    <row r="102" spans="1:27" s="19" customFormat="1">
      <c r="A102" s="69"/>
      <c r="B102" s="1" t="s">
        <v>5313</v>
      </c>
      <c r="C102" s="5">
        <f>'Supply Individual Assumptions'!E39</f>
        <v>0</v>
      </c>
      <c r="D102" s="5">
        <f>'Supply Individual Assumptions'!F39</f>
        <v>0</v>
      </c>
      <c r="E102" s="5">
        <f>'Supply Individual Assumptions'!G39</f>
        <v>0</v>
      </c>
      <c r="F102" s="5">
        <f>'Supply Individual Assumptions'!H39</f>
        <v>50</v>
      </c>
      <c r="G102" s="5">
        <f>'Supply Individual Assumptions'!I39</f>
        <v>100</v>
      </c>
      <c r="H102" s="5">
        <f>'Supply Individual Assumptions'!J39</f>
        <v>200</v>
      </c>
      <c r="I102" s="5">
        <f>'Supply Individual Assumptions'!K39</f>
        <v>400</v>
      </c>
      <c r="J102" s="5">
        <f>'Supply Individual Assumptions'!L39</f>
        <v>500</v>
      </c>
      <c r="K102" s="5">
        <f>'Supply Individual Assumptions'!M39</f>
        <v>500</v>
      </c>
      <c r="L102" s="5">
        <f>'Supply Individual Assumptions'!N39</f>
        <v>500</v>
      </c>
      <c r="M102" s="5">
        <f>'Supply Individual Assumptions'!O39</f>
        <v>500</v>
      </c>
      <c r="N102" s="5">
        <f>'Supply Individual Assumptions'!P39</f>
        <v>500</v>
      </c>
      <c r="O102" s="5">
        <f>'Supply Individual Assumptions'!Q39</f>
        <v>500</v>
      </c>
      <c r="P102" s="5">
        <f>'Supply Individual Assumptions'!R39</f>
        <v>500</v>
      </c>
      <c r="Q102" s="5">
        <f>'Supply Individual Assumptions'!S39</f>
        <v>500</v>
      </c>
      <c r="R102" s="5">
        <f>'Supply Individual Assumptions'!T39</f>
        <v>500</v>
      </c>
      <c r="S102" s="5">
        <f>'Supply Individual Assumptions'!U39</f>
        <v>500</v>
      </c>
      <c r="T102" s="5">
        <f>'Supply Individual Assumptions'!V39</f>
        <v>500</v>
      </c>
      <c r="U102" s="5">
        <f>'Supply Individual Assumptions'!W39</f>
        <v>500</v>
      </c>
      <c r="V102" s="5">
        <f>'Supply Individual Assumptions'!X39</f>
        <v>500</v>
      </c>
      <c r="W102" s="5">
        <f>'Supply Individual Assumptions'!Y39</f>
        <v>500</v>
      </c>
      <c r="X102" s="9"/>
    </row>
    <row r="103" spans="1:27" s="19" customFormat="1">
      <c r="A103" s="69"/>
      <c r="B103" s="1"/>
      <c r="C103" s="5"/>
      <c r="D103" s="5"/>
      <c r="E103" s="5"/>
      <c r="F103" s="5"/>
      <c r="G103" s="5"/>
      <c r="H103" s="5"/>
      <c r="I103" s="5"/>
      <c r="J103" s="5"/>
      <c r="K103" s="32"/>
      <c r="L103" s="5"/>
      <c r="M103" s="5"/>
      <c r="N103" s="32"/>
      <c r="O103" s="5"/>
      <c r="P103" s="5"/>
      <c r="Q103" s="5"/>
      <c r="R103" s="5"/>
      <c r="S103" s="5"/>
      <c r="T103" s="5"/>
      <c r="U103" s="5"/>
      <c r="V103" s="5"/>
      <c r="W103" s="5"/>
      <c r="X103" s="9"/>
    </row>
    <row r="104" spans="1:27">
      <c r="A104" s="69"/>
      <c r="B104" s="10" t="s">
        <v>5278</v>
      </c>
      <c r="AA104" s="19"/>
    </row>
    <row r="105" spans="1:27" s="19" customFormat="1">
      <c r="A105" s="69"/>
      <c r="B105" s="1" t="s">
        <v>4271</v>
      </c>
      <c r="C105" s="5">
        <v>0</v>
      </c>
      <c r="D105" s="5">
        <f>C105</f>
        <v>0</v>
      </c>
      <c r="E105" s="5">
        <f t="shared" ref="E105:W105" si="85">D105</f>
        <v>0</v>
      </c>
      <c r="F105" s="5">
        <f t="shared" si="85"/>
        <v>0</v>
      </c>
      <c r="G105" s="5">
        <f t="shared" si="85"/>
        <v>0</v>
      </c>
      <c r="H105" s="5">
        <f t="shared" si="85"/>
        <v>0</v>
      </c>
      <c r="I105" s="5">
        <f t="shared" si="85"/>
        <v>0</v>
      </c>
      <c r="J105" s="5">
        <f t="shared" si="85"/>
        <v>0</v>
      </c>
      <c r="K105" s="32">
        <f t="shared" si="85"/>
        <v>0</v>
      </c>
      <c r="L105" s="5">
        <f t="shared" si="85"/>
        <v>0</v>
      </c>
      <c r="M105" s="5">
        <f t="shared" si="85"/>
        <v>0</v>
      </c>
      <c r="N105" s="32">
        <f t="shared" si="85"/>
        <v>0</v>
      </c>
      <c r="O105" s="5">
        <f t="shared" si="85"/>
        <v>0</v>
      </c>
      <c r="P105" s="5">
        <f t="shared" si="85"/>
        <v>0</v>
      </c>
      <c r="Q105" s="5">
        <f t="shared" si="85"/>
        <v>0</v>
      </c>
      <c r="R105" s="5">
        <f t="shared" si="85"/>
        <v>0</v>
      </c>
      <c r="S105" s="5">
        <f t="shared" si="85"/>
        <v>0</v>
      </c>
      <c r="T105" s="5">
        <f t="shared" si="85"/>
        <v>0</v>
      </c>
      <c r="U105" s="5">
        <f t="shared" si="85"/>
        <v>0</v>
      </c>
      <c r="V105" s="5">
        <f t="shared" si="85"/>
        <v>0</v>
      </c>
      <c r="W105" s="5">
        <f t="shared" si="85"/>
        <v>0</v>
      </c>
      <c r="X105" s="9"/>
    </row>
    <row r="106" spans="1:27">
      <c r="A106" s="69"/>
      <c r="B106" s="1" t="s">
        <v>4387</v>
      </c>
      <c r="C106" s="5">
        <f>'Supply Individual Assumptions'!E14</f>
        <v>2115.7221547066165</v>
      </c>
      <c r="D106" s="5">
        <f>'Supply Individual Assumptions'!F14</f>
        <v>2155.5289547066159</v>
      </c>
      <c r="E106" s="5">
        <f>'Supply Individual Assumptions'!G14</f>
        <v>2162.0269547066164</v>
      </c>
      <c r="F106" s="5">
        <f>'Supply Individual Assumptions'!H14</f>
        <v>2165.2969547066159</v>
      </c>
      <c r="G106" s="5">
        <f>'Supply Individual Assumptions'!I14</f>
        <v>2166.3939547066161</v>
      </c>
      <c r="H106" s="5">
        <f>'Supply Individual Assumptions'!J14</f>
        <v>2168.5879547066161</v>
      </c>
      <c r="I106" s="5">
        <f>'Supply Individual Assumptions'!K14</f>
        <v>2170.781954706616</v>
      </c>
      <c r="J106" s="5">
        <f>'Supply Individual Assumptions'!L14</f>
        <v>2170.781954706616</v>
      </c>
      <c r="K106" s="5">
        <f>'Supply Individual Assumptions'!M14</f>
        <v>2174.0729547066162</v>
      </c>
      <c r="L106" s="5">
        <f>'Supply Individual Assumptions'!N14</f>
        <v>2176.2669547066162</v>
      </c>
      <c r="M106" s="5">
        <f>'Supply Individual Assumptions'!O14</f>
        <v>2176.2669547066162</v>
      </c>
      <c r="N106" s="5">
        <f>'Supply Individual Assumptions'!P14</f>
        <v>2176.2669547066162</v>
      </c>
      <c r="O106" s="5">
        <f>'Supply Individual Assumptions'!Q14</f>
        <v>2176.2669547066162</v>
      </c>
      <c r="P106" s="5">
        <f>'Supply Individual Assumptions'!R14</f>
        <v>2176.2669547066162</v>
      </c>
      <c r="Q106" s="5">
        <f>'Supply Individual Assumptions'!S14</f>
        <v>2176.2669547066162</v>
      </c>
      <c r="R106" s="5">
        <f>'Supply Individual Assumptions'!T14</f>
        <v>2176.2669547066162</v>
      </c>
      <c r="S106" s="5">
        <f>'Supply Individual Assumptions'!U14</f>
        <v>2176.2669547066162</v>
      </c>
      <c r="T106" s="5">
        <f>'Supply Individual Assumptions'!V14</f>
        <v>2176.2669547066162</v>
      </c>
      <c r="U106" s="5">
        <f>'Supply Individual Assumptions'!W14</f>
        <v>2176.2669547066162</v>
      </c>
      <c r="V106" s="5">
        <f>'Supply Individual Assumptions'!X14</f>
        <v>2176.2669547066162</v>
      </c>
      <c r="W106" s="5">
        <f>'Supply Individual Assumptions'!Y14</f>
        <v>2176.2669547066162</v>
      </c>
      <c r="AA106" s="19"/>
    </row>
    <row r="107" spans="1:27" s="19" customFormat="1">
      <c r="A107" s="69"/>
      <c r="B107" s="1" t="s">
        <v>5310</v>
      </c>
      <c r="C107" s="5">
        <f>'Supply Individual Assumptions'!E15</f>
        <v>2115.7221547066165</v>
      </c>
      <c r="D107" s="5">
        <f>'Supply Individual Assumptions'!F15</f>
        <v>2177.2203967806859</v>
      </c>
      <c r="E107" s="5">
        <f>'Supply Individual Assumptions'!G15</f>
        <v>2238.7186388547557</v>
      </c>
      <c r="F107" s="5">
        <f>'Supply Individual Assumptions'!H15</f>
        <v>2300.216880928825</v>
      </c>
      <c r="G107" s="5">
        <f>'Supply Individual Assumptions'!I15</f>
        <v>2361.7151230028949</v>
      </c>
      <c r="H107" s="5">
        <f>'Supply Individual Assumptions'!J15</f>
        <v>2423.2133650769642</v>
      </c>
      <c r="I107" s="5">
        <f>'Supply Individual Assumptions'!K15</f>
        <v>2484.7116071510341</v>
      </c>
      <c r="J107" s="5">
        <f>'Supply Individual Assumptions'!L15</f>
        <v>2546.2098492251034</v>
      </c>
      <c r="K107" s="5">
        <f>'Supply Individual Assumptions'!M15</f>
        <v>3062.9485296604921</v>
      </c>
      <c r="L107" s="5">
        <f>'Supply Individual Assumptions'!N15</f>
        <v>3063.2582314202114</v>
      </c>
      <c r="M107" s="5">
        <f>'Supply Individual Assumptions'!O15</f>
        <v>3570.1852007202674</v>
      </c>
      <c r="N107" s="5">
        <f>'Supply Individual Assumptions'!P15</f>
        <v>3581.8962157428859</v>
      </c>
      <c r="O107" s="5">
        <f>'Supply Individual Assumptions'!Q15</f>
        <v>4107.0235949071675</v>
      </c>
      <c r="P107" s="5">
        <f>'Supply Individual Assumptions'!R15</f>
        <v>4120.4955612938138</v>
      </c>
      <c r="Q107" s="5">
        <f>'Supply Individual Assumptions'!S15</f>
        <v>4650.7631836247128</v>
      </c>
      <c r="R107" s="5">
        <f>'Supply Individual Assumptions'!T15</f>
        <v>4666.0187388544755</v>
      </c>
      <c r="S107" s="5">
        <f>'Supply Individual Assumptions'!U15</f>
        <v>5201.4714841734985</v>
      </c>
      <c r="T107" s="5">
        <f>'Supply Individual Assumptions'!V15</f>
        <v>5201.4714841734985</v>
      </c>
      <c r="U107" s="5">
        <f>'Supply Individual Assumptions'!W15</f>
        <v>5201.4714841734985</v>
      </c>
      <c r="V107" s="5">
        <f>'Supply Individual Assumptions'!X15</f>
        <v>5201.4714841734985</v>
      </c>
      <c r="W107" s="5">
        <f>'Supply Individual Assumptions'!Y15</f>
        <v>5201.4714841734985</v>
      </c>
      <c r="X107" s="9"/>
    </row>
    <row r="108" spans="1:27" s="19" customFormat="1">
      <c r="A108" s="69"/>
      <c r="B108" s="1"/>
      <c r="C108" s="5"/>
      <c r="D108" s="5"/>
      <c r="E108" s="5"/>
      <c r="F108" s="5"/>
      <c r="G108" s="5"/>
      <c r="H108" s="5"/>
      <c r="I108" s="5"/>
      <c r="J108" s="5"/>
      <c r="K108" s="32"/>
      <c r="L108" s="5"/>
      <c r="M108" s="5"/>
      <c r="N108" s="31"/>
      <c r="X108" s="9"/>
    </row>
    <row r="109" spans="1:27" s="19" customFormat="1">
      <c r="A109" s="69"/>
      <c r="B109" s="10" t="s">
        <v>4246</v>
      </c>
      <c r="C109" s="5"/>
      <c r="D109" s="5"/>
      <c r="E109" s="5"/>
      <c r="F109" s="5"/>
      <c r="G109" s="5"/>
      <c r="H109" s="5"/>
      <c r="I109" s="5"/>
      <c r="J109" s="5"/>
      <c r="K109" s="32"/>
      <c r="L109" s="5"/>
      <c r="M109" s="5"/>
      <c r="N109" s="31"/>
      <c r="X109" s="9"/>
    </row>
    <row r="110" spans="1:27">
      <c r="A110" s="69"/>
      <c r="B110" s="1" t="s">
        <v>4322</v>
      </c>
      <c r="C110" s="5">
        <f>'Supply Individual Assumptions'!E44</f>
        <v>17486</v>
      </c>
      <c r="D110" s="5">
        <f>'Supply Individual Assumptions'!F44</f>
        <v>17486</v>
      </c>
      <c r="E110" s="5">
        <f>'Supply Individual Assumptions'!G44</f>
        <v>17486</v>
      </c>
      <c r="F110" s="5">
        <f>'Supply Individual Assumptions'!H44</f>
        <v>17486</v>
      </c>
      <c r="G110" s="5">
        <f>'Supply Individual Assumptions'!I44</f>
        <v>17486</v>
      </c>
      <c r="H110" s="5">
        <f>'Supply Individual Assumptions'!J44</f>
        <v>17486</v>
      </c>
      <c r="I110" s="5">
        <f>'Supply Individual Assumptions'!K44</f>
        <v>17486</v>
      </c>
      <c r="J110" s="5">
        <f>'Supply Individual Assumptions'!L44</f>
        <v>17486</v>
      </c>
      <c r="K110" s="32">
        <f>'Supply Individual Assumptions'!M44</f>
        <v>17486</v>
      </c>
      <c r="L110" s="5">
        <f>'Supply Individual Assumptions'!N44</f>
        <v>17486</v>
      </c>
      <c r="M110" s="5">
        <f>'Supply Individual Assumptions'!O44</f>
        <v>17486</v>
      </c>
      <c r="N110" s="32">
        <f>'Supply Individual Assumptions'!P44</f>
        <v>17486</v>
      </c>
      <c r="O110" s="5">
        <f>'Supply Individual Assumptions'!Q44</f>
        <v>17486</v>
      </c>
      <c r="P110" s="5">
        <f>'Supply Individual Assumptions'!R44</f>
        <v>17486</v>
      </c>
      <c r="Q110" s="5">
        <f>'Supply Individual Assumptions'!S44</f>
        <v>17486</v>
      </c>
      <c r="R110" s="5">
        <f>'Supply Individual Assumptions'!T44</f>
        <v>17486</v>
      </c>
      <c r="S110" s="5">
        <f>'Supply Individual Assumptions'!U44</f>
        <v>17486</v>
      </c>
      <c r="T110" s="5">
        <f>'Supply Individual Assumptions'!V44</f>
        <v>17486</v>
      </c>
      <c r="U110" s="5">
        <f>'Supply Individual Assumptions'!W44</f>
        <v>17486</v>
      </c>
      <c r="V110" s="5">
        <f>'Supply Individual Assumptions'!X44</f>
        <v>17486</v>
      </c>
      <c r="W110" s="5">
        <f>'Supply Individual Assumptions'!Y44</f>
        <v>17486</v>
      </c>
    </row>
    <row r="111" spans="1:27" s="19" customFormat="1">
      <c r="A111" s="69"/>
      <c r="B111" s="1" t="s">
        <v>4323</v>
      </c>
      <c r="C111" s="5">
        <f>'Supply Individual Assumptions'!E45</f>
        <v>13396</v>
      </c>
      <c r="D111" s="5">
        <f>'Supply Individual Assumptions'!F45</f>
        <v>13396</v>
      </c>
      <c r="E111" s="5">
        <f>'Supply Individual Assumptions'!G45</f>
        <v>13396</v>
      </c>
      <c r="F111" s="5">
        <f>'Supply Individual Assumptions'!H45</f>
        <v>13396</v>
      </c>
      <c r="G111" s="5">
        <f>'Supply Individual Assumptions'!I45</f>
        <v>13396</v>
      </c>
      <c r="H111" s="5">
        <f>'Supply Individual Assumptions'!J45</f>
        <v>13396</v>
      </c>
      <c r="I111" s="5">
        <f>'Supply Individual Assumptions'!K45</f>
        <v>13396</v>
      </c>
      <c r="J111" s="5">
        <f>'Supply Individual Assumptions'!L45</f>
        <v>13396</v>
      </c>
      <c r="K111" s="32">
        <f>'Supply Individual Assumptions'!M45</f>
        <v>13396</v>
      </c>
      <c r="L111" s="5">
        <f>'Supply Individual Assumptions'!N45</f>
        <v>13396</v>
      </c>
      <c r="M111" s="5">
        <f>'Supply Individual Assumptions'!O45</f>
        <v>13396</v>
      </c>
      <c r="N111" s="32">
        <f>'Supply Individual Assumptions'!P45</f>
        <v>13396</v>
      </c>
      <c r="O111" s="5">
        <f>'Supply Individual Assumptions'!Q45</f>
        <v>13396</v>
      </c>
      <c r="P111" s="5">
        <f>'Supply Individual Assumptions'!R45</f>
        <v>13396</v>
      </c>
      <c r="Q111" s="5">
        <f>'Supply Individual Assumptions'!S45</f>
        <v>13396</v>
      </c>
      <c r="R111" s="5">
        <f>'Supply Individual Assumptions'!T45</f>
        <v>13396</v>
      </c>
      <c r="S111" s="5">
        <f>'Supply Individual Assumptions'!U45</f>
        <v>13396</v>
      </c>
      <c r="T111" s="5">
        <f>'Supply Individual Assumptions'!V45</f>
        <v>13396</v>
      </c>
      <c r="U111" s="5">
        <f>'Supply Individual Assumptions'!W45</f>
        <v>13396</v>
      </c>
      <c r="V111" s="5">
        <f>'Supply Individual Assumptions'!X45</f>
        <v>13396</v>
      </c>
      <c r="W111" s="5">
        <f>'Supply Individual Assumptions'!Y45</f>
        <v>13396</v>
      </c>
      <c r="X111" s="9"/>
    </row>
    <row r="112" spans="1:27" s="19" customFormat="1">
      <c r="A112" s="69"/>
      <c r="B112" s="1" t="s">
        <v>4321</v>
      </c>
      <c r="C112" s="5">
        <f>'Supply Individual Assumptions'!E46</f>
        <v>10350</v>
      </c>
      <c r="D112" s="5">
        <f>'Supply Individual Assumptions'!F46</f>
        <v>10350</v>
      </c>
      <c r="E112" s="5">
        <f>'Supply Individual Assumptions'!G46</f>
        <v>10350</v>
      </c>
      <c r="F112" s="5">
        <f>'Supply Individual Assumptions'!H46</f>
        <v>10350</v>
      </c>
      <c r="G112" s="5">
        <f>'Supply Individual Assumptions'!I46</f>
        <v>10350</v>
      </c>
      <c r="H112" s="5">
        <f>'Supply Individual Assumptions'!J46</f>
        <v>10350</v>
      </c>
      <c r="I112" s="5">
        <f>'Supply Individual Assumptions'!K46</f>
        <v>10350</v>
      </c>
      <c r="J112" s="5">
        <f>'Supply Individual Assumptions'!L46</f>
        <v>10350</v>
      </c>
      <c r="K112" s="32">
        <f>'Supply Individual Assumptions'!M46</f>
        <v>10350</v>
      </c>
      <c r="L112" s="5">
        <f>'Supply Individual Assumptions'!N46</f>
        <v>10350</v>
      </c>
      <c r="M112" s="5">
        <f>'Supply Individual Assumptions'!O46</f>
        <v>10350</v>
      </c>
      <c r="N112" s="32">
        <f>'Supply Individual Assumptions'!P46</f>
        <v>10350</v>
      </c>
      <c r="O112" s="5">
        <f>'Supply Individual Assumptions'!Q46</f>
        <v>10350</v>
      </c>
      <c r="P112" s="5">
        <f>'Supply Individual Assumptions'!R46</f>
        <v>10350</v>
      </c>
      <c r="Q112" s="5">
        <f>'Supply Individual Assumptions'!S46</f>
        <v>10350</v>
      </c>
      <c r="R112" s="5">
        <f>'Supply Individual Assumptions'!T46</f>
        <v>10350</v>
      </c>
      <c r="S112" s="5">
        <f>'Supply Individual Assumptions'!U46</f>
        <v>10350</v>
      </c>
      <c r="T112" s="5">
        <f>'Supply Individual Assumptions'!V46</f>
        <v>10350</v>
      </c>
      <c r="U112" s="5">
        <f>'Supply Individual Assumptions'!W46</f>
        <v>10350</v>
      </c>
      <c r="V112" s="5">
        <f>'Supply Individual Assumptions'!X46</f>
        <v>10350</v>
      </c>
      <c r="W112" s="5">
        <f>'Supply Individual Assumptions'!Y46</f>
        <v>10350</v>
      </c>
      <c r="X112" s="9"/>
    </row>
    <row r="113" spans="1:24" s="19" customFormat="1">
      <c r="A113" s="69"/>
      <c r="K113" s="31"/>
      <c r="N113" s="31"/>
      <c r="X113" s="9"/>
    </row>
    <row r="114" spans="1:24">
      <c r="A114" s="69"/>
      <c r="B114" s="4" t="s">
        <v>5197</v>
      </c>
    </row>
    <row r="115" spans="1:24" s="19" customFormat="1">
      <c r="A115" s="69"/>
      <c r="B115" s="38" t="s">
        <v>4808</v>
      </c>
      <c r="C115" s="36">
        <f>'Supply Individual Assumptions'!E53</f>
        <v>11684.75</v>
      </c>
      <c r="D115" s="36">
        <f>'Supply Individual Assumptions'!F53</f>
        <v>11684.75</v>
      </c>
      <c r="E115" s="36">
        <f>'Supply Individual Assumptions'!G53</f>
        <v>11684.75</v>
      </c>
      <c r="F115" s="36">
        <f>'Supply Individual Assumptions'!H53</f>
        <v>11684.75</v>
      </c>
      <c r="G115" s="36">
        <f>'Supply Individual Assumptions'!I53</f>
        <v>11684.75</v>
      </c>
      <c r="H115" s="36">
        <f>'Supply Individual Assumptions'!J53</f>
        <v>11684.75</v>
      </c>
      <c r="I115" s="36">
        <f>'Supply Individual Assumptions'!K53</f>
        <v>11684.75</v>
      </c>
      <c r="J115" s="36">
        <f>'Supply Individual Assumptions'!L53</f>
        <v>11684.75</v>
      </c>
      <c r="K115" s="36">
        <f>'Supply Individual Assumptions'!M53</f>
        <v>11684.75</v>
      </c>
      <c r="L115" s="36">
        <f>'Supply Individual Assumptions'!N53</f>
        <v>11684.75</v>
      </c>
      <c r="M115" s="36">
        <f>'Supply Individual Assumptions'!O53</f>
        <v>11684.75</v>
      </c>
      <c r="N115" s="36">
        <f>'Supply Individual Assumptions'!P53</f>
        <v>11684.75</v>
      </c>
      <c r="O115" s="36">
        <f>'Supply Individual Assumptions'!Q53</f>
        <v>11684.75</v>
      </c>
      <c r="P115" s="36">
        <f>'Supply Individual Assumptions'!R53</f>
        <v>11684.75</v>
      </c>
      <c r="Q115" s="36">
        <f>'Supply Individual Assumptions'!S53</f>
        <v>11684.75</v>
      </c>
      <c r="R115" s="36">
        <f>'Supply Individual Assumptions'!T53</f>
        <v>11684.75</v>
      </c>
      <c r="S115" s="36">
        <f>'Supply Individual Assumptions'!U53</f>
        <v>11684.75</v>
      </c>
      <c r="T115" s="36">
        <f>'Supply Individual Assumptions'!V53</f>
        <v>11684.75</v>
      </c>
      <c r="U115" s="36">
        <f>'Supply Individual Assumptions'!W53</f>
        <v>11684.75</v>
      </c>
      <c r="V115" s="36">
        <f>'Supply Individual Assumptions'!X53</f>
        <v>11684.75</v>
      </c>
      <c r="W115" s="36">
        <f>'Supply Individual Assumptions'!Y53</f>
        <v>11684.75</v>
      </c>
      <c r="X115" s="9"/>
    </row>
    <row r="116" spans="1:24">
      <c r="A116" s="69"/>
      <c r="B116" s="2" t="s">
        <v>4254</v>
      </c>
      <c r="C116" s="5">
        <f>'Supply Individual Assumptions'!E54</f>
        <v>2240</v>
      </c>
      <c r="D116" s="5">
        <f>'Supply Individual Assumptions'!F54</f>
        <v>2240</v>
      </c>
      <c r="E116" s="5">
        <f>'Supply Individual Assumptions'!G54</f>
        <v>2240</v>
      </c>
      <c r="F116" s="5">
        <f>'Supply Individual Assumptions'!H54</f>
        <v>2240</v>
      </c>
      <c r="G116" s="5">
        <f>'Supply Individual Assumptions'!I54</f>
        <v>2240</v>
      </c>
      <c r="H116" s="5">
        <f>'Supply Individual Assumptions'!J54</f>
        <v>2240</v>
      </c>
      <c r="I116" s="5">
        <f>'Supply Individual Assumptions'!K54</f>
        <v>2240</v>
      </c>
      <c r="J116" s="5">
        <f>'Supply Individual Assumptions'!L54</f>
        <v>2240</v>
      </c>
      <c r="K116" s="5">
        <f>'Supply Individual Assumptions'!M54</f>
        <v>2240</v>
      </c>
      <c r="L116" s="5">
        <f>'Supply Individual Assumptions'!N54</f>
        <v>2240</v>
      </c>
      <c r="M116" s="5">
        <f>'Supply Individual Assumptions'!O54</f>
        <v>2240</v>
      </c>
      <c r="N116" s="5">
        <f>'Supply Individual Assumptions'!P54</f>
        <v>2240</v>
      </c>
      <c r="O116" s="5">
        <f>'Supply Individual Assumptions'!Q54</f>
        <v>2240</v>
      </c>
      <c r="P116" s="5">
        <f>'Supply Individual Assumptions'!R54</f>
        <v>2240</v>
      </c>
      <c r="Q116" s="5">
        <f>'Supply Individual Assumptions'!S54</f>
        <v>2240</v>
      </c>
      <c r="R116" s="5">
        <f>'Supply Individual Assumptions'!T54</f>
        <v>2240</v>
      </c>
      <c r="S116" s="5">
        <f>'Supply Individual Assumptions'!U54</f>
        <v>2240</v>
      </c>
      <c r="T116" s="5">
        <f>'Supply Individual Assumptions'!V54</f>
        <v>2240</v>
      </c>
      <c r="U116" s="5">
        <f>'Supply Individual Assumptions'!W54</f>
        <v>2240</v>
      </c>
      <c r="V116" s="5">
        <f>'Supply Individual Assumptions'!X54</f>
        <v>2240</v>
      </c>
      <c r="W116" s="5">
        <f>'Supply Individual Assumptions'!Y54</f>
        <v>2240</v>
      </c>
    </row>
    <row r="117" spans="1:24">
      <c r="A117" s="69"/>
      <c r="B117" s="2" t="s">
        <v>5194</v>
      </c>
      <c r="C117" s="5">
        <f>SUM('Supply Individual Assumptions'!E55,'Supply Individual Assumptions'!E61)</f>
        <v>8085.9293598553913</v>
      </c>
      <c r="D117" s="5">
        <f>SUM('Supply Individual Assumptions'!F55,'Supply Individual Assumptions'!F61)</f>
        <v>8085.9293598553913</v>
      </c>
      <c r="E117" s="5">
        <f>SUM('Supply Individual Assumptions'!G55,'Supply Individual Assumptions'!G61)</f>
        <v>8085.9293598553913</v>
      </c>
      <c r="F117" s="5">
        <f>SUM('Supply Individual Assumptions'!H55,'Supply Individual Assumptions'!H61)</f>
        <v>8085.9293598553913</v>
      </c>
      <c r="G117" s="5">
        <f>SUM('Supply Individual Assumptions'!I55,'Supply Individual Assumptions'!I61)</f>
        <v>8085.9293598553913</v>
      </c>
      <c r="H117" s="5">
        <f>SUM('Supply Individual Assumptions'!J55,'Supply Individual Assumptions'!J61)</f>
        <v>8085.9293598553913</v>
      </c>
      <c r="I117" s="5">
        <f>SUM('Supply Individual Assumptions'!K55,'Supply Individual Assumptions'!K61)</f>
        <v>8085.9293598553913</v>
      </c>
      <c r="J117" s="5">
        <f>SUM('Supply Individual Assumptions'!L55,'Supply Individual Assumptions'!L61)</f>
        <v>8085.9293598553913</v>
      </c>
      <c r="K117" s="5">
        <f>SUM('Supply Individual Assumptions'!M55,'Supply Individual Assumptions'!M61)</f>
        <v>8085.9293598553913</v>
      </c>
      <c r="L117" s="5">
        <f>SUM('Supply Individual Assumptions'!N55,'Supply Individual Assumptions'!N61)</f>
        <v>8085.9293598553913</v>
      </c>
      <c r="M117" s="5">
        <f>SUM('Supply Individual Assumptions'!O55,'Supply Individual Assumptions'!O61)</f>
        <v>8085.9293598553913</v>
      </c>
      <c r="N117" s="5">
        <f>SUM('Supply Individual Assumptions'!P55,'Supply Individual Assumptions'!P61)</f>
        <v>8085.9293598553913</v>
      </c>
      <c r="O117" s="5">
        <f>SUM('Supply Individual Assumptions'!Q55,'Supply Individual Assumptions'!Q61)</f>
        <v>8085.9293598553913</v>
      </c>
      <c r="P117" s="5">
        <f>SUM('Supply Individual Assumptions'!R55,'Supply Individual Assumptions'!R61)</f>
        <v>8085.9293598553913</v>
      </c>
      <c r="Q117" s="5">
        <f>SUM('Supply Individual Assumptions'!S55,'Supply Individual Assumptions'!S61)</f>
        <v>8085.9293598553913</v>
      </c>
      <c r="R117" s="5">
        <f>SUM('Supply Individual Assumptions'!T55,'Supply Individual Assumptions'!T61)</f>
        <v>8085.9293598553913</v>
      </c>
      <c r="S117" s="5">
        <f>SUM('Supply Individual Assumptions'!U55,'Supply Individual Assumptions'!U61)</f>
        <v>8085.9293598553913</v>
      </c>
      <c r="T117" s="5">
        <f>SUM('Supply Individual Assumptions'!V55,'Supply Individual Assumptions'!V61)</f>
        <v>8085.9293598553913</v>
      </c>
      <c r="U117" s="5">
        <f>SUM('Supply Individual Assumptions'!W55,'Supply Individual Assumptions'!W61)</f>
        <v>8085.9293598553913</v>
      </c>
      <c r="V117" s="5">
        <f>SUM('Supply Individual Assumptions'!X55,'Supply Individual Assumptions'!X61)</f>
        <v>8085.9293598553913</v>
      </c>
      <c r="W117" s="5">
        <f>SUM('Supply Individual Assumptions'!Y55,'Supply Individual Assumptions'!Y61)</f>
        <v>8085.9293598553913</v>
      </c>
    </row>
    <row r="118" spans="1:24" s="19" customFormat="1">
      <c r="A118" s="69"/>
      <c r="B118" s="2" t="s">
        <v>4255</v>
      </c>
      <c r="C118" s="5">
        <f>SUM('Supply Individual Assumptions'!E56:E57)</f>
        <v>1538.9011172275432</v>
      </c>
      <c r="D118" s="5">
        <f>SUM('Supply Individual Assumptions'!F56:F57)</f>
        <v>1538.9011172275432</v>
      </c>
      <c r="E118" s="5">
        <f>SUM('Supply Individual Assumptions'!G56:G57)</f>
        <v>1538.9011172275432</v>
      </c>
      <c r="F118" s="5">
        <f>SUM('Supply Individual Assumptions'!H56:H57)</f>
        <v>1538.9011172275432</v>
      </c>
      <c r="G118" s="5">
        <f>SUM('Supply Individual Assumptions'!I56:I57)</f>
        <v>1538.9011172275432</v>
      </c>
      <c r="H118" s="5">
        <f>SUM('Supply Individual Assumptions'!J56:J57)</f>
        <v>1538.9011172275432</v>
      </c>
      <c r="I118" s="5">
        <f>SUM('Supply Individual Assumptions'!K56:K57)</f>
        <v>1538.9011172275432</v>
      </c>
      <c r="J118" s="5">
        <f>SUM('Supply Individual Assumptions'!L56:L57)</f>
        <v>1538.9011172275432</v>
      </c>
      <c r="K118" s="5">
        <f>SUM('Supply Individual Assumptions'!M56:M57)</f>
        <v>1538.9011172275432</v>
      </c>
      <c r="L118" s="5">
        <f>SUM('Supply Individual Assumptions'!N56:N57)</f>
        <v>1538.9011172275432</v>
      </c>
      <c r="M118" s="5">
        <f>SUM('Supply Individual Assumptions'!O56:O57)</f>
        <v>1538.9011172275432</v>
      </c>
      <c r="N118" s="5">
        <f>SUM('Supply Individual Assumptions'!P56:P57)</f>
        <v>1538.9011172275432</v>
      </c>
      <c r="O118" s="5">
        <f>SUM('Supply Individual Assumptions'!Q56:Q57)</f>
        <v>1538.9011172275432</v>
      </c>
      <c r="P118" s="5">
        <f>SUM('Supply Individual Assumptions'!R56:R57)</f>
        <v>1538.9011172275432</v>
      </c>
      <c r="Q118" s="5">
        <f>SUM('Supply Individual Assumptions'!S56:S57)</f>
        <v>1538.9011172275432</v>
      </c>
      <c r="R118" s="5">
        <f>SUM('Supply Individual Assumptions'!T56:T57)</f>
        <v>1538.9011172275432</v>
      </c>
      <c r="S118" s="5">
        <f>SUM('Supply Individual Assumptions'!U56:U57)</f>
        <v>1538.9011172275432</v>
      </c>
      <c r="T118" s="5">
        <f>SUM('Supply Individual Assumptions'!V56:V57)</f>
        <v>1538.9011172275432</v>
      </c>
      <c r="U118" s="5">
        <f>SUM('Supply Individual Assumptions'!W56:W57)</f>
        <v>1538.9011172275432</v>
      </c>
      <c r="V118" s="5">
        <f>SUM('Supply Individual Assumptions'!X56:X57)</f>
        <v>1538.9011172275432</v>
      </c>
      <c r="W118" s="5">
        <f>SUM('Supply Individual Assumptions'!Y56:Y57)</f>
        <v>1538.9011172275432</v>
      </c>
      <c r="X118" s="9"/>
    </row>
    <row r="119" spans="1:24" s="19" customFormat="1">
      <c r="A119" s="69"/>
      <c r="B119" s="2" t="s">
        <v>5195</v>
      </c>
      <c r="C119" s="5">
        <f>SUM('Supply Individual Assumptions'!E58:E59)</f>
        <v>1672.7596177292564</v>
      </c>
      <c r="D119" s="5">
        <f>SUM('Supply Individual Assumptions'!F58:F59)</f>
        <v>1672.7596177292564</v>
      </c>
      <c r="E119" s="5">
        <f>SUM('Supply Individual Assumptions'!G58:G59)</f>
        <v>1672.7596177292564</v>
      </c>
      <c r="F119" s="5">
        <f>SUM('Supply Individual Assumptions'!H58:H59)</f>
        <v>1672.7596177292564</v>
      </c>
      <c r="G119" s="5">
        <f>SUM('Supply Individual Assumptions'!I58:I59)</f>
        <v>1672.7596177292564</v>
      </c>
      <c r="H119" s="5">
        <f>SUM('Supply Individual Assumptions'!J58:J59)</f>
        <v>1672.7596177292564</v>
      </c>
      <c r="I119" s="5">
        <f>SUM('Supply Individual Assumptions'!K58:K59)</f>
        <v>1672.7596177292564</v>
      </c>
      <c r="J119" s="5">
        <f>SUM('Supply Individual Assumptions'!L58:L59)</f>
        <v>1672.7596177292564</v>
      </c>
      <c r="K119" s="5">
        <f>SUM('Supply Individual Assumptions'!M58:M59)</f>
        <v>1672.7596177292564</v>
      </c>
      <c r="L119" s="5">
        <f>SUM('Supply Individual Assumptions'!N58:N59)</f>
        <v>1672.7596177292564</v>
      </c>
      <c r="M119" s="5">
        <f>SUM('Supply Individual Assumptions'!O58:O59)</f>
        <v>1672.7596177292564</v>
      </c>
      <c r="N119" s="5">
        <f>SUM('Supply Individual Assumptions'!P58:P59)</f>
        <v>1672.7596177292564</v>
      </c>
      <c r="O119" s="5">
        <f>SUM('Supply Individual Assumptions'!Q58:Q59)</f>
        <v>1672.7596177292564</v>
      </c>
      <c r="P119" s="5">
        <f>SUM('Supply Individual Assumptions'!R58:R59)</f>
        <v>1672.7596177292564</v>
      </c>
      <c r="Q119" s="5">
        <f>SUM('Supply Individual Assumptions'!S58:S59)</f>
        <v>1672.7596177292564</v>
      </c>
      <c r="R119" s="5">
        <f>SUM('Supply Individual Assumptions'!T58:T59)</f>
        <v>1672.7596177292564</v>
      </c>
      <c r="S119" s="5">
        <f>SUM('Supply Individual Assumptions'!U58:U59)</f>
        <v>1672.7596177292564</v>
      </c>
      <c r="T119" s="5">
        <f>SUM('Supply Individual Assumptions'!V58:V59)</f>
        <v>1672.7596177292564</v>
      </c>
      <c r="U119" s="5">
        <f>SUM('Supply Individual Assumptions'!W58:W59)</f>
        <v>1672.7596177292564</v>
      </c>
      <c r="V119" s="5">
        <f>SUM('Supply Individual Assumptions'!X58:X59)</f>
        <v>1672.7596177292564</v>
      </c>
      <c r="W119" s="5">
        <f>SUM('Supply Individual Assumptions'!Y58:Y59)</f>
        <v>1672.7596177292564</v>
      </c>
      <c r="X119" s="9"/>
    </row>
    <row r="120" spans="1:24" s="19" customFormat="1">
      <c r="A120" s="69"/>
      <c r="B120" s="2" t="s">
        <v>4801</v>
      </c>
      <c r="C120" s="5">
        <f>'Supply Individual Assumptions'!E60</f>
        <v>4915.239999999998</v>
      </c>
      <c r="D120" s="5">
        <f>'Supply Individual Assumptions'!F60</f>
        <v>4915.239999999998</v>
      </c>
      <c r="E120" s="5">
        <f>'Supply Individual Assumptions'!G60</f>
        <v>4915.239999999998</v>
      </c>
      <c r="F120" s="5">
        <f>'Supply Individual Assumptions'!H60</f>
        <v>4915.239999999998</v>
      </c>
      <c r="G120" s="5">
        <f>'Supply Individual Assumptions'!I60</f>
        <v>4915.239999999998</v>
      </c>
      <c r="H120" s="5">
        <f>'Supply Individual Assumptions'!J60</f>
        <v>4915.239999999998</v>
      </c>
      <c r="I120" s="5">
        <f>'Supply Individual Assumptions'!K60</f>
        <v>4915.239999999998</v>
      </c>
      <c r="J120" s="5">
        <f>'Supply Individual Assumptions'!L60</f>
        <v>4915.239999999998</v>
      </c>
      <c r="K120" s="5">
        <f>'Supply Individual Assumptions'!M60</f>
        <v>4915.239999999998</v>
      </c>
      <c r="L120" s="5">
        <f>'Supply Individual Assumptions'!N60</f>
        <v>4915.239999999998</v>
      </c>
      <c r="M120" s="5">
        <f>'Supply Individual Assumptions'!O60</f>
        <v>4915.239999999998</v>
      </c>
      <c r="N120" s="5">
        <f>'Supply Individual Assumptions'!P60</f>
        <v>4915.239999999998</v>
      </c>
      <c r="O120" s="5">
        <f>'Supply Individual Assumptions'!Q60</f>
        <v>4915.239999999998</v>
      </c>
      <c r="P120" s="5">
        <f>'Supply Individual Assumptions'!R60</f>
        <v>4915.239999999998</v>
      </c>
      <c r="Q120" s="5">
        <f>'Supply Individual Assumptions'!S60</f>
        <v>4915.239999999998</v>
      </c>
      <c r="R120" s="5">
        <f>'Supply Individual Assumptions'!T60</f>
        <v>4915.239999999998</v>
      </c>
      <c r="S120" s="5">
        <f>'Supply Individual Assumptions'!U60</f>
        <v>4915.239999999998</v>
      </c>
      <c r="T120" s="5">
        <f>'Supply Individual Assumptions'!V60</f>
        <v>4915.239999999998</v>
      </c>
      <c r="U120" s="5">
        <f>'Supply Individual Assumptions'!W60</f>
        <v>4915.239999999998</v>
      </c>
      <c r="V120" s="5">
        <f>'Supply Individual Assumptions'!X60</f>
        <v>4915.239999999998</v>
      </c>
      <c r="W120" s="5">
        <f>'Supply Individual Assumptions'!Y60</f>
        <v>4915.239999999998</v>
      </c>
      <c r="X120" s="9"/>
    </row>
    <row r="121" spans="1:24" s="19" customFormat="1">
      <c r="A121" s="69"/>
      <c r="B121" s="2" t="s">
        <v>4805</v>
      </c>
      <c r="C121" s="5">
        <f>'Supply Individual Assumptions'!E62</f>
        <v>5356.9499999999989</v>
      </c>
      <c r="D121" s="5">
        <f>'Supply Individual Assumptions'!F62</f>
        <v>5356.9499999999989</v>
      </c>
      <c r="E121" s="5">
        <f>'Supply Individual Assumptions'!G62</f>
        <v>5356.9499999999989</v>
      </c>
      <c r="F121" s="5">
        <f>'Supply Individual Assumptions'!H62</f>
        <v>5356.9499999999989</v>
      </c>
      <c r="G121" s="5">
        <f>'Supply Individual Assumptions'!I62</f>
        <v>5356.9499999999989</v>
      </c>
      <c r="H121" s="5">
        <f>'Supply Individual Assumptions'!J62</f>
        <v>5356.9499999999989</v>
      </c>
      <c r="I121" s="5">
        <f>'Supply Individual Assumptions'!K62</f>
        <v>5356.9499999999989</v>
      </c>
      <c r="J121" s="5">
        <f>'Supply Individual Assumptions'!L62</f>
        <v>5356.9499999999989</v>
      </c>
      <c r="K121" s="5">
        <f>'Supply Individual Assumptions'!M62</f>
        <v>5356.9499999999989</v>
      </c>
      <c r="L121" s="5">
        <f>'Supply Individual Assumptions'!N62</f>
        <v>5356.9499999999989</v>
      </c>
      <c r="M121" s="5">
        <f>'Supply Individual Assumptions'!O62</f>
        <v>5356.9499999999989</v>
      </c>
      <c r="N121" s="5">
        <f>'Supply Individual Assumptions'!P62</f>
        <v>5356.9499999999989</v>
      </c>
      <c r="O121" s="5">
        <f>'Supply Individual Assumptions'!Q62</f>
        <v>5356.9499999999989</v>
      </c>
      <c r="P121" s="5">
        <f>'Supply Individual Assumptions'!R62</f>
        <v>5356.9499999999989</v>
      </c>
      <c r="Q121" s="5">
        <f>'Supply Individual Assumptions'!S62</f>
        <v>5356.9499999999989</v>
      </c>
      <c r="R121" s="5">
        <f>'Supply Individual Assumptions'!T62</f>
        <v>5356.9499999999989</v>
      </c>
      <c r="S121" s="5">
        <f>'Supply Individual Assumptions'!U62</f>
        <v>5356.9499999999989</v>
      </c>
      <c r="T121" s="5">
        <f>'Supply Individual Assumptions'!V62</f>
        <v>5356.9499999999989</v>
      </c>
      <c r="U121" s="5">
        <f>'Supply Individual Assumptions'!W62</f>
        <v>5356.9499999999989</v>
      </c>
      <c r="V121" s="5">
        <f>'Supply Individual Assumptions'!X62</f>
        <v>5356.9499999999989</v>
      </c>
      <c r="W121" s="5">
        <f>'Supply Individual Assumptions'!Y62</f>
        <v>5356.9499999999989</v>
      </c>
      <c r="X121" s="9"/>
    </row>
    <row r="122" spans="1:24" s="19" customFormat="1">
      <c r="A122" s="69"/>
      <c r="B122" s="2" t="s">
        <v>4806</v>
      </c>
      <c r="C122" s="5">
        <f>'Supply Individual Assumptions'!E63</f>
        <v>15046.768346451616</v>
      </c>
      <c r="D122" s="5">
        <f>'Supply Individual Assumptions'!F63</f>
        <v>15046.768346451616</v>
      </c>
      <c r="E122" s="5">
        <f>'Supply Individual Assumptions'!G63</f>
        <v>15046.768346451616</v>
      </c>
      <c r="F122" s="5">
        <f>'Supply Individual Assumptions'!H63</f>
        <v>15046.768346451616</v>
      </c>
      <c r="G122" s="5">
        <f>'Supply Individual Assumptions'!I63</f>
        <v>15046.768346451616</v>
      </c>
      <c r="H122" s="5">
        <f>'Supply Individual Assumptions'!J63</f>
        <v>15046.768346451616</v>
      </c>
      <c r="I122" s="5">
        <f>'Supply Individual Assumptions'!K63</f>
        <v>15046.768346451616</v>
      </c>
      <c r="J122" s="5">
        <f>'Supply Individual Assumptions'!L63</f>
        <v>15046.768346451616</v>
      </c>
      <c r="K122" s="5">
        <f>'Supply Individual Assumptions'!M63</f>
        <v>15046.768346451616</v>
      </c>
      <c r="L122" s="5">
        <f>'Supply Individual Assumptions'!N63</f>
        <v>15046.768346451616</v>
      </c>
      <c r="M122" s="5">
        <f>'Supply Individual Assumptions'!O63</f>
        <v>15046.768346451616</v>
      </c>
      <c r="N122" s="5">
        <f>'Supply Individual Assumptions'!P63</f>
        <v>15046.768346451616</v>
      </c>
      <c r="O122" s="5">
        <f>'Supply Individual Assumptions'!Q63</f>
        <v>15046.768346451616</v>
      </c>
      <c r="P122" s="5">
        <f>'Supply Individual Assumptions'!R63</f>
        <v>15046.768346451616</v>
      </c>
      <c r="Q122" s="5">
        <f>'Supply Individual Assumptions'!S63</f>
        <v>15046.768346451616</v>
      </c>
      <c r="R122" s="5">
        <f>'Supply Individual Assumptions'!T63</f>
        <v>15046.768346451616</v>
      </c>
      <c r="S122" s="5">
        <f>'Supply Individual Assumptions'!U63</f>
        <v>15046.768346451616</v>
      </c>
      <c r="T122" s="5">
        <f>'Supply Individual Assumptions'!V63</f>
        <v>15046.768346451616</v>
      </c>
      <c r="U122" s="5">
        <f>'Supply Individual Assumptions'!W63</f>
        <v>15046.768346451616</v>
      </c>
      <c r="V122" s="5">
        <f>'Supply Individual Assumptions'!X63</f>
        <v>15046.768346451616</v>
      </c>
      <c r="W122" s="5">
        <f>'Supply Individual Assumptions'!Y63</f>
        <v>15046.768346451616</v>
      </c>
      <c r="X122" s="9"/>
    </row>
    <row r="123" spans="1:24" s="19" customFormat="1">
      <c r="A123" s="69"/>
      <c r="B123" s="2" t="s">
        <v>4807</v>
      </c>
      <c r="C123" s="5">
        <f>'Supply Individual Assumptions'!E64</f>
        <v>120.65000000000003</v>
      </c>
      <c r="D123" s="5">
        <f>'Supply Individual Assumptions'!F64</f>
        <v>120.65000000000003</v>
      </c>
      <c r="E123" s="5">
        <f>'Supply Individual Assumptions'!G64</f>
        <v>120.65000000000003</v>
      </c>
      <c r="F123" s="5">
        <f>'Supply Individual Assumptions'!H64</f>
        <v>120.65000000000003</v>
      </c>
      <c r="G123" s="5">
        <f>'Supply Individual Assumptions'!I64</f>
        <v>120.65000000000003</v>
      </c>
      <c r="H123" s="5">
        <f>'Supply Individual Assumptions'!J64</f>
        <v>120.65000000000003</v>
      </c>
      <c r="I123" s="5">
        <f>'Supply Individual Assumptions'!K64</f>
        <v>120.65000000000003</v>
      </c>
      <c r="J123" s="5">
        <f>'Supply Individual Assumptions'!L64</f>
        <v>120.65000000000003</v>
      </c>
      <c r="K123" s="5">
        <f>'Supply Individual Assumptions'!M64</f>
        <v>120.65000000000003</v>
      </c>
      <c r="L123" s="5">
        <f>'Supply Individual Assumptions'!N64</f>
        <v>120.65000000000003</v>
      </c>
      <c r="M123" s="5">
        <f>'Supply Individual Assumptions'!O64</f>
        <v>120.65000000000003</v>
      </c>
      <c r="N123" s="5">
        <f>'Supply Individual Assumptions'!P64</f>
        <v>120.65000000000003</v>
      </c>
      <c r="O123" s="5">
        <f>'Supply Individual Assumptions'!Q64</f>
        <v>120.65000000000003</v>
      </c>
      <c r="P123" s="5">
        <f>'Supply Individual Assumptions'!R64</f>
        <v>120.65000000000003</v>
      </c>
      <c r="Q123" s="5">
        <f>'Supply Individual Assumptions'!S64</f>
        <v>120.65000000000003</v>
      </c>
      <c r="R123" s="5">
        <f>'Supply Individual Assumptions'!T64</f>
        <v>120.65000000000003</v>
      </c>
      <c r="S123" s="5">
        <f>'Supply Individual Assumptions'!U64</f>
        <v>120.65000000000003</v>
      </c>
      <c r="T123" s="5">
        <f>'Supply Individual Assumptions'!V64</f>
        <v>120.65000000000003</v>
      </c>
      <c r="U123" s="5">
        <f>'Supply Individual Assumptions'!W64</f>
        <v>120.65000000000003</v>
      </c>
      <c r="V123" s="5">
        <f>'Supply Individual Assumptions'!X64</f>
        <v>120.65000000000003</v>
      </c>
      <c r="W123" s="5">
        <f>'Supply Individual Assumptions'!Y64</f>
        <v>120.65000000000003</v>
      </c>
      <c r="X123" s="9"/>
    </row>
    <row r="124" spans="1:24" s="19" customFormat="1">
      <c r="A124" s="69"/>
      <c r="B124" s="35" t="s">
        <v>4247</v>
      </c>
      <c r="C124" s="36">
        <f t="shared" ref="C124:W124" si="86">SUM(C115:C123)</f>
        <v>50661.948441263805</v>
      </c>
      <c r="D124" s="36">
        <f t="shared" si="86"/>
        <v>50661.948441263805</v>
      </c>
      <c r="E124" s="36">
        <f t="shared" si="86"/>
        <v>50661.948441263805</v>
      </c>
      <c r="F124" s="36">
        <f t="shared" si="86"/>
        <v>50661.948441263805</v>
      </c>
      <c r="G124" s="36">
        <f t="shared" si="86"/>
        <v>50661.948441263805</v>
      </c>
      <c r="H124" s="36">
        <f t="shared" si="86"/>
        <v>50661.948441263805</v>
      </c>
      <c r="I124" s="36">
        <f t="shared" si="86"/>
        <v>50661.948441263805</v>
      </c>
      <c r="J124" s="36">
        <f t="shared" si="86"/>
        <v>50661.948441263805</v>
      </c>
      <c r="K124" s="217">
        <f t="shared" si="86"/>
        <v>50661.948441263805</v>
      </c>
      <c r="L124" s="36">
        <f t="shared" si="86"/>
        <v>50661.948441263805</v>
      </c>
      <c r="M124" s="36">
        <f t="shared" si="86"/>
        <v>50661.948441263805</v>
      </c>
      <c r="N124" s="217">
        <f t="shared" si="86"/>
        <v>50661.948441263805</v>
      </c>
      <c r="O124" s="36">
        <f t="shared" si="86"/>
        <v>50661.948441263805</v>
      </c>
      <c r="P124" s="36">
        <f t="shared" si="86"/>
        <v>50661.948441263805</v>
      </c>
      <c r="Q124" s="36">
        <f t="shared" si="86"/>
        <v>50661.948441263805</v>
      </c>
      <c r="R124" s="36">
        <f t="shared" si="86"/>
        <v>50661.948441263805</v>
      </c>
      <c r="S124" s="36">
        <f t="shared" si="86"/>
        <v>50661.948441263805</v>
      </c>
      <c r="T124" s="36">
        <f t="shared" si="86"/>
        <v>50661.948441263805</v>
      </c>
      <c r="U124" s="36">
        <f t="shared" si="86"/>
        <v>50661.948441263805</v>
      </c>
      <c r="V124" s="36">
        <f t="shared" si="86"/>
        <v>50661.948441263805</v>
      </c>
      <c r="W124" s="36">
        <f t="shared" si="86"/>
        <v>50661.948441263805</v>
      </c>
      <c r="X124" s="9"/>
    </row>
    <row r="125" spans="1:24">
      <c r="A125" s="69"/>
    </row>
    <row r="126" spans="1:24">
      <c r="A126" s="69"/>
      <c r="B126" s="10" t="s">
        <v>4244</v>
      </c>
    </row>
    <row r="127" spans="1:24" s="19" customFormat="1">
      <c r="A127" s="69"/>
      <c r="B127" s="35" t="s">
        <v>4276</v>
      </c>
      <c r="C127" s="5"/>
      <c r="D127" s="5"/>
      <c r="E127" s="5"/>
      <c r="F127" s="5"/>
      <c r="G127" s="5"/>
      <c r="H127" s="5"/>
      <c r="I127" s="5"/>
      <c r="J127" s="5"/>
      <c r="K127" s="32"/>
      <c r="L127" s="5"/>
      <c r="M127" s="5"/>
      <c r="N127" s="32"/>
      <c r="O127" s="5"/>
      <c r="P127" s="5"/>
      <c r="Q127" s="5"/>
      <c r="R127" s="5"/>
      <c r="S127" s="5"/>
      <c r="T127" s="5"/>
      <c r="U127" s="5"/>
      <c r="V127" s="5"/>
      <c r="W127" s="5"/>
      <c r="X127" s="9"/>
    </row>
    <row r="128" spans="1:24">
      <c r="A128" s="69"/>
      <c r="B128" s="2" t="s">
        <v>5196</v>
      </c>
      <c r="C128" s="5">
        <f>'Supply Individual Assumptions'!E74</f>
        <v>15.110000000000001</v>
      </c>
      <c r="D128" s="5">
        <f>'Supply Individual Assumptions'!F74</f>
        <v>15.110000000000001</v>
      </c>
      <c r="E128" s="5">
        <f>'Supply Individual Assumptions'!G74</f>
        <v>329.10999999999996</v>
      </c>
      <c r="F128" s="5">
        <f>'Supply Individual Assumptions'!H74</f>
        <v>329.10999999999996</v>
      </c>
      <c r="G128" s="5">
        <f>'Supply Individual Assumptions'!I74</f>
        <v>329.10999999999996</v>
      </c>
      <c r="H128" s="5">
        <f>'Supply Individual Assumptions'!J74</f>
        <v>329.10999999999996</v>
      </c>
      <c r="I128" s="5">
        <f>'Supply Individual Assumptions'!K74</f>
        <v>329.10999999999996</v>
      </c>
      <c r="J128" s="5">
        <f>'Supply Individual Assumptions'!L74</f>
        <v>329.10999999999996</v>
      </c>
      <c r="K128" s="5">
        <f>'Supply Individual Assumptions'!M74</f>
        <v>329.10999999999996</v>
      </c>
      <c r="L128" s="5">
        <f>'Supply Individual Assumptions'!N74</f>
        <v>329.10999999999996</v>
      </c>
      <c r="M128" s="5">
        <f>'Supply Individual Assumptions'!O74</f>
        <v>329.10999999999996</v>
      </c>
      <c r="N128" s="5">
        <f>'Supply Individual Assumptions'!P74</f>
        <v>329.10999999999996</v>
      </c>
      <c r="O128" s="5">
        <f>'Supply Individual Assumptions'!Q74</f>
        <v>329.10999999999996</v>
      </c>
      <c r="P128" s="5">
        <f>'Supply Individual Assumptions'!R74</f>
        <v>329.10999999999996</v>
      </c>
      <c r="Q128" s="5">
        <f>'Supply Individual Assumptions'!S74</f>
        <v>329.10999999999996</v>
      </c>
      <c r="R128" s="5">
        <f>'Supply Individual Assumptions'!T74</f>
        <v>329.10999999999996</v>
      </c>
      <c r="S128" s="5">
        <f>'Supply Individual Assumptions'!U74</f>
        <v>329.10999999999996</v>
      </c>
      <c r="T128" s="5">
        <f>'Supply Individual Assumptions'!V74</f>
        <v>329.10999999999996</v>
      </c>
      <c r="U128" s="5">
        <f>'Supply Individual Assumptions'!W74</f>
        <v>329.10999999999996</v>
      </c>
      <c r="V128" s="5">
        <f>'Supply Individual Assumptions'!X74</f>
        <v>329.10999999999996</v>
      </c>
      <c r="W128" s="5">
        <f>'Supply Individual Assumptions'!Y74</f>
        <v>329.10999999999996</v>
      </c>
    </row>
    <row r="129" spans="1:24" s="19" customFormat="1">
      <c r="A129" s="69"/>
      <c r="B129" s="1" t="s">
        <v>3333</v>
      </c>
      <c r="C129" s="5"/>
      <c r="D129" s="5"/>
      <c r="E129" s="5"/>
      <c r="F129" s="5"/>
      <c r="G129" s="5"/>
      <c r="H129" s="5"/>
      <c r="I129" s="5"/>
      <c r="J129" s="5"/>
      <c r="K129" s="32"/>
      <c r="L129" s="5"/>
      <c r="N129" s="31"/>
      <c r="X129" s="9"/>
    </row>
    <row r="130" spans="1:24" s="19" customFormat="1">
      <c r="A130" s="69"/>
      <c r="B130" s="2" t="s">
        <v>5365</v>
      </c>
      <c r="C130" s="5">
        <f>'Supply Individual Assumptions'!E80</f>
        <v>1180.2032530237582</v>
      </c>
      <c r="D130" s="5">
        <f>'Supply Individual Assumptions'!F80</f>
        <v>2382.7812958653544</v>
      </c>
      <c r="E130" s="5">
        <f>'Supply Individual Assumptions'!G80</f>
        <v>3783.5372472090858</v>
      </c>
      <c r="F130" s="5">
        <f>'Supply Individual Assumptions'!H80</f>
        <v>3945.4692547051231</v>
      </c>
      <c r="G130" s="5">
        <f>'Supply Individual Assumptions'!I80</f>
        <v>4024.9777568127251</v>
      </c>
      <c r="H130" s="5">
        <f>'Supply Individual Assumptions'!J80</f>
        <v>5318.502291591175</v>
      </c>
      <c r="I130" s="5">
        <f>'Supply Individual Assumptions'!K80</f>
        <v>5738.218040697041</v>
      </c>
      <c r="J130" s="5">
        <f>'Supply Individual Assumptions'!L80</f>
        <v>5795.3077914332489</v>
      </c>
      <c r="K130" s="32">
        <f>'Supply Individual Assumptions'!M80</f>
        <v>5856.8903990258905</v>
      </c>
      <c r="L130" s="5">
        <f>'Supply Individual Assumptions'!N80</f>
        <v>5938.5116247074193</v>
      </c>
      <c r="M130" s="5">
        <f>'Supply Individual Assumptions'!O80</f>
        <v>5938.5116247074193</v>
      </c>
      <c r="N130" s="32">
        <f>'Supply Individual Assumptions'!P80</f>
        <v>5997.914494542194</v>
      </c>
      <c r="O130" s="5">
        <f>'Supply Individual Assumptions'!Q80</f>
        <v>6057.3173643769678</v>
      </c>
      <c r="P130" s="5">
        <f>'Supply Individual Assumptions'!R80</f>
        <v>6116.7202342117416</v>
      </c>
      <c r="Q130" s="5">
        <f>'Supply Individual Assumptions'!S80</f>
        <v>6176.1231040465154</v>
      </c>
      <c r="R130" s="5">
        <f>'Supply Individual Assumptions'!T80</f>
        <v>6235.5259738812892</v>
      </c>
      <c r="S130" s="5">
        <f>'Supply Individual Assumptions'!U80</f>
        <v>6294.9288437160631</v>
      </c>
      <c r="T130" s="5">
        <f>'Supply Individual Assumptions'!V80</f>
        <v>6354.3317135508369</v>
      </c>
      <c r="U130" s="5">
        <f>'Supply Individual Assumptions'!W80</f>
        <v>6413.7345833856107</v>
      </c>
      <c r="V130" s="5">
        <f>'Supply Individual Assumptions'!X80</f>
        <v>6473.1374532203845</v>
      </c>
      <c r="W130" s="5">
        <f>'Supply Individual Assumptions'!Y80</f>
        <v>6532.5403230551583</v>
      </c>
      <c r="X130" s="9"/>
    </row>
    <row r="131" spans="1:24" s="19" customFormat="1">
      <c r="A131" s="69"/>
      <c r="B131" s="2" t="s">
        <v>5366</v>
      </c>
      <c r="C131" s="5">
        <f>'Supply Individual Assumptions'!E81</f>
        <v>1255.4112950624187</v>
      </c>
      <c r="D131" s="5">
        <f>'Supply Individual Assumptions'!F81</f>
        <v>2708.0556963846429</v>
      </c>
      <c r="E131" s="5">
        <f>'Supply Individual Assumptions'!G81</f>
        <v>4108.8116477283738</v>
      </c>
      <c r="F131" s="5">
        <f>'Supply Individual Assumptions'!H81</f>
        <v>4306.2049026947534</v>
      </c>
      <c r="G131" s="5">
        <f>'Supply Individual Assumptions'!I81</f>
        <v>4385.7134048023563</v>
      </c>
      <c r="H131" s="5">
        <f>'Supply Individual Assumptions'!J81</f>
        <v>5679.2379395808066</v>
      </c>
      <c r="I131" s="5">
        <f>'Supply Individual Assumptions'!K81</f>
        <v>6098.9536886866726</v>
      </c>
      <c r="J131" s="5">
        <f>'Supply Individual Assumptions'!L81</f>
        <v>6156.0434394228805</v>
      </c>
      <c r="K131" s="32">
        <f>'Supply Individual Assumptions'!M81</f>
        <v>6217.6260470155221</v>
      </c>
      <c r="L131" s="5">
        <f>'Supply Individual Assumptions'!N81</f>
        <v>6299.24727269705</v>
      </c>
      <c r="M131" s="5">
        <f>'Supply Individual Assumptions'!O81</f>
        <v>6299.24727269705</v>
      </c>
      <c r="N131" s="32">
        <f>'Supply Individual Assumptions'!P81</f>
        <v>6433.8774446658826</v>
      </c>
      <c r="O131" s="5">
        <f>'Supply Individual Assumptions'!Q81</f>
        <v>6568.5076166347153</v>
      </c>
      <c r="P131" s="5">
        <f>'Supply Individual Assumptions'!R81</f>
        <v>6703.137788603548</v>
      </c>
      <c r="Q131" s="5">
        <f>'Supply Individual Assumptions'!S81</f>
        <v>6837.7679605723806</v>
      </c>
      <c r="R131" s="5">
        <f>'Supply Individual Assumptions'!T81</f>
        <v>6972.3981325412133</v>
      </c>
      <c r="S131" s="5">
        <f>'Supply Individual Assumptions'!U81</f>
        <v>7107.0283045100459</v>
      </c>
      <c r="T131" s="5">
        <f>'Supply Individual Assumptions'!V81</f>
        <v>7241.6584764788786</v>
      </c>
      <c r="U131" s="5">
        <f>'Supply Individual Assumptions'!W81</f>
        <v>7376.2886484477112</v>
      </c>
      <c r="V131" s="5">
        <f>'Supply Individual Assumptions'!X81</f>
        <v>7510.9188204165439</v>
      </c>
      <c r="W131" s="5">
        <f>'Supply Individual Assumptions'!Y81</f>
        <v>7645.5489923853766</v>
      </c>
      <c r="X131" s="9"/>
    </row>
    <row r="132" spans="1:24" s="19" customFormat="1">
      <c r="A132" s="69"/>
      <c r="B132" s="2" t="s">
        <v>5373</v>
      </c>
      <c r="C132" s="5">
        <f>'Supply Individual Assumptions'!E82</f>
        <v>1611.8668742517748</v>
      </c>
      <c r="D132" s="5">
        <f>'Supply Individual Assumptions'!F82</f>
        <v>3122.7123794959807</v>
      </c>
      <c r="E132" s="5">
        <f>'Supply Individual Assumptions'!G82</f>
        <v>4523.4683308397116</v>
      </c>
      <c r="F132" s="5">
        <f>'Supply Individual Assumptions'!H82</f>
        <v>4917.771247230261</v>
      </c>
      <c r="G132" s="5">
        <f>'Supply Individual Assumptions'!I82</f>
        <v>4997.279749337863</v>
      </c>
      <c r="H132" s="5">
        <f>'Supply Individual Assumptions'!J82</f>
        <v>6290.8042841163142</v>
      </c>
      <c r="I132" s="5">
        <f>'Supply Individual Assumptions'!K82</f>
        <v>6710.5200332221802</v>
      </c>
      <c r="J132" s="5">
        <f>'Supply Individual Assumptions'!L82</f>
        <v>6767.6097839583872</v>
      </c>
      <c r="K132" s="32">
        <f>'Supply Individual Assumptions'!M82</f>
        <v>6829.1923915510288</v>
      </c>
      <c r="L132" s="5">
        <f>'Supply Individual Assumptions'!N82</f>
        <v>6910.8136172325567</v>
      </c>
      <c r="M132" s="5">
        <f>'Supply Individual Assumptions'!O82</f>
        <v>6910.8136172325567</v>
      </c>
      <c r="N132" s="32">
        <f>'Supply Individual Assumptions'!P82</f>
        <v>7121.4132146459251</v>
      </c>
      <c r="O132" s="5">
        <f>'Supply Individual Assumptions'!Q82</f>
        <v>7332.0128120592935</v>
      </c>
      <c r="P132" s="5">
        <f>'Supply Individual Assumptions'!R82</f>
        <v>7542.612409472662</v>
      </c>
      <c r="Q132" s="5">
        <f>'Supply Individual Assumptions'!S82</f>
        <v>7753.2120068860304</v>
      </c>
      <c r="R132" s="5">
        <f>'Supply Individual Assumptions'!T82</f>
        <v>7963.8116042993988</v>
      </c>
      <c r="S132" s="5">
        <f>'Supply Individual Assumptions'!U82</f>
        <v>8174.4112017127673</v>
      </c>
      <c r="T132" s="5">
        <f>'Supply Individual Assumptions'!V82</f>
        <v>8385.0107991261357</v>
      </c>
      <c r="U132" s="5">
        <f>'Supply Individual Assumptions'!W82</f>
        <v>8595.6103965395032</v>
      </c>
      <c r="V132" s="5">
        <f>'Supply Individual Assumptions'!X82</f>
        <v>8806.2099939528707</v>
      </c>
      <c r="W132" s="5">
        <f>'Supply Individual Assumptions'!Y82</f>
        <v>9016.8095913662382</v>
      </c>
      <c r="X132" s="9"/>
    </row>
    <row r="133" spans="1:24" s="19" customFormat="1">
      <c r="A133" s="69"/>
      <c r="B133" s="2" t="s">
        <v>5401</v>
      </c>
      <c r="C133" s="5">
        <f>'Supply Individual Assumptions'!E83</f>
        <v>1147.562891532699</v>
      </c>
      <c r="D133" s="5">
        <f>'Supply Individual Assumptions'!F83</f>
        <v>2322.9077383679569</v>
      </c>
      <c r="E133" s="5">
        <f>'Supply Individual Assumptions'!G83</f>
        <v>3723.6636897116873</v>
      </c>
      <c r="F133" s="5">
        <f>'Supply Individual Assumptions'!H83</f>
        <v>3885.5956972077247</v>
      </c>
      <c r="G133" s="5">
        <f>'Supply Individual Assumptions'!I83</f>
        <v>3965.1041993153267</v>
      </c>
      <c r="H133" s="5">
        <f>'Supply Individual Assumptions'!J83</f>
        <v>4858.2360825977285</v>
      </c>
      <c r="I133" s="5">
        <f>'Supply Individual Assumptions'!K83</f>
        <v>5277.9518317035954</v>
      </c>
      <c r="J133" s="5">
        <f>'Supply Individual Assumptions'!L83</f>
        <v>5335.0415824398024</v>
      </c>
      <c r="K133" s="32">
        <f>'Supply Individual Assumptions'!M83</f>
        <v>5396.6241900324439</v>
      </c>
      <c r="L133" s="5">
        <f>'Supply Individual Assumptions'!N83</f>
        <v>5478.2454157139719</v>
      </c>
      <c r="M133" s="5">
        <f>'Supply Individual Assumptions'!O83</f>
        <v>5478.2454157139719</v>
      </c>
      <c r="N133" s="32">
        <f>'Supply Individual Assumptions'!P83</f>
        <v>5551.9423160485057</v>
      </c>
      <c r="O133" s="5">
        <f>'Supply Individual Assumptions'!Q83</f>
        <v>5625.6392163830396</v>
      </c>
      <c r="P133" s="5">
        <f>'Supply Individual Assumptions'!R83</f>
        <v>5699.3361167175735</v>
      </c>
      <c r="Q133" s="5">
        <f>'Supply Individual Assumptions'!S83</f>
        <v>5773.0330170521074</v>
      </c>
      <c r="R133" s="5">
        <f>'Supply Individual Assumptions'!T83</f>
        <v>5846.7299173866413</v>
      </c>
      <c r="S133" s="5">
        <f>'Supply Individual Assumptions'!U83</f>
        <v>5920.4268177211752</v>
      </c>
      <c r="T133" s="5">
        <f>'Supply Individual Assumptions'!V83</f>
        <v>5994.1237180557091</v>
      </c>
      <c r="U133" s="5">
        <f>'Supply Individual Assumptions'!W83</f>
        <v>6067.820618390243</v>
      </c>
      <c r="V133" s="5">
        <f>'Supply Individual Assumptions'!X83</f>
        <v>6141.5175187247769</v>
      </c>
      <c r="W133" s="5">
        <f>'Supply Individual Assumptions'!Y83</f>
        <v>6215.2144190593108</v>
      </c>
      <c r="X133" s="9"/>
    </row>
    <row r="134" spans="1:24" s="19" customFormat="1">
      <c r="A134" s="69"/>
      <c r="B134" s="2" t="s">
        <v>5376</v>
      </c>
      <c r="C134" s="5">
        <f>'Supply Individual Assumptions'!E84</f>
        <v>1256.9954624154368</v>
      </c>
      <c r="D134" s="5">
        <f>'Supply Individual Assumptions'!F84</f>
        <v>2519.3512222516351</v>
      </c>
      <c r="E134" s="5">
        <f>'Supply Individual Assumptions'!G84</f>
        <v>4254.5620993970815</v>
      </c>
      <c r="F134" s="5">
        <f>'Supply Individual Assumptions'!H84</f>
        <v>4467.5602044685465</v>
      </c>
      <c r="G134" s="5">
        <f>'Supply Individual Assumptions'!I84</f>
        <v>4626.1594107191941</v>
      </c>
      <c r="H134" s="5">
        <f>'Supply Individual Assumptions'!J84</f>
        <v>4864.2025116854047</v>
      </c>
      <c r="I134" s="5">
        <f>'Supply Individual Assumptions'!K84</f>
        <v>5139.7951765902981</v>
      </c>
      <c r="J134" s="5">
        <f>'Supply Individual Assumptions'!L84</f>
        <v>5365.821158336912</v>
      </c>
      <c r="K134" s="32">
        <f>'Supply Individual Assumptions'!M84</f>
        <v>5522.9420260852439</v>
      </c>
      <c r="L134" s="5">
        <f>'Supply Individual Assumptions'!N84</f>
        <v>5675.5490241395573</v>
      </c>
      <c r="M134" s="5">
        <f>'Supply Individual Assumptions'!O84</f>
        <v>5675.5490241395573</v>
      </c>
      <c r="N134" s="32">
        <f>'Supply Individual Assumptions'!P84</f>
        <v>5675.5490241395573</v>
      </c>
      <c r="O134" s="5">
        <f>'Supply Individual Assumptions'!Q84</f>
        <v>5675.5490241395573</v>
      </c>
      <c r="P134" s="5">
        <f>'Supply Individual Assumptions'!R84</f>
        <v>5675.5490241395573</v>
      </c>
      <c r="Q134" s="5">
        <f>'Supply Individual Assumptions'!S84</f>
        <v>5675.5490241395573</v>
      </c>
      <c r="R134" s="5">
        <f>'Supply Individual Assumptions'!T84</f>
        <v>5675.5490241395573</v>
      </c>
      <c r="S134" s="5">
        <f>'Supply Individual Assumptions'!U84</f>
        <v>5675.5490241395573</v>
      </c>
      <c r="T134" s="5">
        <f>'Supply Individual Assumptions'!V84</f>
        <v>5675.5490241395573</v>
      </c>
      <c r="U134" s="5">
        <f>'Supply Individual Assumptions'!W84</f>
        <v>5675.5490241395573</v>
      </c>
      <c r="V134" s="5">
        <f>'Supply Individual Assumptions'!X84</f>
        <v>5675.5490241395573</v>
      </c>
      <c r="W134" s="5">
        <f>'Supply Individual Assumptions'!Y84</f>
        <v>5675.5490241395573</v>
      </c>
      <c r="X134" s="9"/>
    </row>
    <row r="135" spans="1:24" s="19" customFormat="1">
      <c r="A135" s="69"/>
      <c r="B135" s="2" t="s">
        <v>5375</v>
      </c>
      <c r="C135" s="5">
        <f>'Supply Individual Assumptions'!E85</f>
        <v>2025.62942077506</v>
      </c>
      <c r="D135" s="5">
        <f>'Supply Individual Assumptions'!F85</f>
        <v>4066.5911070191196</v>
      </c>
      <c r="E135" s="5">
        <f>'Supply Individual Assumptions'!G85</f>
        <v>6213.5638090502998</v>
      </c>
      <c r="F135" s="5">
        <f>'Supply Individual Assumptions'!H85</f>
        <v>7026.4545577481158</v>
      </c>
      <c r="G135" s="5">
        <f>'Supply Individual Assumptions'!I85</f>
        <v>7217.3380623471903</v>
      </c>
      <c r="H135" s="5">
        <f>'Supply Individual Assumptions'!J85</f>
        <v>8719.34880578505</v>
      </c>
      <c r="I135" s="5">
        <f>'Supply Individual Assumptions'!K85</f>
        <v>9370.655421160458</v>
      </c>
      <c r="J135" s="5">
        <f>'Supply Individual Assumptions'!L85</f>
        <v>9731.8362650963663</v>
      </c>
      <c r="K135" s="32">
        <f>'Supply Individual Assumptions'!M85</f>
        <v>10056.0020608627</v>
      </c>
      <c r="L135" s="5">
        <f>'Supply Individual Assumptions'!N85</f>
        <v>10224.665738295835</v>
      </c>
      <c r="M135" s="5">
        <f>'Supply Individual Assumptions'!O85</f>
        <v>10224.665738295835</v>
      </c>
      <c r="N135" s="32">
        <f>'Supply Individual Assumptions'!P85</f>
        <v>10328.345474680635</v>
      </c>
      <c r="O135" s="5">
        <f>'Supply Individual Assumptions'!Q85</f>
        <v>10432.025211065435</v>
      </c>
      <c r="P135" s="5">
        <f>'Supply Individual Assumptions'!R85</f>
        <v>10535.704947450235</v>
      </c>
      <c r="Q135" s="5">
        <f>'Supply Individual Assumptions'!S85</f>
        <v>10639.384683835035</v>
      </c>
      <c r="R135" s="5">
        <f>'Supply Individual Assumptions'!T85</f>
        <v>10743.064420219835</v>
      </c>
      <c r="S135" s="5">
        <f>'Supply Individual Assumptions'!U85</f>
        <v>10846.744156604635</v>
      </c>
      <c r="T135" s="5">
        <f>'Supply Individual Assumptions'!V85</f>
        <v>10950.423892989435</v>
      </c>
      <c r="U135" s="5">
        <f>'Supply Individual Assumptions'!W85</f>
        <v>11054.103629374235</v>
      </c>
      <c r="V135" s="5">
        <f>'Supply Individual Assumptions'!X85</f>
        <v>11157.783365759034</v>
      </c>
      <c r="W135" s="5">
        <f>'Supply Individual Assumptions'!Y85</f>
        <v>11261.463102143834</v>
      </c>
      <c r="X135" s="9"/>
    </row>
    <row r="136" spans="1:24" s="19" customFormat="1">
      <c r="A136" s="69"/>
      <c r="B136" s="2" t="s">
        <v>5374</v>
      </c>
      <c r="C136" s="5">
        <f>'Supply Individual Assumptions'!E86</f>
        <v>1589.009614007342</v>
      </c>
      <c r="D136" s="5">
        <f>'Supply Individual Assumptions'!F86</f>
        <v>3316.0722969200233</v>
      </c>
      <c r="E136" s="5">
        <f>'Supply Individual Assumptions'!G86</f>
        <v>5463.0449989512008</v>
      </c>
      <c r="F136" s="5">
        <f>'Supply Individual Assumptions'!H86</f>
        <v>5703.2018961130816</v>
      </c>
      <c r="G136" s="5">
        <f>'Supply Individual Assumptions'!I86</f>
        <v>5894.0854007121561</v>
      </c>
      <c r="H136" s="5">
        <f>'Supply Individual Assumptions'!J86</f>
        <v>6167.3813492545096</v>
      </c>
      <c r="I136" s="5">
        <f>'Supply Individual Assumptions'!K86</f>
        <v>6818.6879646299185</v>
      </c>
      <c r="J136" s="5">
        <f>'Supply Individual Assumptions'!L86</f>
        <v>7179.868808565825</v>
      </c>
      <c r="K136" s="32">
        <f>'Supply Individual Assumptions'!M86</f>
        <v>7504.0346043321597</v>
      </c>
      <c r="L136" s="5">
        <f>'Supply Individual Assumptions'!N86</f>
        <v>7672.6982817652952</v>
      </c>
      <c r="M136" s="5">
        <f>'Supply Individual Assumptions'!O86</f>
        <v>7672.6982817652952</v>
      </c>
      <c r="N136" s="32">
        <f>'Supply Individual Assumptions'!P86</f>
        <v>7672.6982817652952</v>
      </c>
      <c r="O136" s="5">
        <f>'Supply Individual Assumptions'!Q86</f>
        <v>7672.6982817652952</v>
      </c>
      <c r="P136" s="5">
        <f>'Supply Individual Assumptions'!R86</f>
        <v>7672.6982817652952</v>
      </c>
      <c r="Q136" s="5">
        <f>'Supply Individual Assumptions'!S86</f>
        <v>7672.6982817652952</v>
      </c>
      <c r="R136" s="5">
        <f>'Supply Individual Assumptions'!T86</f>
        <v>7672.6982817652952</v>
      </c>
      <c r="S136" s="5">
        <f>'Supply Individual Assumptions'!U86</f>
        <v>7672.6982817652952</v>
      </c>
      <c r="T136" s="5">
        <f>'Supply Individual Assumptions'!V86</f>
        <v>7672.6982817652952</v>
      </c>
      <c r="U136" s="5">
        <f>'Supply Individual Assumptions'!W86</f>
        <v>7672.6982817652952</v>
      </c>
      <c r="V136" s="5">
        <f>'Supply Individual Assumptions'!X86</f>
        <v>7672.6982817652952</v>
      </c>
      <c r="W136" s="5">
        <f>'Supply Individual Assumptions'!Y86</f>
        <v>7672.6982817652952</v>
      </c>
      <c r="X136" s="9"/>
    </row>
    <row r="137" spans="1:24" s="19" customFormat="1">
      <c r="A137" s="69"/>
      <c r="B137" s="1" t="s">
        <v>4355</v>
      </c>
      <c r="C137" s="5"/>
      <c r="D137" s="5"/>
      <c r="E137" s="5"/>
      <c r="F137" s="5"/>
      <c r="G137" s="5"/>
      <c r="H137" s="5"/>
      <c r="I137" s="5"/>
      <c r="J137" s="5"/>
      <c r="K137" s="32"/>
      <c r="L137" s="5"/>
      <c r="M137" s="5"/>
      <c r="N137" s="32"/>
      <c r="O137" s="5"/>
      <c r="P137" s="5"/>
      <c r="Q137" s="5"/>
      <c r="R137" s="5"/>
      <c r="S137" s="5"/>
      <c r="T137" s="5"/>
      <c r="U137" s="5"/>
      <c r="V137" s="5"/>
      <c r="W137" s="5"/>
      <c r="X137" s="9"/>
    </row>
    <row r="138" spans="1:24" s="19" customFormat="1">
      <c r="A138" s="69"/>
      <c r="B138" s="2" t="s">
        <v>4271</v>
      </c>
      <c r="C138" s="5">
        <v>0</v>
      </c>
      <c r="D138" s="5">
        <f>C138</f>
        <v>0</v>
      </c>
      <c r="E138" s="5">
        <f t="shared" ref="E138:W138" si="87">D138</f>
        <v>0</v>
      </c>
      <c r="F138" s="5">
        <f t="shared" si="87"/>
        <v>0</v>
      </c>
      <c r="G138" s="5">
        <f t="shared" si="87"/>
        <v>0</v>
      </c>
      <c r="H138" s="5">
        <f t="shared" si="87"/>
        <v>0</v>
      </c>
      <c r="I138" s="5">
        <f t="shared" si="87"/>
        <v>0</v>
      </c>
      <c r="J138" s="5">
        <f t="shared" si="87"/>
        <v>0</v>
      </c>
      <c r="K138" s="5">
        <f t="shared" si="87"/>
        <v>0</v>
      </c>
      <c r="L138" s="5">
        <f t="shared" si="87"/>
        <v>0</v>
      </c>
      <c r="M138" s="5">
        <f t="shared" si="87"/>
        <v>0</v>
      </c>
      <c r="N138" s="5">
        <f t="shared" si="87"/>
        <v>0</v>
      </c>
      <c r="O138" s="5">
        <f t="shared" si="87"/>
        <v>0</v>
      </c>
      <c r="P138" s="5">
        <f t="shared" si="87"/>
        <v>0</v>
      </c>
      <c r="Q138" s="5">
        <f t="shared" si="87"/>
        <v>0</v>
      </c>
      <c r="R138" s="5">
        <f t="shared" si="87"/>
        <v>0</v>
      </c>
      <c r="S138" s="5">
        <f t="shared" si="87"/>
        <v>0</v>
      </c>
      <c r="T138" s="5">
        <f t="shared" si="87"/>
        <v>0</v>
      </c>
      <c r="U138" s="5">
        <f t="shared" si="87"/>
        <v>0</v>
      </c>
      <c r="V138" s="5">
        <f t="shared" si="87"/>
        <v>0</v>
      </c>
      <c r="W138" s="5">
        <f t="shared" si="87"/>
        <v>0</v>
      </c>
      <c r="X138" s="9"/>
    </row>
    <row r="139" spans="1:24" s="19" customFormat="1">
      <c r="A139" s="69"/>
      <c r="B139" s="2" t="s">
        <v>5418</v>
      </c>
      <c r="C139" s="5">
        <f>SUM('Supply Individual Assumptions'!E76:E77)</f>
        <v>0</v>
      </c>
      <c r="D139" s="5">
        <f>SUM('Supply Individual Assumptions'!F76:F77)</f>
        <v>0</v>
      </c>
      <c r="E139" s="5">
        <f>SUM('Supply Individual Assumptions'!G76:G77)</f>
        <v>0</v>
      </c>
      <c r="F139" s="5">
        <f>SUM('Supply Individual Assumptions'!H76:H77)</f>
        <v>0</v>
      </c>
      <c r="G139" s="5">
        <f>SUM('Supply Individual Assumptions'!I76:I77)</f>
        <v>0</v>
      </c>
      <c r="H139" s="5">
        <f>SUM('Supply Individual Assumptions'!J76:J77)</f>
        <v>1200</v>
      </c>
      <c r="I139" s="5">
        <f>SUM('Supply Individual Assumptions'!K76:K77)</f>
        <v>1200</v>
      </c>
      <c r="J139" s="5">
        <f>SUM('Supply Individual Assumptions'!L76:L77)</f>
        <v>1200</v>
      </c>
      <c r="K139" s="5">
        <f>SUM('Supply Individual Assumptions'!M76:M77)</f>
        <v>1200</v>
      </c>
      <c r="L139" s="5">
        <f>SUM('Supply Individual Assumptions'!N76:N77)</f>
        <v>1200</v>
      </c>
      <c r="M139" s="5">
        <f>SUM('Supply Individual Assumptions'!O76:O77)</f>
        <v>1200</v>
      </c>
      <c r="N139" s="5">
        <f>SUM('Supply Individual Assumptions'!P76:P77)</f>
        <v>1200</v>
      </c>
      <c r="O139" s="5">
        <f>SUM('Supply Individual Assumptions'!Q76:Q77)</f>
        <v>1200</v>
      </c>
      <c r="P139" s="5">
        <f>SUM('Supply Individual Assumptions'!R76:R77)</f>
        <v>1200</v>
      </c>
      <c r="Q139" s="5">
        <f>SUM('Supply Individual Assumptions'!S76:S77)</f>
        <v>1200</v>
      </c>
      <c r="R139" s="5">
        <f>SUM('Supply Individual Assumptions'!T76:T77)</f>
        <v>1200</v>
      </c>
      <c r="S139" s="5">
        <f>SUM('Supply Individual Assumptions'!U76:U77)</f>
        <v>1200</v>
      </c>
      <c r="T139" s="5">
        <f>SUM('Supply Individual Assumptions'!V76:V77)</f>
        <v>1200</v>
      </c>
      <c r="U139" s="5">
        <f>SUM('Supply Individual Assumptions'!W76:W77)</f>
        <v>1200</v>
      </c>
      <c r="V139" s="5">
        <f>SUM('Supply Individual Assumptions'!X76:X77)</f>
        <v>1200</v>
      </c>
      <c r="W139" s="5">
        <f>SUM('Supply Individual Assumptions'!Y76:Y77)</f>
        <v>1200</v>
      </c>
      <c r="X139" s="9"/>
    </row>
    <row r="140" spans="1:24" s="19" customFormat="1">
      <c r="A140" s="69"/>
      <c r="B140" s="2" t="s">
        <v>5419</v>
      </c>
      <c r="C140" s="5">
        <f>SUM('Supply Individual Assumptions'!E76:E78)</f>
        <v>0</v>
      </c>
      <c r="D140" s="5">
        <f>SUM('Supply Individual Assumptions'!F76:F78)</f>
        <v>0</v>
      </c>
      <c r="E140" s="5">
        <f>SUM('Supply Individual Assumptions'!G76:G78)</f>
        <v>0</v>
      </c>
      <c r="F140" s="5">
        <f>SUM('Supply Individual Assumptions'!H76:H78)</f>
        <v>0</v>
      </c>
      <c r="G140" s="5">
        <f>SUM('Supply Individual Assumptions'!I76:I78)</f>
        <v>0</v>
      </c>
      <c r="H140" s="5">
        <f>SUM('Supply Individual Assumptions'!J76:J78)</f>
        <v>1200</v>
      </c>
      <c r="I140" s="5">
        <f>SUM('Supply Individual Assumptions'!K76:K78)</f>
        <v>1200</v>
      </c>
      <c r="J140" s="5">
        <f>SUM('Supply Individual Assumptions'!L76:L78)</f>
        <v>1200</v>
      </c>
      <c r="K140" s="5">
        <f>SUM('Supply Individual Assumptions'!M76:M78)</f>
        <v>1200</v>
      </c>
      <c r="L140" s="5">
        <f>SUM('Supply Individual Assumptions'!N76:N78)</f>
        <v>1200</v>
      </c>
      <c r="M140" s="5">
        <f>SUM('Supply Individual Assumptions'!O76:O78)</f>
        <v>1200</v>
      </c>
      <c r="N140" s="5">
        <f>SUM('Supply Individual Assumptions'!P76:P78)</f>
        <v>1200</v>
      </c>
      <c r="O140" s="5">
        <f>SUM('Supply Individual Assumptions'!Q76:Q78)</f>
        <v>1200</v>
      </c>
      <c r="P140" s="5">
        <f>SUM('Supply Individual Assumptions'!R76:R78)</f>
        <v>1200</v>
      </c>
      <c r="Q140" s="5">
        <f>SUM('Supply Individual Assumptions'!S76:S78)</f>
        <v>1200</v>
      </c>
      <c r="R140" s="5">
        <f>SUM('Supply Individual Assumptions'!T76:T78)</f>
        <v>1200</v>
      </c>
      <c r="S140" s="5">
        <f>SUM('Supply Individual Assumptions'!U76:U78)</f>
        <v>1200</v>
      </c>
      <c r="T140" s="5">
        <f>SUM('Supply Individual Assumptions'!V76:V78)</f>
        <v>1200</v>
      </c>
      <c r="U140" s="5">
        <f>SUM('Supply Individual Assumptions'!W76:W78)</f>
        <v>1200</v>
      </c>
      <c r="V140" s="5">
        <f>SUM('Supply Individual Assumptions'!X76:X78)</f>
        <v>1200</v>
      </c>
      <c r="W140" s="5">
        <f>SUM('Supply Individual Assumptions'!Y76:Y78)</f>
        <v>1200</v>
      </c>
      <c r="X140" s="9"/>
    </row>
    <row r="141" spans="1:24" s="19" customFormat="1">
      <c r="A141" s="69"/>
      <c r="B141" s="2"/>
      <c r="C141" s="5"/>
      <c r="D141" s="5"/>
      <c r="E141" s="5"/>
      <c r="F141" s="5"/>
      <c r="G141" s="5"/>
      <c r="H141" s="5"/>
      <c r="I141" s="5"/>
      <c r="J141" s="5"/>
      <c r="K141" s="32"/>
      <c r="L141" s="5"/>
      <c r="N141" s="31"/>
      <c r="X141" s="9"/>
    </row>
    <row r="142" spans="1:24">
      <c r="A142" s="69"/>
      <c r="B142" s="4" t="s">
        <v>5198</v>
      </c>
    </row>
    <row r="143" spans="1:24">
      <c r="A143" s="69"/>
      <c r="B143" s="1" t="s">
        <v>4808</v>
      </c>
      <c r="C143" s="5"/>
      <c r="D143" s="5"/>
      <c r="E143" s="5"/>
      <c r="F143" s="5"/>
      <c r="G143" s="5"/>
      <c r="H143" s="5"/>
      <c r="I143" s="5"/>
      <c r="J143" s="5"/>
      <c r="K143" s="32"/>
      <c r="L143" s="5"/>
      <c r="M143" s="5"/>
      <c r="N143" s="32"/>
      <c r="O143" s="5"/>
      <c r="P143" s="5"/>
      <c r="Q143" s="5"/>
      <c r="R143" s="5"/>
      <c r="S143" s="5"/>
      <c r="T143" s="5"/>
      <c r="U143" s="5"/>
      <c r="V143" s="5"/>
      <c r="W143" s="5"/>
    </row>
    <row r="144" spans="1:24" s="2" customFormat="1">
      <c r="A144" s="69"/>
      <c r="B144" s="2" t="s">
        <v>4387</v>
      </c>
      <c r="C144" s="5">
        <f>'Supply Individual Assumptions'!E93</f>
        <v>650</v>
      </c>
      <c r="D144" s="5">
        <f>'Supply Individual Assumptions'!F93</f>
        <v>650</v>
      </c>
      <c r="E144" s="5">
        <f>'Supply Individual Assumptions'!G93</f>
        <v>985</v>
      </c>
      <c r="F144" s="5">
        <f>'Supply Individual Assumptions'!H93</f>
        <v>985</v>
      </c>
      <c r="G144" s="5">
        <f>'Supply Individual Assumptions'!I93</f>
        <v>5790.53</v>
      </c>
      <c r="H144" s="5">
        <f>'Supply Individual Assumptions'!J93</f>
        <v>5790.53</v>
      </c>
      <c r="I144" s="5">
        <f>'Supply Individual Assumptions'!K93</f>
        <v>5790.53</v>
      </c>
      <c r="J144" s="5">
        <f>'Supply Individual Assumptions'!L93</f>
        <v>11684.75</v>
      </c>
      <c r="K144" s="5">
        <f>'Supply Individual Assumptions'!M93</f>
        <v>11684.75</v>
      </c>
      <c r="L144" s="5">
        <f>'Supply Individual Assumptions'!N93</f>
        <v>11684.75</v>
      </c>
      <c r="M144" s="5">
        <f>'Supply Individual Assumptions'!O93</f>
        <v>11684.75</v>
      </c>
      <c r="N144" s="5">
        <f>'Supply Individual Assumptions'!P93</f>
        <v>11684.75</v>
      </c>
      <c r="O144" s="5">
        <f>'Supply Individual Assumptions'!Q93</f>
        <v>11684.75</v>
      </c>
      <c r="P144" s="5">
        <f>'Supply Individual Assumptions'!R93</f>
        <v>11684.75</v>
      </c>
      <c r="Q144" s="5">
        <f>'Supply Individual Assumptions'!S93</f>
        <v>11684.75</v>
      </c>
      <c r="R144" s="5">
        <f>'Supply Individual Assumptions'!T93</f>
        <v>11684.75</v>
      </c>
      <c r="S144" s="5">
        <f>'Supply Individual Assumptions'!U93</f>
        <v>11684.75</v>
      </c>
      <c r="T144" s="5">
        <f>'Supply Individual Assumptions'!V93</f>
        <v>11684.75</v>
      </c>
      <c r="U144" s="5">
        <f>'Supply Individual Assumptions'!W93</f>
        <v>11684.75</v>
      </c>
      <c r="V144" s="5">
        <f>'Supply Individual Assumptions'!X93</f>
        <v>11684.75</v>
      </c>
      <c r="W144" s="5">
        <f>'Supply Individual Assumptions'!Y93</f>
        <v>11684.75</v>
      </c>
      <c r="X144" s="37"/>
    </row>
    <row r="145" spans="1:24">
      <c r="A145" s="69"/>
      <c r="B145" s="66" t="s">
        <v>4254</v>
      </c>
      <c r="C145" s="5"/>
      <c r="D145" s="5"/>
      <c r="E145" s="5"/>
      <c r="F145" s="5"/>
      <c r="G145" s="5"/>
      <c r="H145" s="5"/>
      <c r="I145" s="5"/>
      <c r="J145" s="5"/>
      <c r="K145" s="32"/>
      <c r="L145" s="5"/>
      <c r="M145" s="5"/>
      <c r="N145" s="32"/>
      <c r="O145" s="5"/>
      <c r="P145" s="5"/>
      <c r="Q145" s="5"/>
      <c r="R145" s="5"/>
      <c r="S145" s="5"/>
      <c r="T145" s="5"/>
      <c r="U145" s="5"/>
      <c r="V145" s="5"/>
      <c r="W145" s="5"/>
    </row>
    <row r="146" spans="1:24">
      <c r="A146" s="69"/>
      <c r="B146" s="39" t="s">
        <v>4271</v>
      </c>
      <c r="C146" s="5">
        <f>'Supply Individual Assumptions'!E94</f>
        <v>0</v>
      </c>
      <c r="D146" s="5">
        <f>'Supply Individual Assumptions'!F94</f>
        <v>0</v>
      </c>
      <c r="E146" s="5">
        <f>'Supply Individual Assumptions'!G94</f>
        <v>0</v>
      </c>
      <c r="F146" s="5">
        <f>'Supply Individual Assumptions'!H94</f>
        <v>0</v>
      </c>
      <c r="G146" s="5">
        <f>'Supply Individual Assumptions'!I94</f>
        <v>0</v>
      </c>
      <c r="H146" s="5">
        <f>'Supply Individual Assumptions'!J94</f>
        <v>0</v>
      </c>
      <c r="I146" s="5">
        <f>'Supply Individual Assumptions'!K94</f>
        <v>0</v>
      </c>
      <c r="J146" s="5">
        <f>'Supply Individual Assumptions'!L94</f>
        <v>0</v>
      </c>
      <c r="K146" s="5">
        <f>'Supply Individual Assumptions'!M94</f>
        <v>0</v>
      </c>
      <c r="L146" s="5">
        <f>'Supply Individual Assumptions'!N94</f>
        <v>0</v>
      </c>
      <c r="M146" s="5">
        <f>'Supply Individual Assumptions'!O94</f>
        <v>0</v>
      </c>
      <c r="N146" s="5">
        <f>'Supply Individual Assumptions'!P94</f>
        <v>0</v>
      </c>
      <c r="O146" s="5">
        <f>'Supply Individual Assumptions'!Q94</f>
        <v>0</v>
      </c>
      <c r="P146" s="5">
        <f>'Supply Individual Assumptions'!R94</f>
        <v>0</v>
      </c>
      <c r="Q146" s="5">
        <f>'Supply Individual Assumptions'!S94</f>
        <v>0</v>
      </c>
      <c r="R146" s="5">
        <f>'Supply Individual Assumptions'!T94</f>
        <v>0</v>
      </c>
      <c r="S146" s="5">
        <f>'Supply Individual Assumptions'!U94</f>
        <v>0</v>
      </c>
      <c r="T146" s="5">
        <f>'Supply Individual Assumptions'!V94</f>
        <v>0</v>
      </c>
      <c r="U146" s="5">
        <f>'Supply Individual Assumptions'!W94</f>
        <v>0</v>
      </c>
      <c r="V146" s="5">
        <f>'Supply Individual Assumptions'!X94</f>
        <v>0</v>
      </c>
      <c r="W146" s="5">
        <f>'Supply Individual Assumptions'!Y94</f>
        <v>0</v>
      </c>
    </row>
    <row r="147" spans="1:24" s="19" customFormat="1">
      <c r="A147" s="69"/>
      <c r="B147" s="39" t="s">
        <v>5186</v>
      </c>
      <c r="C147" s="5">
        <f>'Supply Individual Assumptions'!E95</f>
        <v>0</v>
      </c>
      <c r="D147" s="5">
        <f>'Supply Individual Assumptions'!F95</f>
        <v>0</v>
      </c>
      <c r="E147" s="5">
        <f>'Supply Individual Assumptions'!G95</f>
        <v>0</v>
      </c>
      <c r="F147" s="5">
        <f>'Supply Individual Assumptions'!H95</f>
        <v>0</v>
      </c>
      <c r="G147" s="5">
        <f>'Supply Individual Assumptions'!I95</f>
        <v>0</v>
      </c>
      <c r="H147" s="5">
        <f>'Supply Individual Assumptions'!J95</f>
        <v>0</v>
      </c>
      <c r="I147" s="5">
        <f>'Supply Individual Assumptions'!K95</f>
        <v>0</v>
      </c>
      <c r="J147" s="5">
        <f>'Supply Individual Assumptions'!L95</f>
        <v>0</v>
      </c>
      <c r="K147" s="5">
        <f>'Supply Individual Assumptions'!M95</f>
        <v>0</v>
      </c>
      <c r="L147" s="5">
        <f>'Supply Individual Assumptions'!N95</f>
        <v>2240</v>
      </c>
      <c r="M147" s="5">
        <f>'Supply Individual Assumptions'!O95</f>
        <v>2240</v>
      </c>
      <c r="N147" s="5">
        <f>'Supply Individual Assumptions'!P95</f>
        <v>2240</v>
      </c>
      <c r="O147" s="5">
        <f>'Supply Individual Assumptions'!Q95</f>
        <v>2240</v>
      </c>
      <c r="P147" s="5">
        <f>'Supply Individual Assumptions'!R95</f>
        <v>2240</v>
      </c>
      <c r="Q147" s="5">
        <f>'Supply Individual Assumptions'!S95</f>
        <v>2240</v>
      </c>
      <c r="R147" s="5">
        <f>'Supply Individual Assumptions'!T95</f>
        <v>2240</v>
      </c>
      <c r="S147" s="5">
        <f>'Supply Individual Assumptions'!U95</f>
        <v>2240</v>
      </c>
      <c r="T147" s="5">
        <f>'Supply Individual Assumptions'!V95</f>
        <v>2240</v>
      </c>
      <c r="U147" s="5">
        <f>'Supply Individual Assumptions'!W95</f>
        <v>2240</v>
      </c>
      <c r="V147" s="5">
        <f>'Supply Individual Assumptions'!X95</f>
        <v>2240</v>
      </c>
      <c r="W147" s="5">
        <f>'Supply Individual Assumptions'!Y95</f>
        <v>2240</v>
      </c>
      <c r="X147" s="9"/>
    </row>
    <row r="148" spans="1:24">
      <c r="A148" s="69"/>
      <c r="B148" s="66" t="s">
        <v>4255</v>
      </c>
      <c r="C148" s="5"/>
      <c r="D148" s="5"/>
      <c r="E148" s="5"/>
      <c r="F148" s="5"/>
      <c r="G148" s="5"/>
      <c r="H148" s="5"/>
      <c r="I148" s="5"/>
      <c r="J148" s="5"/>
      <c r="K148" s="32"/>
      <c r="L148" s="5"/>
      <c r="M148" s="5"/>
      <c r="N148" s="32"/>
      <c r="O148" s="5"/>
      <c r="P148" s="5"/>
      <c r="Q148" s="5"/>
      <c r="R148" s="5"/>
      <c r="S148" s="5"/>
      <c r="T148" s="5"/>
      <c r="U148" s="5"/>
      <c r="V148" s="5"/>
      <c r="W148" s="5"/>
    </row>
    <row r="149" spans="1:24">
      <c r="A149" s="69"/>
      <c r="B149" s="39" t="s">
        <v>0</v>
      </c>
      <c r="C149" s="5">
        <f>'Supply Individual Assumptions'!E99</f>
        <v>0</v>
      </c>
      <c r="D149" s="5">
        <f>'Supply Individual Assumptions'!F99</f>
        <v>0</v>
      </c>
      <c r="E149" s="5">
        <f>'Supply Individual Assumptions'!G99</f>
        <v>0</v>
      </c>
      <c r="F149" s="5">
        <f>'Supply Individual Assumptions'!H99</f>
        <v>0</v>
      </c>
      <c r="G149" s="5">
        <f>'Supply Individual Assumptions'!I99</f>
        <v>0</v>
      </c>
      <c r="H149" s="5">
        <f>'Supply Individual Assumptions'!J99</f>
        <v>0</v>
      </c>
      <c r="I149" s="5">
        <f>'Supply Individual Assumptions'!K99</f>
        <v>0</v>
      </c>
      <c r="J149" s="5">
        <f>'Supply Individual Assumptions'!L99</f>
        <v>0</v>
      </c>
      <c r="K149" s="5">
        <f>'Supply Individual Assumptions'!M99</f>
        <v>0</v>
      </c>
      <c r="L149" s="5">
        <f>'Supply Individual Assumptions'!N99</f>
        <v>0</v>
      </c>
      <c r="M149" s="5">
        <f>'Supply Individual Assumptions'!O99</f>
        <v>0</v>
      </c>
      <c r="N149" s="5">
        <f>'Supply Individual Assumptions'!P99</f>
        <v>0</v>
      </c>
      <c r="O149" s="5">
        <f>'Supply Individual Assumptions'!Q99</f>
        <v>0</v>
      </c>
      <c r="P149" s="5">
        <f>'Supply Individual Assumptions'!R99</f>
        <v>0</v>
      </c>
      <c r="Q149" s="5">
        <f>'Supply Individual Assumptions'!S99</f>
        <v>0</v>
      </c>
      <c r="R149" s="5">
        <f>'Supply Individual Assumptions'!T99</f>
        <v>0</v>
      </c>
      <c r="S149" s="5">
        <f>'Supply Individual Assumptions'!U99</f>
        <v>0</v>
      </c>
      <c r="T149" s="5">
        <f>'Supply Individual Assumptions'!V99</f>
        <v>0</v>
      </c>
      <c r="U149" s="5">
        <f>'Supply Individual Assumptions'!W99</f>
        <v>0</v>
      </c>
      <c r="V149" s="5">
        <f>'Supply Individual Assumptions'!X99</f>
        <v>0</v>
      </c>
      <c r="W149" s="5">
        <f>'Supply Individual Assumptions'!Y99</f>
        <v>0</v>
      </c>
    </row>
    <row r="150" spans="1:24">
      <c r="A150" s="69"/>
      <c r="B150" s="39" t="s">
        <v>7</v>
      </c>
      <c r="C150" s="5">
        <f>'Supply Individual Assumptions'!E100</f>
        <v>529.62941743593001</v>
      </c>
      <c r="D150" s="5">
        <f>'Supply Individual Assumptions'!F100</f>
        <v>529.62941743593001</v>
      </c>
      <c r="E150" s="5">
        <f>'Supply Individual Assumptions'!G100</f>
        <v>529.62941743593001</v>
      </c>
      <c r="F150" s="5">
        <f>'Supply Individual Assumptions'!H100</f>
        <v>529.62941743593001</v>
      </c>
      <c r="G150" s="5">
        <f>'Supply Individual Assumptions'!I100</f>
        <v>529.62941743593001</v>
      </c>
      <c r="H150" s="5">
        <f>'Supply Individual Assumptions'!J100</f>
        <v>566.64941743592999</v>
      </c>
      <c r="I150" s="5">
        <f>'Supply Individual Assumptions'!K100</f>
        <v>566.64941743592999</v>
      </c>
      <c r="J150" s="5">
        <f>'Supply Individual Assumptions'!L100</f>
        <v>566.64941743592999</v>
      </c>
      <c r="K150" s="5">
        <f>'Supply Individual Assumptions'!M100</f>
        <v>566.64941743592999</v>
      </c>
      <c r="L150" s="5">
        <f>'Supply Individual Assumptions'!N100</f>
        <v>566.64941743592999</v>
      </c>
      <c r="M150" s="5">
        <f>'Supply Individual Assumptions'!O100</f>
        <v>566.70941743592994</v>
      </c>
      <c r="N150" s="5">
        <f>'Supply Individual Assumptions'!P100</f>
        <v>569.38941743593</v>
      </c>
      <c r="O150" s="5">
        <f>'Supply Individual Assumptions'!Q100</f>
        <v>580.77941743592999</v>
      </c>
      <c r="P150" s="5">
        <f>'Supply Individual Assumptions'!R100</f>
        <v>601.94941743592994</v>
      </c>
      <c r="Q150" s="5">
        <f>'Supply Individual Assumptions'!S100</f>
        <v>645.28941743592998</v>
      </c>
      <c r="R150" s="5">
        <f>'Supply Individual Assumptions'!T100</f>
        <v>645.28941743592998</v>
      </c>
      <c r="S150" s="5">
        <f>'Supply Individual Assumptions'!U100</f>
        <v>665.35941743593003</v>
      </c>
      <c r="T150" s="5">
        <f>'Supply Individual Assumptions'!V100</f>
        <v>700.69941743592994</v>
      </c>
      <c r="U150" s="5">
        <f>'Supply Individual Assumptions'!W100</f>
        <v>700.69941743592994</v>
      </c>
      <c r="V150" s="5">
        <f>'Supply Individual Assumptions'!X100</f>
        <v>709.17941743592996</v>
      </c>
      <c r="W150" s="5">
        <f>'Supply Individual Assumptions'!Y100</f>
        <v>747.38941743593</v>
      </c>
    </row>
    <row r="151" spans="1:24">
      <c r="A151" s="69"/>
      <c r="B151" s="39" t="s">
        <v>1</v>
      </c>
      <c r="C151" s="5">
        <f>'Supply Individual Assumptions'!E101</f>
        <v>566.64941743592999</v>
      </c>
      <c r="D151" s="5">
        <f>'Supply Individual Assumptions'!F101</f>
        <v>566.64941743592999</v>
      </c>
      <c r="E151" s="5">
        <f>'Supply Individual Assumptions'!G101</f>
        <v>566.64941743592999</v>
      </c>
      <c r="F151" s="5">
        <f>'Supply Individual Assumptions'!H101</f>
        <v>566.64941743592999</v>
      </c>
      <c r="G151" s="5">
        <f>'Supply Individual Assumptions'!I101</f>
        <v>566.64941743592999</v>
      </c>
      <c r="H151" s="5">
        <f>'Supply Individual Assumptions'!J101</f>
        <v>566.70941743592994</v>
      </c>
      <c r="I151" s="5">
        <f>'Supply Individual Assumptions'!K101</f>
        <v>569.38941743593</v>
      </c>
      <c r="J151" s="5">
        <f>'Supply Individual Assumptions'!L101</f>
        <v>580.77941743592999</v>
      </c>
      <c r="K151" s="5">
        <f>'Supply Individual Assumptions'!M101</f>
        <v>601.94941743592994</v>
      </c>
      <c r="L151" s="5">
        <f>'Supply Individual Assumptions'!N101</f>
        <v>645.28941743592998</v>
      </c>
      <c r="M151" s="5">
        <f>'Supply Individual Assumptions'!O101</f>
        <v>645.28941743592998</v>
      </c>
      <c r="N151" s="5">
        <f>'Supply Individual Assumptions'!P101</f>
        <v>665.35941743593003</v>
      </c>
      <c r="O151" s="5">
        <f>'Supply Individual Assumptions'!Q101</f>
        <v>700.69941743592994</v>
      </c>
      <c r="P151" s="5">
        <f>'Supply Individual Assumptions'!R101</f>
        <v>700.69941743592994</v>
      </c>
      <c r="Q151" s="5">
        <f>'Supply Individual Assumptions'!S101</f>
        <v>709.17941743592996</v>
      </c>
      <c r="R151" s="5">
        <f>'Supply Individual Assumptions'!T101</f>
        <v>747.38941743593</v>
      </c>
      <c r="S151" s="5">
        <f>'Supply Individual Assumptions'!U101</f>
        <v>825.37941743593001</v>
      </c>
      <c r="T151" s="5">
        <f>'Supply Individual Assumptions'!V101</f>
        <v>902.9994174359299</v>
      </c>
      <c r="U151" s="5">
        <f>'Supply Individual Assumptions'!W101</f>
        <v>1211.87941743593</v>
      </c>
      <c r="V151" s="5">
        <f>'Supply Individual Assumptions'!X101</f>
        <v>2586.6720680811291</v>
      </c>
      <c r="W151" s="5">
        <f>'Supply Individual Assumptions'!Y101</f>
        <v>2754.5820680811289</v>
      </c>
    </row>
    <row r="152" spans="1:24" s="19" customFormat="1">
      <c r="A152" s="69"/>
      <c r="B152" s="66" t="s">
        <v>5195</v>
      </c>
      <c r="C152" s="5"/>
      <c r="D152" s="5"/>
      <c r="E152" s="5"/>
      <c r="F152" s="5"/>
      <c r="G152" s="5"/>
      <c r="H152" s="5"/>
      <c r="I152" s="5"/>
      <c r="J152" s="5"/>
      <c r="K152" s="32"/>
      <c r="L152" s="5"/>
      <c r="M152" s="5"/>
      <c r="N152" s="32"/>
      <c r="O152" s="5"/>
      <c r="P152" s="5"/>
      <c r="Q152" s="5"/>
      <c r="R152" s="5"/>
      <c r="S152" s="5"/>
      <c r="T152" s="5"/>
      <c r="U152" s="5"/>
      <c r="V152" s="5"/>
      <c r="W152" s="5"/>
      <c r="X152" s="9"/>
    </row>
    <row r="153" spans="1:24" s="19" customFormat="1">
      <c r="A153" s="69"/>
      <c r="B153" s="39" t="s">
        <v>0</v>
      </c>
      <c r="C153" s="5">
        <f>'Supply Individual Assumptions'!E102</f>
        <v>0</v>
      </c>
      <c r="D153" s="5">
        <f>'Supply Individual Assumptions'!F102</f>
        <v>0</v>
      </c>
      <c r="E153" s="5">
        <f>'Supply Individual Assumptions'!G102</f>
        <v>0</v>
      </c>
      <c r="F153" s="5">
        <f>'Supply Individual Assumptions'!H102</f>
        <v>0</v>
      </c>
      <c r="G153" s="5">
        <f>'Supply Individual Assumptions'!I102</f>
        <v>0</v>
      </c>
      <c r="H153" s="5">
        <f>'Supply Individual Assumptions'!J102</f>
        <v>0</v>
      </c>
      <c r="I153" s="5">
        <f>'Supply Individual Assumptions'!K102</f>
        <v>0</v>
      </c>
      <c r="J153" s="5">
        <f>'Supply Individual Assumptions'!L102</f>
        <v>0</v>
      </c>
      <c r="K153" s="5">
        <f>'Supply Individual Assumptions'!M102</f>
        <v>0</v>
      </c>
      <c r="L153" s="5">
        <f>'Supply Individual Assumptions'!N102</f>
        <v>0</v>
      </c>
      <c r="M153" s="5">
        <f>'Supply Individual Assumptions'!O102</f>
        <v>0</v>
      </c>
      <c r="N153" s="5">
        <f>'Supply Individual Assumptions'!P102</f>
        <v>0</v>
      </c>
      <c r="O153" s="5">
        <f>'Supply Individual Assumptions'!Q102</f>
        <v>0</v>
      </c>
      <c r="P153" s="5">
        <f>'Supply Individual Assumptions'!R102</f>
        <v>0</v>
      </c>
      <c r="Q153" s="5">
        <f>'Supply Individual Assumptions'!S102</f>
        <v>0</v>
      </c>
      <c r="R153" s="5">
        <f>'Supply Individual Assumptions'!T102</f>
        <v>0</v>
      </c>
      <c r="S153" s="5">
        <f>'Supply Individual Assumptions'!U102</f>
        <v>0</v>
      </c>
      <c r="T153" s="5">
        <f>'Supply Individual Assumptions'!V102</f>
        <v>0</v>
      </c>
      <c r="U153" s="5">
        <f>'Supply Individual Assumptions'!W102</f>
        <v>0</v>
      </c>
      <c r="V153" s="5">
        <f>'Supply Individual Assumptions'!X102</f>
        <v>0</v>
      </c>
      <c r="W153" s="5">
        <f>'Supply Individual Assumptions'!Y102</f>
        <v>0</v>
      </c>
      <c r="X153" s="9"/>
    </row>
    <row r="154" spans="1:24" s="19" customFormat="1">
      <c r="A154" s="69"/>
      <c r="B154" s="39" t="s">
        <v>7</v>
      </c>
      <c r="C154" s="5">
        <f>'Supply Individual Assumptions'!E103</f>
        <v>156</v>
      </c>
      <c r="D154" s="5">
        <f>'Supply Individual Assumptions'!F103</f>
        <v>221</v>
      </c>
      <c r="E154" s="5">
        <f>'Supply Individual Assumptions'!G103</f>
        <v>221</v>
      </c>
      <c r="F154" s="5">
        <f>'Supply Individual Assumptions'!H103</f>
        <v>221</v>
      </c>
      <c r="G154" s="5">
        <f>'Supply Individual Assumptions'!I103</f>
        <v>221</v>
      </c>
      <c r="H154" s="5">
        <f>'Supply Individual Assumptions'!J103</f>
        <v>271</v>
      </c>
      <c r="I154" s="5">
        <f>'Supply Individual Assumptions'!K103</f>
        <v>377</v>
      </c>
      <c r="J154" s="5">
        <f>'Supply Individual Assumptions'!L103</f>
        <v>377</v>
      </c>
      <c r="K154" s="5">
        <f>'Supply Individual Assumptions'!M103</f>
        <v>430</v>
      </c>
      <c r="L154" s="5">
        <f>'Supply Individual Assumptions'!N103</f>
        <v>581.02305032258073</v>
      </c>
      <c r="M154" s="5">
        <f>'Supply Individual Assumptions'!O103</f>
        <v>658.79305032258071</v>
      </c>
      <c r="N154" s="5">
        <f>'Supply Individual Assumptions'!P103</f>
        <v>761.68733440860206</v>
      </c>
      <c r="O154" s="5">
        <f>'Supply Individual Assumptions'!Q103</f>
        <v>934.62602086021502</v>
      </c>
      <c r="P154" s="5">
        <f>'Supply Individual Assumptions'!R103</f>
        <v>1046.4960208602149</v>
      </c>
      <c r="Q154" s="5">
        <f>'Supply Individual Assumptions'!S103</f>
        <v>1250.946020860215</v>
      </c>
      <c r="R154" s="5">
        <f>'Supply Individual Assumptions'!T103</f>
        <v>1453.2160208602149</v>
      </c>
      <c r="S154" s="5">
        <f>'Supply Individual Assumptions'!U103</f>
        <v>1517.7260208602149</v>
      </c>
      <c r="T154" s="5">
        <f>'Supply Individual Assumptions'!V103</f>
        <v>1517.7360208602149</v>
      </c>
      <c r="U154" s="5">
        <f>'Supply Individual Assumptions'!W103</f>
        <v>1517.7360208602149</v>
      </c>
      <c r="V154" s="5">
        <f>'Supply Individual Assumptions'!X103</f>
        <v>1521.8760208602148</v>
      </c>
      <c r="W154" s="5">
        <f>'Supply Individual Assumptions'!Y103</f>
        <v>1521.8760208602148</v>
      </c>
      <c r="X154" s="9"/>
    </row>
    <row r="155" spans="1:24" s="19" customFormat="1">
      <c r="A155" s="69"/>
      <c r="B155" s="39" t="s">
        <v>1</v>
      </c>
      <c r="C155" s="5">
        <f>'Supply Individual Assumptions'!E104</f>
        <v>1453.2160208602149</v>
      </c>
      <c r="D155" s="5">
        <f>'Supply Individual Assumptions'!F104</f>
        <v>1517.7260208602149</v>
      </c>
      <c r="E155" s="5">
        <f>'Supply Individual Assumptions'!G104</f>
        <v>1517.7360208602149</v>
      </c>
      <c r="F155" s="5">
        <f>'Supply Individual Assumptions'!H104</f>
        <v>1517.7360208602149</v>
      </c>
      <c r="G155" s="5">
        <f>'Supply Individual Assumptions'!I104</f>
        <v>1521.8760208602148</v>
      </c>
      <c r="H155" s="5">
        <f>'Supply Individual Assumptions'!J104</f>
        <v>1521.8760208602148</v>
      </c>
      <c r="I155" s="5">
        <f>'Supply Individual Assumptions'!K104</f>
        <v>1536.0160208602149</v>
      </c>
      <c r="J155" s="5">
        <f>'Supply Individual Assumptions'!L104</f>
        <v>1542.596020860215</v>
      </c>
      <c r="K155" s="5">
        <f>'Supply Individual Assumptions'!M104</f>
        <v>1544.5460208602149</v>
      </c>
      <c r="L155" s="5">
        <f>'Supply Individual Assumptions'!N104</f>
        <v>1544.7160208602149</v>
      </c>
      <c r="M155" s="5">
        <f>'Supply Individual Assumptions'!O104</f>
        <v>1555.7660208602149</v>
      </c>
      <c r="N155" s="5">
        <f>'Supply Individual Assumptions'!P104</f>
        <v>1558.656020860215</v>
      </c>
      <c r="O155" s="5">
        <f>'Supply Individual Assumptions'!Q104</f>
        <v>1577.0460208602149</v>
      </c>
      <c r="P155" s="5">
        <f>'Supply Individual Assumptions'!R104</f>
        <v>1581.136020860215</v>
      </c>
      <c r="Q155" s="5">
        <f>'Supply Individual Assumptions'!S104</f>
        <v>1586.7428245366855</v>
      </c>
      <c r="R155" s="5">
        <f>'Supply Individual Assumptions'!T104</f>
        <v>1591.8128245366856</v>
      </c>
      <c r="S155" s="5">
        <f>'Supply Individual Assumptions'!U104</f>
        <v>1591.8128245366856</v>
      </c>
      <c r="T155" s="5">
        <f>'Supply Individual Assumptions'!V104</f>
        <v>1591.8128245366856</v>
      </c>
      <c r="U155" s="5">
        <f>'Supply Individual Assumptions'!W104</f>
        <v>1611.5928245366856</v>
      </c>
      <c r="V155" s="5">
        <f>'Supply Individual Assumptions'!X104</f>
        <v>1626.5528245366854</v>
      </c>
      <c r="W155" s="5">
        <f>'Supply Individual Assumptions'!Y104</f>
        <v>1641.0296177292562</v>
      </c>
      <c r="X155" s="9"/>
    </row>
    <row r="156" spans="1:24">
      <c r="A156" s="69"/>
      <c r="B156" s="66" t="s">
        <v>5194</v>
      </c>
      <c r="C156" s="5"/>
      <c r="D156" s="5"/>
      <c r="E156" s="5"/>
      <c r="F156" s="5"/>
      <c r="G156" s="5"/>
      <c r="H156" s="5"/>
      <c r="I156" s="5"/>
      <c r="J156" s="5"/>
      <c r="K156" s="32"/>
      <c r="L156" s="5"/>
      <c r="M156" s="5"/>
      <c r="N156" s="32"/>
      <c r="O156" s="5"/>
      <c r="P156" s="5"/>
      <c r="Q156" s="5"/>
      <c r="R156" s="5"/>
      <c r="S156" s="5"/>
      <c r="T156" s="5"/>
      <c r="U156" s="5"/>
      <c r="V156" s="5"/>
      <c r="W156" s="5"/>
    </row>
    <row r="157" spans="1:24">
      <c r="A157" s="69"/>
      <c r="B157" s="39" t="s">
        <v>0</v>
      </c>
      <c r="C157" s="5">
        <f>'Supply Individual Assumptions'!E96</f>
        <v>0</v>
      </c>
      <c r="D157" s="5">
        <f>'Supply Individual Assumptions'!F96</f>
        <v>0</v>
      </c>
      <c r="E157" s="5">
        <f>'Supply Individual Assumptions'!G96</f>
        <v>0</v>
      </c>
      <c r="F157" s="5">
        <f>'Supply Individual Assumptions'!H96</f>
        <v>0</v>
      </c>
      <c r="G157" s="5">
        <f>'Supply Individual Assumptions'!I96</f>
        <v>0</v>
      </c>
      <c r="H157" s="5">
        <f>'Supply Individual Assumptions'!J96</f>
        <v>0</v>
      </c>
      <c r="I157" s="5">
        <f>'Supply Individual Assumptions'!K96</f>
        <v>0</v>
      </c>
      <c r="J157" s="5">
        <f>'Supply Individual Assumptions'!L96</f>
        <v>0</v>
      </c>
      <c r="K157" s="5">
        <f>'Supply Individual Assumptions'!M96</f>
        <v>0</v>
      </c>
      <c r="L157" s="5">
        <f>'Supply Individual Assumptions'!N96</f>
        <v>0</v>
      </c>
      <c r="M157" s="5">
        <f>'Supply Individual Assumptions'!O96</f>
        <v>0</v>
      </c>
      <c r="N157" s="5">
        <f>'Supply Individual Assumptions'!P96</f>
        <v>0</v>
      </c>
      <c r="O157" s="5">
        <f>'Supply Individual Assumptions'!Q96</f>
        <v>0</v>
      </c>
      <c r="P157" s="5">
        <f>'Supply Individual Assumptions'!R96</f>
        <v>0</v>
      </c>
      <c r="Q157" s="5">
        <f>'Supply Individual Assumptions'!S96</f>
        <v>0</v>
      </c>
      <c r="R157" s="5">
        <f>'Supply Individual Assumptions'!T96</f>
        <v>0</v>
      </c>
      <c r="S157" s="5">
        <f>'Supply Individual Assumptions'!U96</f>
        <v>0</v>
      </c>
      <c r="T157" s="5">
        <f>'Supply Individual Assumptions'!V96</f>
        <v>0</v>
      </c>
      <c r="U157" s="5">
        <f>'Supply Individual Assumptions'!W96</f>
        <v>0</v>
      </c>
      <c r="V157" s="5">
        <f>'Supply Individual Assumptions'!X96</f>
        <v>0</v>
      </c>
      <c r="W157" s="5">
        <f>'Supply Individual Assumptions'!Y96</f>
        <v>0</v>
      </c>
    </row>
    <row r="158" spans="1:24">
      <c r="A158" s="69"/>
      <c r="B158" s="39" t="s">
        <v>7</v>
      </c>
      <c r="C158" s="5">
        <f>'Supply Individual Assumptions'!E97</f>
        <v>1640.14</v>
      </c>
      <c r="D158" s="5">
        <f>'Supply Individual Assumptions'!F97</f>
        <v>1640.14</v>
      </c>
      <c r="E158" s="5">
        <f>'Supply Individual Assumptions'!G97</f>
        <v>1640.14</v>
      </c>
      <c r="F158" s="5">
        <f>'Supply Individual Assumptions'!H97</f>
        <v>1640.75</v>
      </c>
      <c r="G158" s="5">
        <f>'Supply Individual Assumptions'!I97</f>
        <v>1752.75</v>
      </c>
      <c r="H158" s="5">
        <f>'Supply Individual Assumptions'!J97</f>
        <v>1822.75</v>
      </c>
      <c r="I158" s="5">
        <f>'Supply Individual Assumptions'!K97</f>
        <v>1934.75</v>
      </c>
      <c r="J158" s="5">
        <f>'Supply Individual Assumptions'!L97</f>
        <v>1934.75</v>
      </c>
      <c r="K158" s="5">
        <f>'Supply Individual Assumptions'!M97</f>
        <v>1934.75</v>
      </c>
      <c r="L158" s="5">
        <f>'Supply Individual Assumptions'!N97</f>
        <v>1934.75</v>
      </c>
      <c r="M158" s="5">
        <f>'Supply Individual Assumptions'!O97</f>
        <v>1934.75</v>
      </c>
      <c r="N158" s="5">
        <f>'Supply Individual Assumptions'!P97</f>
        <v>2029.75</v>
      </c>
      <c r="O158" s="5">
        <f>'Supply Individual Assumptions'!Q97</f>
        <v>2029.75</v>
      </c>
      <c r="P158" s="5">
        <f>'Supply Individual Assumptions'!R97</f>
        <v>2110.11</v>
      </c>
      <c r="Q158" s="5">
        <f>'Supply Individual Assumptions'!S97</f>
        <v>2648.88</v>
      </c>
      <c r="R158" s="5">
        <f>'Supply Individual Assumptions'!T97</f>
        <v>2648.88</v>
      </c>
      <c r="S158" s="5">
        <f>'Supply Individual Assumptions'!U97</f>
        <v>2955.88</v>
      </c>
      <c r="T158" s="5">
        <f>'Supply Individual Assumptions'!V97</f>
        <v>2955.88</v>
      </c>
      <c r="U158" s="5">
        <f>'Supply Individual Assumptions'!W97</f>
        <v>3007.08</v>
      </c>
      <c r="V158" s="5">
        <f>'Supply Individual Assumptions'!X97</f>
        <v>3212.25</v>
      </c>
      <c r="W158" s="5">
        <f>'Supply Individual Assumptions'!Y97</f>
        <v>3212.25</v>
      </c>
    </row>
    <row r="159" spans="1:24">
      <c r="A159" s="69"/>
      <c r="B159" s="2" t="s">
        <v>1</v>
      </c>
      <c r="C159" s="5">
        <f>'Supply Individual Assumptions'!E98</f>
        <v>3212.25</v>
      </c>
      <c r="D159" s="5">
        <f>'Supply Individual Assumptions'!F98</f>
        <v>3602.6099999999997</v>
      </c>
      <c r="E159" s="5">
        <f>'Supply Individual Assumptions'!G98</f>
        <v>3918.2999999999997</v>
      </c>
      <c r="F159" s="5">
        <f>'Supply Individual Assumptions'!H98</f>
        <v>3996.1206587963566</v>
      </c>
      <c r="G159" s="5">
        <f>'Supply Individual Assumptions'!I98</f>
        <v>4504.1206587963561</v>
      </c>
      <c r="H159" s="5">
        <f>'Supply Individual Assumptions'!J98</f>
        <v>4970.9606587963572</v>
      </c>
      <c r="I159" s="5">
        <f>'Supply Individual Assumptions'!K98</f>
        <v>4970.9606587963572</v>
      </c>
      <c r="J159" s="5">
        <f>'Supply Individual Assumptions'!L98</f>
        <v>4970.9606587963572</v>
      </c>
      <c r="K159" s="5">
        <f>'Supply Individual Assumptions'!M98</f>
        <v>5205.9292256908884</v>
      </c>
      <c r="L159" s="5">
        <f>'Supply Individual Assumptions'!N98</f>
        <v>5205.9292256908884</v>
      </c>
      <c r="M159" s="5">
        <f>'Supply Individual Assumptions'!O98</f>
        <v>5214.7792256908888</v>
      </c>
      <c r="N159" s="5">
        <f>'Supply Individual Assumptions'!P98</f>
        <v>5214.7792256908888</v>
      </c>
      <c r="O159" s="5">
        <f>'Supply Individual Assumptions'!Q98</f>
        <v>5214.7792256908888</v>
      </c>
      <c r="P159" s="5">
        <f>'Supply Individual Assumptions'!R98</f>
        <v>5214.7792256908888</v>
      </c>
      <c r="Q159" s="5">
        <f>'Supply Individual Assumptions'!S98</f>
        <v>5214.7792256908888</v>
      </c>
      <c r="R159" s="5">
        <f>'Supply Individual Assumptions'!T98</f>
        <v>5227.789225690889</v>
      </c>
      <c r="S159" s="5">
        <f>'Supply Individual Assumptions'!U98</f>
        <v>5247.2804721425009</v>
      </c>
      <c r="T159" s="5">
        <f>'Supply Individual Assumptions'!V98</f>
        <v>5262.5352814973394</v>
      </c>
      <c r="U159" s="5">
        <f>'Supply Individual Assumptions'!W98</f>
        <v>5346.1452814973391</v>
      </c>
      <c r="V159" s="5">
        <f>'Supply Individual Assumptions'!X98</f>
        <v>5529.9952814973403</v>
      </c>
      <c r="W159" s="5">
        <f>'Supply Individual Assumptions'!Y98</f>
        <v>6821.5752814973403</v>
      </c>
    </row>
    <row r="160" spans="1:24">
      <c r="A160" s="69"/>
      <c r="B160" s="1" t="s">
        <v>5201</v>
      </c>
      <c r="C160" s="5"/>
      <c r="D160" s="5"/>
      <c r="E160" s="5"/>
      <c r="F160" s="5"/>
      <c r="G160" s="5"/>
      <c r="H160" s="5"/>
      <c r="I160" s="5"/>
      <c r="J160" s="5"/>
      <c r="K160" s="32"/>
      <c r="L160" s="5"/>
      <c r="M160" s="5"/>
      <c r="N160" s="32"/>
      <c r="O160" s="5"/>
      <c r="P160" s="5"/>
      <c r="Q160" s="5"/>
      <c r="R160" s="5"/>
      <c r="S160" s="5"/>
      <c r="T160" s="5"/>
      <c r="U160" s="5"/>
      <c r="V160" s="5"/>
      <c r="W160" s="5"/>
    </row>
    <row r="161" spans="1:23">
      <c r="A161" s="69"/>
      <c r="B161" s="2" t="s">
        <v>0</v>
      </c>
      <c r="C161" s="5">
        <f>SUM('Supply Individual Assumptions'!E105,'Supply Individual Assumptions'!E108,'Supply Individual Assumptions'!E111)</f>
        <v>0</v>
      </c>
      <c r="D161" s="5">
        <f>SUM('Supply Individual Assumptions'!F105,'Supply Individual Assumptions'!F108,'Supply Individual Assumptions'!F111)</f>
        <v>0</v>
      </c>
      <c r="E161" s="5">
        <f>SUM('Supply Individual Assumptions'!G105,'Supply Individual Assumptions'!G108,'Supply Individual Assumptions'!G111)</f>
        <v>0</v>
      </c>
      <c r="F161" s="5">
        <f>SUM('Supply Individual Assumptions'!H105,'Supply Individual Assumptions'!H108,'Supply Individual Assumptions'!H111)</f>
        <v>0</v>
      </c>
      <c r="G161" s="5">
        <f>SUM('Supply Individual Assumptions'!I105,'Supply Individual Assumptions'!I108,'Supply Individual Assumptions'!I111)</f>
        <v>0</v>
      </c>
      <c r="H161" s="5">
        <f>SUM('Supply Individual Assumptions'!J105,'Supply Individual Assumptions'!J108,'Supply Individual Assumptions'!J111)</f>
        <v>0</v>
      </c>
      <c r="I161" s="5">
        <f>SUM('Supply Individual Assumptions'!K105,'Supply Individual Assumptions'!K108,'Supply Individual Assumptions'!K111)</f>
        <v>0</v>
      </c>
      <c r="J161" s="5">
        <f>SUM('Supply Individual Assumptions'!L105,'Supply Individual Assumptions'!L108,'Supply Individual Assumptions'!L111)</f>
        <v>0</v>
      </c>
      <c r="K161" s="5">
        <f>SUM('Supply Individual Assumptions'!M105,'Supply Individual Assumptions'!M108,'Supply Individual Assumptions'!M111)</f>
        <v>0</v>
      </c>
      <c r="L161" s="5">
        <f>SUM('Supply Individual Assumptions'!N105,'Supply Individual Assumptions'!N108,'Supply Individual Assumptions'!N111)</f>
        <v>0</v>
      </c>
      <c r="M161" s="5">
        <f>SUM('Supply Individual Assumptions'!O105,'Supply Individual Assumptions'!O108,'Supply Individual Assumptions'!O111)</f>
        <v>0</v>
      </c>
      <c r="N161" s="5">
        <f>SUM('Supply Individual Assumptions'!P105,'Supply Individual Assumptions'!P108,'Supply Individual Assumptions'!P111)</f>
        <v>0</v>
      </c>
      <c r="O161" s="5">
        <f>SUM('Supply Individual Assumptions'!Q105,'Supply Individual Assumptions'!Q108,'Supply Individual Assumptions'!Q111)</f>
        <v>0</v>
      </c>
      <c r="P161" s="5">
        <f>SUM('Supply Individual Assumptions'!R105,'Supply Individual Assumptions'!R108,'Supply Individual Assumptions'!R111)</f>
        <v>0</v>
      </c>
      <c r="Q161" s="5">
        <f>SUM('Supply Individual Assumptions'!S105,'Supply Individual Assumptions'!S108,'Supply Individual Assumptions'!S111)</f>
        <v>0</v>
      </c>
      <c r="R161" s="5">
        <f>SUM('Supply Individual Assumptions'!T105,'Supply Individual Assumptions'!T108,'Supply Individual Assumptions'!T111)</f>
        <v>0</v>
      </c>
      <c r="S161" s="5">
        <f>SUM('Supply Individual Assumptions'!U105,'Supply Individual Assumptions'!U108,'Supply Individual Assumptions'!U111)</f>
        <v>0</v>
      </c>
      <c r="T161" s="5">
        <f>SUM('Supply Individual Assumptions'!V105,'Supply Individual Assumptions'!V108,'Supply Individual Assumptions'!V111)</f>
        <v>0</v>
      </c>
      <c r="U161" s="5">
        <f>SUM('Supply Individual Assumptions'!W105,'Supply Individual Assumptions'!W108,'Supply Individual Assumptions'!W111)</f>
        <v>0</v>
      </c>
      <c r="V161" s="5">
        <f>SUM('Supply Individual Assumptions'!X105,'Supply Individual Assumptions'!X108,'Supply Individual Assumptions'!X111)</f>
        <v>0</v>
      </c>
      <c r="W161" s="5">
        <f>SUM('Supply Individual Assumptions'!Y105,'Supply Individual Assumptions'!Y108,'Supply Individual Assumptions'!Y111)</f>
        <v>0</v>
      </c>
    </row>
    <row r="162" spans="1:23">
      <c r="A162" s="69"/>
      <c r="B162" s="2" t="s">
        <v>7</v>
      </c>
      <c r="C162" s="5">
        <f>SUM('Supply Individual Assumptions'!E106,'Supply Individual Assumptions'!E109,'Supply Individual Assumptions'!E112)</f>
        <v>1091.5</v>
      </c>
      <c r="D162" s="5">
        <f>SUM('Supply Individual Assumptions'!F106,'Supply Individual Assumptions'!F109,'Supply Individual Assumptions'!F112)</f>
        <v>1091.5</v>
      </c>
      <c r="E162" s="5">
        <f>SUM('Supply Individual Assumptions'!G106,'Supply Individual Assumptions'!G109,'Supply Individual Assumptions'!G112)</f>
        <v>1136.0999999999999</v>
      </c>
      <c r="F162" s="5">
        <f>SUM('Supply Individual Assumptions'!H106,'Supply Individual Assumptions'!H109,'Supply Individual Assumptions'!H112)</f>
        <v>1136.1300000000001</v>
      </c>
      <c r="G162" s="5">
        <f>SUM('Supply Individual Assumptions'!I106,'Supply Individual Assumptions'!I109,'Supply Individual Assumptions'!I112)</f>
        <v>1792.33</v>
      </c>
      <c r="H162" s="5">
        <f>SUM('Supply Individual Assumptions'!J106,'Supply Individual Assumptions'!J109,'Supply Individual Assumptions'!J112)</f>
        <v>1891.91</v>
      </c>
      <c r="I162" s="5">
        <f>SUM('Supply Individual Assumptions'!K106,'Supply Individual Assumptions'!K109,'Supply Individual Assumptions'!K112)</f>
        <v>1891.91</v>
      </c>
      <c r="J162" s="5">
        <f>SUM('Supply Individual Assumptions'!L106,'Supply Individual Assumptions'!L109,'Supply Individual Assumptions'!L112)</f>
        <v>1897.91</v>
      </c>
      <c r="K162" s="5">
        <f>SUM('Supply Individual Assumptions'!M106,'Supply Individual Assumptions'!M109,'Supply Individual Assumptions'!M112)</f>
        <v>1935.27</v>
      </c>
      <c r="L162" s="5">
        <f>SUM('Supply Individual Assumptions'!N106,'Supply Individual Assumptions'!N109,'Supply Individual Assumptions'!N112)</f>
        <v>1965.0800000000002</v>
      </c>
      <c r="M162" s="5">
        <f>SUM('Supply Individual Assumptions'!O106,'Supply Individual Assumptions'!O109,'Supply Individual Assumptions'!O112)</f>
        <v>2023.45</v>
      </c>
      <c r="N162" s="5">
        <f>SUM('Supply Individual Assumptions'!P106,'Supply Individual Assumptions'!P109,'Supply Individual Assumptions'!P112)</f>
        <v>2362.8200000000002</v>
      </c>
      <c r="O162" s="5">
        <f>SUM('Supply Individual Assumptions'!Q106,'Supply Individual Assumptions'!Q109,'Supply Individual Assumptions'!Q112)</f>
        <v>2519.23</v>
      </c>
      <c r="P162" s="5">
        <f>SUM('Supply Individual Assumptions'!R106,'Supply Individual Assumptions'!R109,'Supply Individual Assumptions'!R112)</f>
        <v>3243.16</v>
      </c>
      <c r="Q162" s="5">
        <f>SUM('Supply Individual Assumptions'!S106,'Supply Individual Assumptions'!S109,'Supply Individual Assumptions'!S112)</f>
        <v>3351.08</v>
      </c>
      <c r="R162" s="5">
        <f>SUM('Supply Individual Assumptions'!T106,'Supply Individual Assumptions'!T109,'Supply Individual Assumptions'!T112)</f>
        <v>4049.7400000000002</v>
      </c>
      <c r="S162" s="5">
        <f>SUM('Supply Individual Assumptions'!U106,'Supply Individual Assumptions'!U109,'Supply Individual Assumptions'!U112)</f>
        <v>4512.170000000001</v>
      </c>
      <c r="T162" s="5">
        <f>SUM('Supply Individual Assumptions'!V106,'Supply Individual Assumptions'!V109,'Supply Individual Assumptions'!V112)</f>
        <v>4733.4700000000012</v>
      </c>
      <c r="U162" s="5">
        <f>SUM('Supply Individual Assumptions'!W106,'Supply Individual Assumptions'!W109,'Supply Individual Assumptions'!W112)</f>
        <v>4735.1900000000005</v>
      </c>
      <c r="V162" s="5">
        <f>SUM('Supply Individual Assumptions'!X106,'Supply Individual Assumptions'!X109,'Supply Individual Assumptions'!X112)</f>
        <v>4736.5600000000004</v>
      </c>
      <c r="W162" s="5">
        <f>SUM('Supply Individual Assumptions'!Y106,'Supply Individual Assumptions'!Y109,'Supply Individual Assumptions'!Y112)</f>
        <v>4778.2700000000004</v>
      </c>
    </row>
    <row r="163" spans="1:23">
      <c r="A163" s="69"/>
      <c r="B163" s="39" t="s">
        <v>1</v>
      </c>
      <c r="C163" s="5">
        <f>SUM('Supply Individual Assumptions'!E107,'Supply Individual Assumptions'!E110,'Supply Individual Assumptions'!E113)</f>
        <v>4049.7400000000002</v>
      </c>
      <c r="D163" s="5">
        <f>SUM('Supply Individual Assumptions'!F107,'Supply Individual Assumptions'!F110,'Supply Individual Assumptions'!F113)</f>
        <v>4512.170000000001</v>
      </c>
      <c r="E163" s="5">
        <f>SUM('Supply Individual Assumptions'!G107,'Supply Individual Assumptions'!G110,'Supply Individual Assumptions'!G113)</f>
        <v>4733.4700000000012</v>
      </c>
      <c r="F163" s="5">
        <f>SUM('Supply Individual Assumptions'!H107,'Supply Individual Assumptions'!H110,'Supply Individual Assumptions'!H113)</f>
        <v>4735.1900000000005</v>
      </c>
      <c r="G163" s="5">
        <f>SUM('Supply Individual Assumptions'!I107,'Supply Individual Assumptions'!I110,'Supply Individual Assumptions'!I113)</f>
        <v>4736.5600000000004</v>
      </c>
      <c r="H163" s="5">
        <f>SUM('Supply Individual Assumptions'!J107,'Supply Individual Assumptions'!J110,'Supply Individual Assumptions'!J113)</f>
        <v>4778.2700000000004</v>
      </c>
      <c r="I163" s="5">
        <f>SUM('Supply Individual Assumptions'!K107,'Supply Individual Assumptions'!K110,'Supply Individual Assumptions'!K113)</f>
        <v>5048.7500000000009</v>
      </c>
      <c r="J163" s="5">
        <f>SUM('Supply Individual Assumptions'!L107,'Supply Individual Assumptions'!L110,'Supply Individual Assumptions'!L113)</f>
        <v>5098.2500000000009</v>
      </c>
      <c r="K163" s="5">
        <f>SUM('Supply Individual Assumptions'!M107,'Supply Individual Assumptions'!M110,'Supply Individual Assumptions'!M113)</f>
        <v>5098.2500000000009</v>
      </c>
      <c r="L163" s="5">
        <f>SUM('Supply Individual Assumptions'!N107,'Supply Individual Assumptions'!N110,'Supply Individual Assumptions'!N113)</f>
        <v>5144.5100000000011</v>
      </c>
      <c r="M163" s="5">
        <f>SUM('Supply Individual Assumptions'!O107,'Supply Individual Assumptions'!O110,'Supply Individual Assumptions'!O113)</f>
        <v>5144.5100000000011</v>
      </c>
      <c r="N163" s="5">
        <f>SUM('Supply Individual Assumptions'!P107,'Supply Individual Assumptions'!P110,'Supply Individual Assumptions'!P113)</f>
        <v>5174.0200000000013</v>
      </c>
      <c r="O163" s="5">
        <f>SUM('Supply Individual Assumptions'!Q107,'Supply Individual Assumptions'!Q110,'Supply Individual Assumptions'!Q113)</f>
        <v>7586.8100000000013</v>
      </c>
      <c r="P163" s="5">
        <f>SUM('Supply Individual Assumptions'!R107,'Supply Individual Assumptions'!R110,'Supply Individual Assumptions'!R113)</f>
        <v>8892.3900000000012</v>
      </c>
      <c r="Q163" s="5">
        <f>SUM('Supply Individual Assumptions'!S107,'Supply Individual Assumptions'!S110,'Supply Individual Assumptions'!S113)</f>
        <v>12464.08</v>
      </c>
      <c r="R163" s="5">
        <f>SUM('Supply Individual Assumptions'!T107,'Supply Individual Assumptions'!T110,'Supply Individual Assumptions'!T113)</f>
        <v>12551.33</v>
      </c>
      <c r="S163" s="5">
        <f>SUM('Supply Individual Assumptions'!U107,'Supply Individual Assumptions'!U110,'Supply Individual Assumptions'!U113)</f>
        <v>14844.82</v>
      </c>
      <c r="T163" s="5">
        <f>SUM('Supply Individual Assumptions'!V107,'Supply Individual Assumptions'!V110,'Supply Individual Assumptions'!V113)</f>
        <v>16088.038346451613</v>
      </c>
      <c r="U163" s="5">
        <f>SUM('Supply Individual Assumptions'!W107,'Supply Individual Assumptions'!W110,'Supply Individual Assumptions'!W113)</f>
        <v>16538.538346451613</v>
      </c>
      <c r="V163" s="5">
        <f>SUM('Supply Individual Assumptions'!X107,'Supply Individual Assumptions'!X110,'Supply Individual Assumptions'!X113)</f>
        <v>16538.538346451613</v>
      </c>
      <c r="W163" s="5">
        <f>SUM('Supply Individual Assumptions'!Y107,'Supply Individual Assumptions'!Y110,'Supply Individual Assumptions'!Y113)</f>
        <v>18577.158346451615</v>
      </c>
    </row>
    <row r="164" spans="1:23">
      <c r="A164" s="69"/>
    </row>
    <row r="165" spans="1:23">
      <c r="A165" s="69"/>
    </row>
    <row r="166" spans="1:23">
      <c r="A166" s="69"/>
      <c r="B166" s="19"/>
    </row>
    <row r="167" spans="1:23">
      <c r="A167" s="69"/>
    </row>
    <row r="168" spans="1:23">
      <c r="A168" s="69"/>
      <c r="C168" s="36"/>
    </row>
    <row r="169" spans="1:23">
      <c r="A169" s="69"/>
      <c r="C169" s="36"/>
    </row>
    <row r="170" spans="1:23">
      <c r="A170" s="69"/>
      <c r="C170" s="36"/>
    </row>
    <row r="171" spans="1:23">
      <c r="A171" s="69"/>
    </row>
    <row r="172" spans="1:23">
      <c r="A172"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sheetPr>
  <dimension ref="A1:AF254"/>
  <sheetViews>
    <sheetView zoomScale="80" zoomScaleNormal="80" zoomScalePageLayoutView="80" workbookViewId="0">
      <pane ySplit="2" topLeftCell="A3" activePane="bottomLeft" state="frozen"/>
      <selection pane="bottomLeft"/>
    </sheetView>
  </sheetViews>
  <sheetFormatPr defaultColWidth="8.85546875" defaultRowHeight="15"/>
  <cols>
    <col min="1" max="1" width="11.7109375" style="13" customWidth="1"/>
    <col min="2" max="2" width="10.140625" style="13" customWidth="1"/>
    <col min="3" max="3" width="11.42578125" style="13" bestFit="1" customWidth="1"/>
    <col min="4" max="4" width="11.7109375" style="13" customWidth="1"/>
    <col min="5" max="5" width="13.140625" style="13" bestFit="1" customWidth="1"/>
    <col min="6" max="6" width="14.42578125" style="13" bestFit="1" customWidth="1"/>
    <col min="7" max="7" width="15" style="13" bestFit="1" customWidth="1"/>
    <col min="8" max="13" width="15.42578125" style="13" bestFit="1" customWidth="1"/>
    <col min="14" max="14" width="15" style="13" bestFit="1" customWidth="1"/>
    <col min="15" max="18" width="15.42578125" style="13" bestFit="1" customWidth="1"/>
    <col min="19" max="19" width="14.85546875" style="13" customWidth="1"/>
    <col min="20" max="22" width="13.42578125" style="13" customWidth="1"/>
    <col min="23" max="23" width="13" style="13" customWidth="1"/>
    <col min="24" max="25" width="10.7109375" style="13" bestFit="1" customWidth="1"/>
    <col min="26" max="26" width="8.85546875" style="46"/>
    <col min="27" max="16384" width="8.85546875" style="13"/>
  </cols>
  <sheetData>
    <row r="1" spans="1:25">
      <c r="A1" s="886" t="s">
        <v>5540</v>
      </c>
      <c r="B1" s="697"/>
      <c r="C1" s="697"/>
      <c r="D1" s="697"/>
      <c r="E1" s="697"/>
      <c r="F1" s="697"/>
      <c r="G1" s="697"/>
      <c r="H1" s="697"/>
      <c r="I1" s="697"/>
      <c r="J1" s="697"/>
      <c r="K1" s="697"/>
      <c r="L1" s="697"/>
      <c r="M1" s="697"/>
      <c r="N1" s="697"/>
      <c r="O1" s="697"/>
      <c r="P1" s="697"/>
      <c r="Q1" s="697"/>
      <c r="R1" s="697"/>
      <c r="S1" s="697"/>
      <c r="T1" s="697"/>
      <c r="U1" s="697"/>
      <c r="V1" s="697"/>
      <c r="W1" s="697"/>
      <c r="X1" s="697"/>
      <c r="Y1" s="697"/>
    </row>
    <row r="2" spans="1:25">
      <c r="E2" s="13">
        <v>2014</v>
      </c>
      <c r="F2" s="13">
        <f>E2+1</f>
        <v>2015</v>
      </c>
      <c r="G2" s="13">
        <f t="shared" ref="G2:Y2" si="0">F2+1</f>
        <v>2016</v>
      </c>
      <c r="H2" s="13">
        <f t="shared" si="0"/>
        <v>2017</v>
      </c>
      <c r="I2" s="13">
        <f t="shared" si="0"/>
        <v>2018</v>
      </c>
      <c r="J2" s="13">
        <f t="shared" si="0"/>
        <v>2019</v>
      </c>
      <c r="K2" s="13">
        <f t="shared" si="0"/>
        <v>2020</v>
      </c>
      <c r="L2" s="13">
        <f t="shared" si="0"/>
        <v>2021</v>
      </c>
      <c r="M2" s="13">
        <f t="shared" si="0"/>
        <v>2022</v>
      </c>
      <c r="N2" s="13">
        <f t="shared" si="0"/>
        <v>2023</v>
      </c>
      <c r="O2" s="13">
        <f t="shared" si="0"/>
        <v>2024</v>
      </c>
      <c r="P2" s="13">
        <f t="shared" si="0"/>
        <v>2025</v>
      </c>
      <c r="Q2" s="13">
        <f t="shared" si="0"/>
        <v>2026</v>
      </c>
      <c r="R2" s="13">
        <f t="shared" si="0"/>
        <v>2027</v>
      </c>
      <c r="S2" s="13">
        <f t="shared" si="0"/>
        <v>2028</v>
      </c>
      <c r="T2" s="13">
        <f t="shared" si="0"/>
        <v>2029</v>
      </c>
      <c r="U2" s="13">
        <f t="shared" si="0"/>
        <v>2030</v>
      </c>
      <c r="V2" s="13">
        <f t="shared" si="0"/>
        <v>2031</v>
      </c>
      <c r="W2" s="13">
        <f t="shared" si="0"/>
        <v>2032</v>
      </c>
      <c r="X2" s="13">
        <f t="shared" si="0"/>
        <v>2033</v>
      </c>
      <c r="Y2" s="13">
        <f t="shared" si="0"/>
        <v>2034</v>
      </c>
    </row>
    <row r="3" spans="1:25">
      <c r="B3" s="40" t="s">
        <v>5515</v>
      </c>
      <c r="C3" s="47"/>
      <c r="D3" s="47"/>
      <c r="E3" s="47"/>
      <c r="F3" s="47"/>
      <c r="G3" s="47"/>
      <c r="H3" s="47"/>
      <c r="I3" s="47"/>
      <c r="J3" s="47"/>
      <c r="K3" s="47"/>
      <c r="L3" s="47"/>
      <c r="M3" s="47"/>
      <c r="N3" s="47"/>
      <c r="O3" s="47"/>
      <c r="P3" s="47"/>
      <c r="Q3" s="47"/>
      <c r="R3" s="47"/>
      <c r="S3" s="47"/>
      <c r="T3" s="47"/>
      <c r="U3" s="47"/>
      <c r="V3" s="47"/>
      <c r="W3" s="47"/>
      <c r="X3" s="47"/>
      <c r="Y3" s="47"/>
    </row>
    <row r="4" spans="1:25">
      <c r="B4" s="80" t="s">
        <v>4325</v>
      </c>
      <c r="C4" s="80" t="s">
        <v>4689</v>
      </c>
      <c r="D4" s="80"/>
      <c r="E4" s="32"/>
      <c r="F4" s="32"/>
      <c r="G4" s="32"/>
      <c r="H4" s="32"/>
      <c r="I4" s="32"/>
      <c r="J4" s="32"/>
      <c r="K4" s="32"/>
      <c r="L4" s="32"/>
      <c r="M4" s="32"/>
      <c r="N4" s="32"/>
      <c r="O4" s="32"/>
    </row>
    <row r="5" spans="1:25">
      <c r="D5" s="213" t="s">
        <v>4357</v>
      </c>
      <c r="E5" s="33">
        <v>8701.4569252169731</v>
      </c>
      <c r="F5" s="33">
        <v>8847.7940031279995</v>
      </c>
      <c r="G5" s="33">
        <v>8923.909954612267</v>
      </c>
      <c r="H5" s="33">
        <v>9003.9200433668084</v>
      </c>
      <c r="I5" s="33">
        <v>9105.310589198325</v>
      </c>
      <c r="J5" s="33">
        <v>9206.4756361452401</v>
      </c>
      <c r="K5" s="33">
        <v>9304.1768152642417</v>
      </c>
      <c r="L5" s="33">
        <v>9391.0613875744493</v>
      </c>
      <c r="M5" s="33">
        <v>9479.0100938559881</v>
      </c>
      <c r="N5" s="33">
        <v>9548.8952063040542</v>
      </c>
      <c r="O5" s="33">
        <v>9613.9555238110297</v>
      </c>
    </row>
    <row r="6" spans="1:25">
      <c r="D6" s="213" t="s">
        <v>4358</v>
      </c>
      <c r="E6" s="33">
        <v>13496.970989348198</v>
      </c>
      <c r="F6" s="33">
        <v>13789.173910101706</v>
      </c>
      <c r="G6" s="33">
        <v>13976.80130658497</v>
      </c>
      <c r="H6" s="33">
        <v>14168.466878421455</v>
      </c>
      <c r="I6" s="33">
        <v>14387.043334120157</v>
      </c>
      <c r="J6" s="33">
        <v>14608.96193737567</v>
      </c>
      <c r="K6" s="33">
        <v>14830.887813404746</v>
      </c>
      <c r="L6" s="33">
        <v>15032.471340792028</v>
      </c>
      <c r="M6" s="33">
        <v>15233.605712612934</v>
      </c>
      <c r="N6" s="33">
        <v>15410.825830334177</v>
      </c>
      <c r="O6" s="33">
        <v>15569.002490363018</v>
      </c>
    </row>
    <row r="7" spans="1:25">
      <c r="D7" s="213" t="s">
        <v>5</v>
      </c>
      <c r="E7" s="33">
        <v>23587.773861527432</v>
      </c>
      <c r="F7" s="33">
        <v>24026.366317603108</v>
      </c>
      <c r="G7" s="33">
        <v>24326.070785188724</v>
      </c>
      <c r="H7" s="33">
        <v>24621.79898623372</v>
      </c>
      <c r="I7" s="33">
        <v>24926.797403514331</v>
      </c>
      <c r="J7" s="33">
        <v>25258.444340529371</v>
      </c>
      <c r="K7" s="33">
        <v>25603.597905955925</v>
      </c>
      <c r="L7" s="33">
        <v>25933.347242039123</v>
      </c>
      <c r="M7" s="33">
        <v>26231.257809473507</v>
      </c>
      <c r="N7" s="33">
        <v>26509.683082831423</v>
      </c>
      <c r="O7" s="33">
        <v>26763.330414379358</v>
      </c>
    </row>
    <row r="8" spans="1:25">
      <c r="D8" s="213" t="s">
        <v>143</v>
      </c>
      <c r="E8" s="33">
        <v>4758</v>
      </c>
      <c r="F8" s="33">
        <v>4850</v>
      </c>
      <c r="G8" s="33">
        <v>4906</v>
      </c>
      <c r="H8" s="33">
        <v>4986</v>
      </c>
      <c r="I8" s="33">
        <v>5059</v>
      </c>
      <c r="J8" s="33">
        <v>5132</v>
      </c>
      <c r="K8" s="33">
        <v>5188</v>
      </c>
      <c r="L8" s="33">
        <v>5238</v>
      </c>
      <c r="M8" s="33">
        <v>5284</v>
      </c>
      <c r="N8" s="33">
        <v>5321</v>
      </c>
      <c r="O8" s="33">
        <v>5357</v>
      </c>
    </row>
    <row r="9" spans="1:25">
      <c r="D9" s="213" t="s">
        <v>5307</v>
      </c>
      <c r="E9" s="33">
        <v>116</v>
      </c>
      <c r="F9" s="33">
        <v>117</v>
      </c>
      <c r="G9" s="33">
        <v>117</v>
      </c>
      <c r="H9" s="33">
        <v>118</v>
      </c>
      <c r="I9" s="33">
        <v>118</v>
      </c>
      <c r="J9" s="33">
        <v>119</v>
      </c>
      <c r="K9" s="33">
        <v>119</v>
      </c>
      <c r="L9" s="33">
        <v>119</v>
      </c>
      <c r="M9" s="33">
        <v>119</v>
      </c>
      <c r="N9" s="33">
        <v>119</v>
      </c>
      <c r="O9" s="33">
        <v>119</v>
      </c>
    </row>
    <row r="10" spans="1:25">
      <c r="D10" s="213" t="s">
        <v>4359</v>
      </c>
      <c r="E10" s="32">
        <f>SUM(E5:E9)</f>
        <v>50660.201776092603</v>
      </c>
      <c r="F10" s="32">
        <f t="shared" ref="F10:O10" si="1">SUM(F5:F9)</f>
        <v>51630.334230832814</v>
      </c>
      <c r="G10" s="32">
        <f t="shared" si="1"/>
        <v>52249.782046385961</v>
      </c>
      <c r="H10" s="32">
        <f t="shared" si="1"/>
        <v>52898.185908021987</v>
      </c>
      <c r="I10" s="32">
        <f t="shared" si="1"/>
        <v>53596.151326832813</v>
      </c>
      <c r="J10" s="32">
        <f t="shared" si="1"/>
        <v>54324.881914050282</v>
      </c>
      <c r="K10" s="32">
        <f t="shared" si="1"/>
        <v>55045.662534624913</v>
      </c>
      <c r="L10" s="32">
        <f t="shared" si="1"/>
        <v>55713.8799704056</v>
      </c>
      <c r="M10" s="32">
        <f t="shared" si="1"/>
        <v>56346.87361594243</v>
      </c>
      <c r="N10" s="32">
        <f t="shared" si="1"/>
        <v>56909.404119469655</v>
      </c>
      <c r="O10" s="32">
        <f t="shared" si="1"/>
        <v>57422.288428553409</v>
      </c>
    </row>
    <row r="11" spans="1:25">
      <c r="D11" s="213" t="s">
        <v>4360</v>
      </c>
      <c r="E11" s="33">
        <v>49444.356933466377</v>
      </c>
      <c r="F11" s="33">
        <v>50391.206209292824</v>
      </c>
      <c r="G11" s="33">
        <v>50995.787277272699</v>
      </c>
      <c r="H11" s="33">
        <v>51628.629446229461</v>
      </c>
      <c r="I11" s="33">
        <v>52309.843694988827</v>
      </c>
      <c r="J11" s="33">
        <v>53021.084748113077</v>
      </c>
      <c r="K11" s="33">
        <v>53724.566633793911</v>
      </c>
      <c r="L11" s="33">
        <v>54376.746851115866</v>
      </c>
      <c r="M11" s="33">
        <v>54994.548649159813</v>
      </c>
      <c r="N11" s="33">
        <v>55543.578420602382</v>
      </c>
      <c r="O11" s="33">
        <v>56044.153506268129</v>
      </c>
    </row>
    <row r="12" spans="1:25">
      <c r="D12" s="213" t="s">
        <v>5448</v>
      </c>
      <c r="E12" s="33">
        <v>49391.25115314452</v>
      </c>
      <c r="F12" s="33">
        <v>49985.888157155066</v>
      </c>
      <c r="G12" s="33">
        <v>50234.682630439376</v>
      </c>
      <c r="H12" s="33">
        <v>50506.163851864854</v>
      </c>
      <c r="I12" s="33">
        <v>50924.373598351624</v>
      </c>
      <c r="J12" s="33">
        <v>51336.496596809804</v>
      </c>
      <c r="K12" s="33">
        <v>51764.09176229046</v>
      </c>
      <c r="L12" s="33">
        <v>52147.544488292253</v>
      </c>
      <c r="M12" s="33">
        <v>52486.847027496944</v>
      </c>
      <c r="N12" s="33">
        <v>52713.603201909144</v>
      </c>
      <c r="O12" s="33">
        <v>52890.124533196904</v>
      </c>
    </row>
    <row r="13" spans="1:25">
      <c r="D13" s="213" t="s">
        <v>5449</v>
      </c>
      <c r="E13" s="33">
        <v>49359.434773256035</v>
      </c>
      <c r="F13" s="33">
        <v>49849.107126767711</v>
      </c>
      <c r="G13" s="33">
        <v>49913.266066928103</v>
      </c>
      <c r="H13" s="33">
        <v>50041.594551341412</v>
      </c>
      <c r="I13" s="33">
        <v>50238.54482716677</v>
      </c>
      <c r="J13" s="33">
        <v>50477.469391382299</v>
      </c>
      <c r="K13" s="33">
        <v>50744.666141867827</v>
      </c>
      <c r="L13" s="33">
        <v>50924.196984502065</v>
      </c>
      <c r="M13" s="33">
        <v>51049.142161008203</v>
      </c>
      <c r="N13" s="33">
        <v>51054.303857003528</v>
      </c>
      <c r="O13" s="33">
        <v>51002.645724575246</v>
      </c>
    </row>
    <row r="14" spans="1:25">
      <c r="D14" s="213" t="s">
        <v>5450</v>
      </c>
      <c r="E14" s="33">
        <v>49359.434773256035</v>
      </c>
      <c r="F14" s="33">
        <v>49747.304229171605</v>
      </c>
      <c r="G14" s="33">
        <v>49611.311891805737</v>
      </c>
      <c r="H14" s="33">
        <v>49456.371132829205</v>
      </c>
      <c r="I14" s="33">
        <v>49345.53706151279</v>
      </c>
      <c r="J14" s="33">
        <v>49263.875335886572</v>
      </c>
      <c r="K14" s="33">
        <v>49198.961868016755</v>
      </c>
      <c r="L14" s="33">
        <v>49003.192329252517</v>
      </c>
      <c r="M14" s="33">
        <v>48716.195496175154</v>
      </c>
      <c r="N14" s="33">
        <v>48276.075176290797</v>
      </c>
      <c r="O14" s="33">
        <v>47757.991041271271</v>
      </c>
    </row>
    <row r="15" spans="1:25">
      <c r="D15" s="213"/>
      <c r="E15" s="32"/>
      <c r="F15" s="32"/>
      <c r="G15" s="32"/>
      <c r="H15" s="32"/>
      <c r="I15" s="32"/>
      <c r="J15" s="32"/>
      <c r="K15" s="32"/>
      <c r="L15" s="32"/>
      <c r="M15" s="32"/>
      <c r="N15" s="32"/>
      <c r="O15" s="32"/>
    </row>
    <row r="16" spans="1:25">
      <c r="B16" s="80" t="s">
        <v>4326</v>
      </c>
      <c r="C16" s="80" t="s">
        <v>8</v>
      </c>
      <c r="D16" s="80"/>
      <c r="E16" s="32"/>
      <c r="F16" s="32"/>
      <c r="G16" s="32"/>
      <c r="H16" s="32"/>
      <c r="I16" s="32"/>
      <c r="J16" s="32"/>
      <c r="K16" s="32"/>
      <c r="L16" s="32"/>
      <c r="M16" s="32"/>
      <c r="N16" s="32"/>
      <c r="O16" s="32"/>
      <c r="Q16" s="48"/>
      <c r="R16" s="48"/>
    </row>
    <row r="17" spans="2:18">
      <c r="B17" s="175"/>
      <c r="D17" s="213" t="s">
        <v>4357</v>
      </c>
      <c r="E17" s="33">
        <v>9021.0190769941983</v>
      </c>
      <c r="F17" s="33">
        <v>9172.2345852276485</v>
      </c>
      <c r="G17" s="33">
        <v>9251.2260228442192</v>
      </c>
      <c r="H17" s="33">
        <v>9334.2553642868679</v>
      </c>
      <c r="I17" s="33">
        <v>9438.751819276722</v>
      </c>
      <c r="J17" s="33">
        <v>9544.9921988957576</v>
      </c>
      <c r="K17" s="33">
        <v>9645.6632798133651</v>
      </c>
      <c r="L17" s="33">
        <v>9735.5988482159519</v>
      </c>
      <c r="M17" s="33">
        <v>9826.5990572687042</v>
      </c>
      <c r="N17" s="33">
        <v>9897.4512193362898</v>
      </c>
      <c r="O17" s="33">
        <v>9965.7012836306367</v>
      </c>
      <c r="P17" s="5"/>
      <c r="Q17" s="5"/>
      <c r="R17" s="48"/>
    </row>
    <row r="18" spans="2:18">
      <c r="B18" s="175"/>
      <c r="D18" s="213" t="s">
        <v>4358</v>
      </c>
      <c r="E18" s="33">
        <v>14148.853141137326</v>
      </c>
      <c r="F18" s="33">
        <v>14455.276430180409</v>
      </c>
      <c r="G18" s="33">
        <v>14651.964608507396</v>
      </c>
      <c r="H18" s="33">
        <v>14853.905475773585</v>
      </c>
      <c r="I18" s="33">
        <v>15083.696559619004</v>
      </c>
      <c r="J18" s="33">
        <v>15316.822024373261</v>
      </c>
      <c r="K18" s="33">
        <v>15547.901246813584</v>
      </c>
      <c r="L18" s="33">
        <v>15760.638338295365</v>
      </c>
      <c r="M18" s="33">
        <v>15971.062271224975</v>
      </c>
      <c r="N18" s="33">
        <v>16158.317631863061</v>
      </c>
      <c r="O18" s="33">
        <v>16324.444066050053</v>
      </c>
      <c r="P18" s="5"/>
      <c r="Q18" s="5"/>
      <c r="R18" s="48"/>
    </row>
    <row r="19" spans="2:18">
      <c r="B19" s="175"/>
      <c r="D19" s="213" t="s">
        <v>5</v>
      </c>
      <c r="E19" s="33">
        <v>24938.338658850349</v>
      </c>
      <c r="F19" s="33">
        <v>25403.33010648203</v>
      </c>
      <c r="G19" s="33">
        <v>25722.554245702464</v>
      </c>
      <c r="H19" s="33">
        <v>26033.636047648943</v>
      </c>
      <c r="I19" s="33">
        <v>26356.002992533588</v>
      </c>
      <c r="J19" s="33">
        <v>26707.149720645692</v>
      </c>
      <c r="K19" s="33">
        <v>27072.790923925335</v>
      </c>
      <c r="L19" s="33">
        <v>27421.943893591568</v>
      </c>
      <c r="M19" s="33">
        <v>27738.326129339523</v>
      </c>
      <c r="N19" s="33">
        <v>28032.054806145778</v>
      </c>
      <c r="O19" s="33">
        <v>28300.97993696493</v>
      </c>
      <c r="P19" s="5"/>
      <c r="Q19" s="5"/>
      <c r="R19" s="48"/>
    </row>
    <row r="20" spans="2:18">
      <c r="B20" s="175"/>
      <c r="D20" s="213" t="s">
        <v>143</v>
      </c>
      <c r="E20" s="33">
        <v>5112</v>
      </c>
      <c r="F20" s="33">
        <v>5211</v>
      </c>
      <c r="G20" s="33">
        <v>5272</v>
      </c>
      <c r="H20" s="33">
        <v>5357</v>
      </c>
      <c r="I20" s="33">
        <v>5435</v>
      </c>
      <c r="J20" s="33">
        <v>5514</v>
      </c>
      <c r="K20" s="33">
        <v>5574</v>
      </c>
      <c r="L20" s="33">
        <v>5628</v>
      </c>
      <c r="M20" s="33">
        <v>5677</v>
      </c>
      <c r="N20" s="33">
        <v>5717</v>
      </c>
      <c r="O20" s="33">
        <v>5756</v>
      </c>
      <c r="P20" s="5"/>
      <c r="Q20" s="5"/>
      <c r="R20" s="48"/>
    </row>
    <row r="21" spans="2:18">
      <c r="B21" s="175"/>
      <c r="D21" s="213" t="s">
        <v>5307</v>
      </c>
      <c r="E21" s="33">
        <v>121</v>
      </c>
      <c r="F21" s="33">
        <v>122</v>
      </c>
      <c r="G21" s="33">
        <v>122</v>
      </c>
      <c r="H21" s="33">
        <v>123</v>
      </c>
      <c r="I21" s="33">
        <v>123</v>
      </c>
      <c r="J21" s="33">
        <v>124</v>
      </c>
      <c r="K21" s="33">
        <v>124</v>
      </c>
      <c r="L21" s="33">
        <v>124</v>
      </c>
      <c r="M21" s="33">
        <v>124</v>
      </c>
      <c r="N21" s="33">
        <v>124</v>
      </c>
      <c r="O21" s="33">
        <v>124</v>
      </c>
      <c r="P21" s="5"/>
      <c r="Q21" s="5"/>
      <c r="R21" s="48"/>
    </row>
    <row r="22" spans="2:18">
      <c r="B22" s="175"/>
      <c r="D22" s="213" t="s">
        <v>4359</v>
      </c>
      <c r="E22" s="32">
        <f>SUM(E17:E21)</f>
        <v>53341.210876981873</v>
      </c>
      <c r="F22" s="32">
        <f t="shared" ref="F22:O22" si="2">SUM(F17:F21)</f>
        <v>54363.841121890087</v>
      </c>
      <c r="G22" s="32">
        <f t="shared" si="2"/>
        <v>55019.74487705408</v>
      </c>
      <c r="H22" s="32">
        <f t="shared" si="2"/>
        <v>55701.796887709395</v>
      </c>
      <c r="I22" s="32">
        <f t="shared" si="2"/>
        <v>56436.451371429313</v>
      </c>
      <c r="J22" s="32">
        <f t="shared" si="2"/>
        <v>57206.963943914714</v>
      </c>
      <c r="K22" s="32">
        <f t="shared" si="2"/>
        <v>57964.355450552284</v>
      </c>
      <c r="L22" s="32">
        <f t="shared" si="2"/>
        <v>58670.181080102884</v>
      </c>
      <c r="M22" s="32">
        <f t="shared" si="2"/>
        <v>59336.987457833202</v>
      </c>
      <c r="N22" s="32">
        <f t="shared" si="2"/>
        <v>59928.823657345129</v>
      </c>
      <c r="O22" s="32">
        <f t="shared" si="2"/>
        <v>60471.12528664562</v>
      </c>
      <c r="P22" s="5"/>
      <c r="Q22" s="5"/>
      <c r="R22" s="48"/>
    </row>
    <row r="23" spans="2:18">
      <c r="B23" s="175"/>
      <c r="D23" s="213" t="s">
        <v>4360</v>
      </c>
      <c r="E23" s="33">
        <v>52061.021815934306</v>
      </c>
      <c r="F23" s="33">
        <v>53059.108934964723</v>
      </c>
      <c r="G23" s="33">
        <v>53699.271000004781</v>
      </c>
      <c r="H23" s="33">
        <v>54364.953762404366</v>
      </c>
      <c r="I23" s="33">
        <v>55081.976538515009</v>
      </c>
      <c r="J23" s="33">
        <v>55833.99680926076</v>
      </c>
      <c r="K23" s="33">
        <v>56573.210919739031</v>
      </c>
      <c r="L23" s="33">
        <v>57262.096734180413</v>
      </c>
      <c r="M23" s="33">
        <v>57912.899758845197</v>
      </c>
      <c r="N23" s="33">
        <v>58490.531889568847</v>
      </c>
      <c r="O23" s="33">
        <v>59019.818279766121</v>
      </c>
      <c r="P23" s="5"/>
      <c r="Q23" s="5"/>
      <c r="R23" s="48"/>
    </row>
    <row r="24" spans="2:18">
      <c r="D24" s="213" t="s">
        <v>5448</v>
      </c>
      <c r="E24" s="33">
        <v>52005.09449759667</v>
      </c>
      <c r="F24" s="33">
        <v>52632.138825313203</v>
      </c>
      <c r="G24" s="33">
        <v>52897.425444782457</v>
      </c>
      <c r="H24" s="33">
        <v>53182.430417993979</v>
      </c>
      <c r="I24" s="33">
        <v>53622.445960990961</v>
      </c>
      <c r="J24" s="33">
        <v>54059.30621197971</v>
      </c>
      <c r="K24" s="33">
        <v>54507.888705535435</v>
      </c>
      <c r="L24" s="33">
        <v>54913.699989827743</v>
      </c>
      <c r="M24" s="33">
        <v>55270.945464863951</v>
      </c>
      <c r="N24" s="33">
        <v>55508.966830466255</v>
      </c>
      <c r="O24" s="33">
        <v>55696.841390322305</v>
      </c>
    </row>
    <row r="25" spans="2:18">
      <c r="D25" s="213" t="s">
        <v>5449</v>
      </c>
      <c r="E25" s="33">
        <v>51971.589008198876</v>
      </c>
      <c r="F25" s="33">
        <v>52488.065074824917</v>
      </c>
      <c r="G25" s="33">
        <v>52558.8460689411</v>
      </c>
      <c r="H25" s="33">
        <v>52693.127626288318</v>
      </c>
      <c r="I25" s="33">
        <v>52900.110778932081</v>
      </c>
      <c r="J25" s="33">
        <v>53154.540751211476</v>
      </c>
      <c r="K25" s="33">
        <v>53434.309422530445</v>
      </c>
      <c r="L25" s="33">
        <v>53625.443797733802</v>
      </c>
      <c r="M25" s="33">
        <v>53756.961099645217</v>
      </c>
      <c r="N25" s="33">
        <v>53761.663825140015</v>
      </c>
      <c r="O25" s="33">
        <v>53709.297258943028</v>
      </c>
    </row>
    <row r="26" spans="2:18">
      <c r="D26" s="213" t="s">
        <v>5450</v>
      </c>
      <c r="E26" s="33">
        <v>51971.589008198876</v>
      </c>
      <c r="F26" s="33">
        <v>52380.930833243212</v>
      </c>
      <c r="G26" s="33">
        <v>52240.967023846024</v>
      </c>
      <c r="H26" s="33">
        <v>52076.96130409238</v>
      </c>
      <c r="I26" s="33">
        <v>51959.921837127789</v>
      </c>
      <c r="J26" s="33">
        <v>51876.80620689199</v>
      </c>
      <c r="K26" s="33">
        <v>51806.949415283438</v>
      </c>
      <c r="L26" s="33">
        <v>51602.972507612256</v>
      </c>
      <c r="M26" s="33">
        <v>51300.677542181053</v>
      </c>
      <c r="N26" s="33">
        <v>50836.505802335319</v>
      </c>
      <c r="O26" s="33">
        <v>50293.05403524507</v>
      </c>
    </row>
    <row r="27" spans="2:18">
      <c r="D27" s="213"/>
      <c r="E27" s="32"/>
      <c r="F27" s="32"/>
      <c r="G27" s="32"/>
      <c r="H27" s="32"/>
      <c r="I27" s="32"/>
      <c r="J27" s="32"/>
      <c r="K27" s="32"/>
      <c r="L27" s="32"/>
      <c r="M27" s="32"/>
      <c r="N27" s="32"/>
      <c r="O27" s="32"/>
    </row>
    <row r="28" spans="2:18">
      <c r="B28" s="80" t="s">
        <v>4327</v>
      </c>
      <c r="C28" s="80" t="s">
        <v>9</v>
      </c>
      <c r="D28" s="80"/>
      <c r="E28" s="32"/>
      <c r="F28" s="32"/>
      <c r="G28" s="32"/>
      <c r="H28" s="32"/>
      <c r="I28" s="32"/>
      <c r="J28" s="32"/>
      <c r="K28" s="32"/>
      <c r="L28" s="32"/>
      <c r="M28" s="32"/>
      <c r="N28" s="32"/>
      <c r="O28" s="32"/>
      <c r="P28" s="5"/>
      <c r="Q28" s="48"/>
      <c r="R28" s="48"/>
    </row>
    <row r="29" spans="2:18">
      <c r="B29" s="175"/>
      <c r="D29" s="213" t="s">
        <v>4357</v>
      </c>
      <c r="E29" s="33">
        <v>9279.7020191232295</v>
      </c>
      <c r="F29" s="33">
        <v>9435.9826489518891</v>
      </c>
      <c r="G29" s="33">
        <v>9514.999875106314</v>
      </c>
      <c r="H29" s="33">
        <v>9600.2042694692427</v>
      </c>
      <c r="I29" s="33">
        <v>9707.9508539695453</v>
      </c>
      <c r="J29" s="33">
        <v>9816.403972570688</v>
      </c>
      <c r="K29" s="33">
        <v>9920.2088527709639</v>
      </c>
      <c r="L29" s="33">
        <v>10014.357950033067</v>
      </c>
      <c r="M29" s="33">
        <v>10108.580242233653</v>
      </c>
      <c r="N29" s="33">
        <v>10183.571625163302</v>
      </c>
      <c r="O29" s="33">
        <v>10252.117762022086</v>
      </c>
      <c r="P29" s="5"/>
      <c r="Q29" s="5"/>
      <c r="R29" s="48"/>
    </row>
    <row r="30" spans="2:18">
      <c r="B30" s="175"/>
      <c r="D30" s="213" t="s">
        <v>4358</v>
      </c>
      <c r="E30" s="33">
        <v>14362.760260161995</v>
      </c>
      <c r="F30" s="33">
        <v>14674.61037323135</v>
      </c>
      <c r="G30" s="33">
        <v>14873.657987332179</v>
      </c>
      <c r="H30" s="33">
        <v>15079.022207065853</v>
      </c>
      <c r="I30" s="33">
        <v>15311.177847046834</v>
      </c>
      <c r="J30" s="33">
        <v>15547.735338150304</v>
      </c>
      <c r="K30" s="33">
        <v>15784.258150583584</v>
      </c>
      <c r="L30" s="33">
        <v>15998.334647921351</v>
      </c>
      <c r="M30" s="33">
        <v>16212.159148926305</v>
      </c>
      <c r="N30" s="33">
        <v>16401.813177343989</v>
      </c>
      <c r="O30" s="33">
        <v>16569.197488781225</v>
      </c>
      <c r="P30" s="5"/>
      <c r="Q30" s="5"/>
      <c r="R30" s="48"/>
    </row>
    <row r="31" spans="2:18">
      <c r="B31" s="175"/>
      <c r="D31" s="213" t="s">
        <v>5</v>
      </c>
      <c r="E31" s="33">
        <v>25922.508497289884</v>
      </c>
      <c r="F31" s="33">
        <v>26402.624070853017</v>
      </c>
      <c r="G31" s="33">
        <v>26737.009472294212</v>
      </c>
      <c r="H31" s="33">
        <v>27062.329155540865</v>
      </c>
      <c r="I31" s="33">
        <v>27395.823212810174</v>
      </c>
      <c r="J31" s="33">
        <v>27762.191233975067</v>
      </c>
      <c r="K31" s="33">
        <v>28140.997679368149</v>
      </c>
      <c r="L31" s="33">
        <v>28504.47222841805</v>
      </c>
      <c r="M31" s="33">
        <v>28832.918272176204</v>
      </c>
      <c r="N31" s="33">
        <v>29138.899414678002</v>
      </c>
      <c r="O31" s="33">
        <v>29418.927035338947</v>
      </c>
      <c r="P31" s="5"/>
      <c r="Q31" s="5"/>
      <c r="R31" s="48"/>
    </row>
    <row r="32" spans="2:18">
      <c r="B32" s="175"/>
      <c r="D32" s="213" t="s">
        <v>143</v>
      </c>
      <c r="E32" s="33">
        <v>5306</v>
      </c>
      <c r="F32" s="33">
        <v>5408</v>
      </c>
      <c r="G32" s="33">
        <v>5471</v>
      </c>
      <c r="H32" s="33">
        <v>5560</v>
      </c>
      <c r="I32" s="33">
        <v>5641</v>
      </c>
      <c r="J32" s="33">
        <v>5723</v>
      </c>
      <c r="K32" s="33">
        <v>5785</v>
      </c>
      <c r="L32" s="33">
        <v>5841</v>
      </c>
      <c r="M32" s="33">
        <v>5892</v>
      </c>
      <c r="N32" s="33">
        <v>5933</v>
      </c>
      <c r="O32" s="33">
        <v>5973</v>
      </c>
      <c r="P32" s="5"/>
      <c r="Q32" s="5"/>
      <c r="R32" s="48"/>
    </row>
    <row r="33" spans="2:18">
      <c r="B33" s="175"/>
      <c r="D33" s="213" t="s">
        <v>5307</v>
      </c>
      <c r="E33" s="33">
        <v>123</v>
      </c>
      <c r="F33" s="33">
        <v>124</v>
      </c>
      <c r="G33" s="33">
        <v>124</v>
      </c>
      <c r="H33" s="33">
        <v>125</v>
      </c>
      <c r="I33" s="33">
        <v>125</v>
      </c>
      <c r="J33" s="33">
        <v>126</v>
      </c>
      <c r="K33" s="33">
        <v>126</v>
      </c>
      <c r="L33" s="33">
        <v>126</v>
      </c>
      <c r="M33" s="33">
        <v>126</v>
      </c>
      <c r="N33" s="33">
        <v>126</v>
      </c>
      <c r="O33" s="33">
        <v>126</v>
      </c>
      <c r="P33" s="5"/>
      <c r="Q33" s="5"/>
      <c r="R33" s="48"/>
    </row>
    <row r="34" spans="2:18">
      <c r="B34" s="175"/>
      <c r="D34" s="213" t="s">
        <v>4359</v>
      </c>
      <c r="E34" s="32">
        <f>SUM(E29:E33)</f>
        <v>54993.970776575108</v>
      </c>
      <c r="F34" s="32">
        <f t="shared" ref="F34:O34" si="3">SUM(F29:F33)</f>
        <v>56045.217093036255</v>
      </c>
      <c r="G34" s="32">
        <f t="shared" si="3"/>
        <v>56720.667334732701</v>
      </c>
      <c r="H34" s="32">
        <f t="shared" si="3"/>
        <v>57426.555632075964</v>
      </c>
      <c r="I34" s="32">
        <f t="shared" si="3"/>
        <v>58180.951913826553</v>
      </c>
      <c r="J34" s="32">
        <f t="shared" si="3"/>
        <v>58975.330544696058</v>
      </c>
      <c r="K34" s="32">
        <f t="shared" si="3"/>
        <v>59756.464682722697</v>
      </c>
      <c r="L34" s="32">
        <f t="shared" si="3"/>
        <v>60484.164826372464</v>
      </c>
      <c r="M34" s="32">
        <f t="shared" si="3"/>
        <v>61171.657663336162</v>
      </c>
      <c r="N34" s="32">
        <f t="shared" si="3"/>
        <v>61783.284217185297</v>
      </c>
      <c r="O34" s="32">
        <f t="shared" si="3"/>
        <v>62339.242286142253</v>
      </c>
      <c r="P34" s="5"/>
      <c r="Q34" s="5"/>
      <c r="R34" s="48"/>
    </row>
    <row r="35" spans="2:18">
      <c r="B35" s="175"/>
      <c r="D35" s="213" t="s">
        <v>4360</v>
      </c>
      <c r="E35" s="33">
        <v>53674.115477937303</v>
      </c>
      <c r="F35" s="33">
        <v>54700.131882803384</v>
      </c>
      <c r="G35" s="33">
        <v>55359.371318699115</v>
      </c>
      <c r="H35" s="33">
        <v>56048.318296906138</v>
      </c>
      <c r="I35" s="33">
        <v>56784.609067894715</v>
      </c>
      <c r="J35" s="33">
        <v>57559.922611623355</v>
      </c>
      <c r="K35" s="33">
        <v>58322.309530337348</v>
      </c>
      <c r="L35" s="33">
        <v>59032.544870539525</v>
      </c>
      <c r="M35" s="33">
        <v>59703.537879416093</v>
      </c>
      <c r="N35" s="33">
        <v>60300.48539597285</v>
      </c>
      <c r="O35" s="33">
        <v>60843.10047127484</v>
      </c>
      <c r="P35" s="5"/>
      <c r="Q35" s="5"/>
      <c r="R35" s="48"/>
    </row>
    <row r="36" spans="2:18">
      <c r="B36" s="175"/>
      <c r="D36" s="213" t="s">
        <v>5448</v>
      </c>
      <c r="E36" s="33">
        <v>53616.326815808847</v>
      </c>
      <c r="F36" s="33">
        <v>54259.116930000848</v>
      </c>
      <c r="G36" s="33">
        <v>54531.208134439556</v>
      </c>
      <c r="H36" s="33">
        <v>54826.966474704335</v>
      </c>
      <c r="I36" s="33">
        <v>55277.268498320977</v>
      </c>
      <c r="J36" s="33">
        <v>55727.233260868961</v>
      </c>
      <c r="K36" s="33">
        <v>56189.627209340288</v>
      </c>
      <c r="L36" s="33">
        <v>56607.476515383772</v>
      </c>
      <c r="M36" s="33">
        <v>56975.615368891609</v>
      </c>
      <c r="N36" s="33">
        <v>57221.962700713288</v>
      </c>
      <c r="O36" s="33">
        <v>57412.167925243499</v>
      </c>
      <c r="P36" s="5"/>
      <c r="Q36" s="5"/>
      <c r="R36" s="48"/>
    </row>
    <row r="37" spans="2:18">
      <c r="B37" s="175"/>
      <c r="D37" s="213" t="s">
        <v>5449</v>
      </c>
      <c r="E37" s="33">
        <v>53581.71364144735</v>
      </c>
      <c r="F37" s="33">
        <v>54110.342870749817</v>
      </c>
      <c r="G37" s="33">
        <v>54181.63070822195</v>
      </c>
      <c r="H37" s="33">
        <v>54321.860541942144</v>
      </c>
      <c r="I37" s="33">
        <v>54531.653913923445</v>
      </c>
      <c r="J37" s="33">
        <v>54793.367682198055</v>
      </c>
      <c r="K37" s="33">
        <v>55081.687514002042</v>
      </c>
      <c r="L37" s="33">
        <v>55277.968798568465</v>
      </c>
      <c r="M37" s="33">
        <v>55413.331006536624</v>
      </c>
      <c r="N37" s="33">
        <v>55418.966014861522</v>
      </c>
      <c r="O37" s="33">
        <v>55361.311778806587</v>
      </c>
      <c r="P37" s="5"/>
      <c r="Q37" s="5"/>
      <c r="R37" s="48"/>
    </row>
    <row r="38" spans="2:18">
      <c r="D38" s="213" t="s">
        <v>5450</v>
      </c>
      <c r="E38" s="33">
        <v>53581.71364144735</v>
      </c>
      <c r="F38" s="33">
        <v>53999.907037806057</v>
      </c>
      <c r="G38" s="33">
        <v>53853.707084053713</v>
      </c>
      <c r="H38" s="33">
        <v>53685.961718867911</v>
      </c>
      <c r="I38" s="33">
        <v>53561.26890024537</v>
      </c>
      <c r="J38" s="33">
        <v>53474.561732686998</v>
      </c>
      <c r="K38" s="33">
        <v>53401.95974967505</v>
      </c>
      <c r="L38" s="33">
        <v>53190.155346456355</v>
      </c>
      <c r="M38" s="33">
        <v>52877.767714242931</v>
      </c>
      <c r="N38" s="33">
        <v>52399.32454501513</v>
      </c>
      <c r="O38" s="33">
        <v>51834.714339445571</v>
      </c>
    </row>
    <row r="39" spans="2:18">
      <c r="D39" s="213"/>
      <c r="E39" s="32"/>
      <c r="F39" s="32"/>
      <c r="G39" s="32"/>
      <c r="H39" s="32"/>
      <c r="I39" s="32"/>
      <c r="J39" s="32"/>
      <c r="K39" s="32"/>
      <c r="L39" s="32"/>
      <c r="M39" s="32"/>
      <c r="N39" s="32"/>
      <c r="O39" s="32"/>
    </row>
    <row r="40" spans="2:18">
      <c r="E40" s="5"/>
      <c r="F40" s="5"/>
      <c r="G40" s="5"/>
      <c r="H40" s="5"/>
      <c r="I40" s="5"/>
      <c r="J40" s="5"/>
      <c r="K40" s="5"/>
      <c r="L40" s="5"/>
      <c r="M40" s="5"/>
      <c r="N40" s="5"/>
      <c r="O40" s="5"/>
      <c r="P40" s="48"/>
      <c r="Q40" s="48"/>
      <c r="R40" s="48"/>
    </row>
    <row r="41" spans="2:18">
      <c r="B41" s="80" t="s">
        <v>4325</v>
      </c>
      <c r="C41" s="80" t="s">
        <v>4690</v>
      </c>
      <c r="D41" s="80"/>
      <c r="E41" s="5"/>
      <c r="F41" s="5"/>
      <c r="G41" s="5"/>
      <c r="H41" s="5"/>
      <c r="I41" s="5"/>
      <c r="J41" s="5"/>
      <c r="K41" s="5"/>
      <c r="L41" s="5"/>
      <c r="M41" s="5"/>
      <c r="N41" s="5"/>
      <c r="O41" s="5"/>
      <c r="P41" s="48"/>
      <c r="Q41" s="48"/>
      <c r="R41" s="48"/>
    </row>
    <row r="42" spans="2:18">
      <c r="D42" s="213" t="s">
        <v>4357</v>
      </c>
      <c r="E42" s="33">
        <v>8757.1381026726485</v>
      </c>
      <c r="F42" s="33">
        <v>8966.359080470218</v>
      </c>
      <c r="G42" s="33">
        <v>9111.2144486999096</v>
      </c>
      <c r="H42" s="33">
        <v>9274.6086098289234</v>
      </c>
      <c r="I42" s="33">
        <v>9456.6132027140611</v>
      </c>
      <c r="J42" s="33">
        <v>9630.9066775600677</v>
      </c>
      <c r="K42" s="33">
        <v>9806.2669346058901</v>
      </c>
      <c r="L42" s="33">
        <v>9954.6293355006419</v>
      </c>
      <c r="M42" s="33">
        <v>10112.605298231316</v>
      </c>
      <c r="N42" s="33">
        <v>10253.677975946335</v>
      </c>
      <c r="O42" s="33">
        <v>10378.455430803353</v>
      </c>
      <c r="P42" s="48"/>
      <c r="Q42" s="48"/>
      <c r="R42" s="48"/>
    </row>
    <row r="43" spans="2:18">
      <c r="D43" s="213" t="s">
        <v>4358</v>
      </c>
      <c r="E43" s="33">
        <v>13558.273425941949</v>
      </c>
      <c r="F43" s="33">
        <v>13904.328030818331</v>
      </c>
      <c r="G43" s="33">
        <v>14126.447667267093</v>
      </c>
      <c r="H43" s="33">
        <v>14362.3674845803</v>
      </c>
      <c r="I43" s="33">
        <v>14625.939326050642</v>
      </c>
      <c r="J43" s="33">
        <v>14876.2143571283</v>
      </c>
      <c r="K43" s="33">
        <v>15129.128917830225</v>
      </c>
      <c r="L43" s="33">
        <v>15346.662801954109</v>
      </c>
      <c r="M43" s="33">
        <v>15575.652894136783</v>
      </c>
      <c r="N43" s="33">
        <v>15785.358569831911</v>
      </c>
      <c r="O43" s="33">
        <v>15970.934830970624</v>
      </c>
      <c r="P43" s="48"/>
      <c r="Q43" s="48"/>
      <c r="R43" s="48"/>
    </row>
    <row r="44" spans="2:18">
      <c r="D44" s="213" t="s">
        <v>5</v>
      </c>
      <c r="E44" s="33">
        <v>23747.743470442114</v>
      </c>
      <c r="F44" s="33">
        <v>24329.355577507762</v>
      </c>
      <c r="G44" s="33">
        <v>24767.483345070941</v>
      </c>
      <c r="H44" s="33">
        <v>25220.345862834278</v>
      </c>
      <c r="I44" s="33">
        <v>25686.532639381581</v>
      </c>
      <c r="J44" s="33">
        <v>26143.449198156537</v>
      </c>
      <c r="K44" s="33">
        <v>26610.791319694101</v>
      </c>
      <c r="L44" s="33">
        <v>27040.13473610807</v>
      </c>
      <c r="M44" s="33">
        <v>27471.504077474528</v>
      </c>
      <c r="N44" s="33">
        <v>27886.496211226724</v>
      </c>
      <c r="O44" s="33">
        <v>28264.386141701078</v>
      </c>
      <c r="P44" s="48"/>
      <c r="Q44" s="48"/>
      <c r="R44" s="48"/>
    </row>
    <row r="45" spans="2:18">
      <c r="D45" s="213" t="s">
        <v>143</v>
      </c>
      <c r="E45" s="33">
        <v>4794</v>
      </c>
      <c r="F45" s="33">
        <v>4928</v>
      </c>
      <c r="G45" s="33">
        <v>5021</v>
      </c>
      <c r="H45" s="33">
        <v>5132</v>
      </c>
      <c r="I45" s="33">
        <v>5242</v>
      </c>
      <c r="J45" s="33">
        <v>5344</v>
      </c>
      <c r="K45" s="33">
        <v>5437</v>
      </c>
      <c r="L45" s="33">
        <v>5517</v>
      </c>
      <c r="M45" s="33">
        <v>5593</v>
      </c>
      <c r="N45" s="33">
        <v>5660</v>
      </c>
      <c r="O45" s="33">
        <v>5724</v>
      </c>
      <c r="P45" s="48"/>
      <c r="Q45" s="48"/>
      <c r="R45" s="48"/>
    </row>
    <row r="46" spans="2:18">
      <c r="B46" s="175"/>
      <c r="D46" s="213" t="s">
        <v>5307</v>
      </c>
      <c r="E46" s="33">
        <v>116</v>
      </c>
      <c r="F46" s="33">
        <v>117</v>
      </c>
      <c r="G46" s="33">
        <v>117</v>
      </c>
      <c r="H46" s="33">
        <v>118</v>
      </c>
      <c r="I46" s="33">
        <v>118</v>
      </c>
      <c r="J46" s="33">
        <v>118</v>
      </c>
      <c r="K46" s="33">
        <v>118</v>
      </c>
      <c r="L46" s="33">
        <v>118</v>
      </c>
      <c r="M46" s="33">
        <v>118</v>
      </c>
      <c r="N46" s="33">
        <v>119</v>
      </c>
      <c r="O46" s="33">
        <v>119</v>
      </c>
      <c r="P46" s="5"/>
      <c r="Q46" s="5"/>
      <c r="R46" s="48"/>
    </row>
    <row r="47" spans="2:18">
      <c r="D47" s="213" t="s">
        <v>4359</v>
      </c>
      <c r="E47" s="32">
        <f>SUM(E42:E46)</f>
        <v>50973.154999056715</v>
      </c>
      <c r="F47" s="32">
        <f t="shared" ref="F47:O47" si="4">SUM(F42:F46)</f>
        <v>52245.042688796311</v>
      </c>
      <c r="G47" s="32">
        <f t="shared" si="4"/>
        <v>53143.145461037944</v>
      </c>
      <c r="H47" s="32">
        <f t="shared" si="4"/>
        <v>54107.321957243505</v>
      </c>
      <c r="I47" s="32">
        <f t="shared" si="4"/>
        <v>55129.085168146281</v>
      </c>
      <c r="J47" s="32">
        <f t="shared" si="4"/>
        <v>56112.570232844904</v>
      </c>
      <c r="K47" s="32">
        <f t="shared" si="4"/>
        <v>57101.187172130216</v>
      </c>
      <c r="L47" s="32">
        <f t="shared" si="4"/>
        <v>57976.426873562821</v>
      </c>
      <c r="M47" s="32">
        <f t="shared" si="4"/>
        <v>58870.762269842628</v>
      </c>
      <c r="N47" s="32">
        <f t="shared" si="4"/>
        <v>59704.53275700497</v>
      </c>
      <c r="O47" s="32">
        <f t="shared" si="4"/>
        <v>60456.776403475058</v>
      </c>
      <c r="P47" s="48"/>
      <c r="Q47" s="48"/>
      <c r="R47" s="48"/>
    </row>
    <row r="48" spans="2:18">
      <c r="D48" s="213" t="s">
        <v>4360</v>
      </c>
      <c r="E48" s="33">
        <v>49749.799279079351</v>
      </c>
      <c r="F48" s="33">
        <v>50991.161664265201</v>
      </c>
      <c r="G48" s="33">
        <v>51867.709969973032</v>
      </c>
      <c r="H48" s="33">
        <v>52808.746230269659</v>
      </c>
      <c r="I48" s="33">
        <v>53805.987124110768</v>
      </c>
      <c r="J48" s="33">
        <v>54765.868547256629</v>
      </c>
      <c r="K48" s="33">
        <v>55730.75867999909</v>
      </c>
      <c r="L48" s="33">
        <v>56584.992628597312</v>
      </c>
      <c r="M48" s="33">
        <v>57457.863975366403</v>
      </c>
      <c r="N48" s="33">
        <v>58271.623970836852</v>
      </c>
      <c r="O48" s="33">
        <v>59005.813769791654</v>
      </c>
      <c r="P48" s="48"/>
      <c r="Q48" s="48"/>
      <c r="R48" s="48"/>
    </row>
    <row r="49" spans="2:18">
      <c r="D49" s="213" t="s">
        <v>5449</v>
      </c>
      <c r="E49" s="33">
        <v>49664.877118869001</v>
      </c>
      <c r="F49" s="33">
        <v>50449.062581740087</v>
      </c>
      <c r="G49" s="33">
        <v>50785.18875962845</v>
      </c>
      <c r="H49" s="33">
        <v>51221.711335381631</v>
      </c>
      <c r="I49" s="33">
        <v>51734.688256288719</v>
      </c>
      <c r="J49" s="33">
        <v>52222.253190525851</v>
      </c>
      <c r="K49" s="33">
        <v>52750.858188073005</v>
      </c>
      <c r="L49" s="33">
        <v>53132.442761983511</v>
      </c>
      <c r="M49" s="33">
        <v>53512.457487214793</v>
      </c>
      <c r="N49" s="33">
        <v>53782.349407237991</v>
      </c>
      <c r="O49" s="33">
        <v>53964.305988098771</v>
      </c>
      <c r="P49" s="48"/>
      <c r="Q49" s="48"/>
      <c r="R49" s="48"/>
    </row>
    <row r="50" spans="2:18">
      <c r="D50" s="213"/>
      <c r="E50" s="32"/>
      <c r="F50" s="32"/>
      <c r="G50" s="32"/>
      <c r="H50" s="32"/>
      <c r="I50" s="32"/>
      <c r="J50" s="32"/>
      <c r="K50" s="32"/>
      <c r="L50" s="32"/>
      <c r="M50" s="32"/>
      <c r="N50" s="32"/>
      <c r="O50" s="32"/>
    </row>
    <row r="51" spans="2:18">
      <c r="B51" s="80" t="s">
        <v>4326</v>
      </c>
      <c r="C51" s="80" t="s">
        <v>4369</v>
      </c>
      <c r="D51" s="80"/>
      <c r="E51" s="5"/>
      <c r="F51" s="5"/>
      <c r="G51" s="5"/>
      <c r="H51" s="5"/>
      <c r="I51" s="5"/>
      <c r="J51" s="5"/>
      <c r="K51" s="5"/>
      <c r="L51" s="5"/>
      <c r="M51" s="5"/>
      <c r="N51" s="5"/>
      <c r="O51" s="5"/>
      <c r="P51" s="48"/>
      <c r="Q51" s="48"/>
      <c r="R51" s="48"/>
    </row>
    <row r="52" spans="2:18">
      <c r="B52" s="175"/>
      <c r="D52" s="213" t="s">
        <v>4357</v>
      </c>
      <c r="E52" s="33">
        <v>9078.9163621601474</v>
      </c>
      <c r="F52" s="33">
        <v>9295.6889329575442</v>
      </c>
      <c r="G52" s="33">
        <v>9445.5698724615686</v>
      </c>
      <c r="H52" s="33">
        <v>9614.1532699877516</v>
      </c>
      <c r="I52" s="33">
        <v>9802.3739407735866</v>
      </c>
      <c r="J52" s="33">
        <v>9983.9525225527268</v>
      </c>
      <c r="K52" s="33">
        <v>10165.584493585049</v>
      </c>
      <c r="L52" s="33">
        <v>10319.142687693635</v>
      </c>
      <c r="M52" s="33">
        <v>10483.386228581056</v>
      </c>
      <c r="N52" s="33">
        <v>10629.571293216832</v>
      </c>
      <c r="O52" s="33">
        <v>10758.405735439588</v>
      </c>
      <c r="P52" s="48"/>
      <c r="Q52" s="48"/>
      <c r="R52" s="48"/>
    </row>
    <row r="53" spans="2:18">
      <c r="B53" s="175"/>
      <c r="D53" s="213" t="s">
        <v>4358</v>
      </c>
      <c r="E53" s="33">
        <v>14213.633845311535</v>
      </c>
      <c r="F53" s="33">
        <v>14577.13798840354</v>
      </c>
      <c r="G53" s="33">
        <v>14809.003800946637</v>
      </c>
      <c r="H53" s="33">
        <v>15057.33959393091</v>
      </c>
      <c r="I53" s="33">
        <v>15333.464327691427</v>
      </c>
      <c r="J53" s="33">
        <v>15597.201418358147</v>
      </c>
      <c r="K53" s="33">
        <v>15861.527491667295</v>
      </c>
      <c r="L53" s="33">
        <v>16088.546190817317</v>
      </c>
      <c r="M53" s="33">
        <v>16327.909834666256</v>
      </c>
      <c r="N53" s="33">
        <v>16549.197399542805</v>
      </c>
      <c r="O53" s="33">
        <v>16744.212254160309</v>
      </c>
      <c r="P53" s="48"/>
      <c r="Q53" s="48"/>
      <c r="R53" s="48"/>
    </row>
    <row r="54" spans="2:18">
      <c r="B54" s="175"/>
      <c r="D54" s="213" t="s">
        <v>5</v>
      </c>
      <c r="E54" s="33">
        <v>25108.548364299542</v>
      </c>
      <c r="F54" s="33">
        <v>25723.850214266789</v>
      </c>
      <c r="G54" s="33">
        <v>26188.701321976729</v>
      </c>
      <c r="H54" s="33">
        <v>26668.313034019367</v>
      </c>
      <c r="I54" s="33">
        <v>27160.120037203349</v>
      </c>
      <c r="J54" s="33">
        <v>27643.73006471694</v>
      </c>
      <c r="K54" s="33">
        <v>28137.74445821498</v>
      </c>
      <c r="L54" s="33">
        <v>28595.835284149838</v>
      </c>
      <c r="M54" s="33">
        <v>29050.771435820116</v>
      </c>
      <c r="N54" s="33">
        <v>29492.421391849453</v>
      </c>
      <c r="O54" s="33">
        <v>29890.763736841483</v>
      </c>
      <c r="P54" s="48"/>
      <c r="Q54" s="48"/>
      <c r="R54" s="48"/>
    </row>
    <row r="55" spans="2:18">
      <c r="B55" s="175"/>
      <c r="D55" s="213" t="s">
        <v>143</v>
      </c>
      <c r="E55" s="33">
        <v>5151</v>
      </c>
      <c r="F55" s="33">
        <v>5295</v>
      </c>
      <c r="G55" s="33">
        <v>5395</v>
      </c>
      <c r="H55" s="33">
        <v>5514</v>
      </c>
      <c r="I55" s="33">
        <v>5632</v>
      </c>
      <c r="J55" s="33">
        <v>5742</v>
      </c>
      <c r="K55" s="33">
        <v>5841</v>
      </c>
      <c r="L55" s="33">
        <v>5928</v>
      </c>
      <c r="M55" s="33">
        <v>6009</v>
      </c>
      <c r="N55" s="33">
        <v>6082</v>
      </c>
      <c r="O55" s="33">
        <v>6150</v>
      </c>
      <c r="P55" s="48"/>
      <c r="Q55" s="48"/>
      <c r="R55" s="48"/>
    </row>
    <row r="56" spans="2:18">
      <c r="B56" s="175"/>
      <c r="D56" s="213" t="s">
        <v>5307</v>
      </c>
      <c r="E56" s="33">
        <v>121</v>
      </c>
      <c r="F56" s="33">
        <v>122</v>
      </c>
      <c r="G56" s="33">
        <v>122</v>
      </c>
      <c r="H56" s="33">
        <v>123</v>
      </c>
      <c r="I56" s="33">
        <v>123</v>
      </c>
      <c r="J56" s="33">
        <v>123</v>
      </c>
      <c r="K56" s="33">
        <v>123</v>
      </c>
      <c r="L56" s="33">
        <v>123</v>
      </c>
      <c r="M56" s="33">
        <v>123</v>
      </c>
      <c r="N56" s="33">
        <v>124</v>
      </c>
      <c r="O56" s="33">
        <v>124</v>
      </c>
      <c r="P56" s="5"/>
      <c r="Q56" s="5"/>
      <c r="R56" s="48"/>
    </row>
    <row r="57" spans="2:18">
      <c r="B57" s="175"/>
      <c r="D57" s="213" t="s">
        <v>4359</v>
      </c>
      <c r="E57" s="32">
        <f>SUM(E52:E56)</f>
        <v>53673.098571771225</v>
      </c>
      <c r="F57" s="32">
        <f t="shared" ref="F57:O57" si="5">SUM(F52:F56)</f>
        <v>55013.677135627877</v>
      </c>
      <c r="G57" s="32">
        <f t="shared" si="5"/>
        <v>55960.274995384934</v>
      </c>
      <c r="H57" s="32">
        <f t="shared" si="5"/>
        <v>56976.805897938029</v>
      </c>
      <c r="I57" s="32">
        <f t="shared" si="5"/>
        <v>58050.958305668362</v>
      </c>
      <c r="J57" s="32">
        <f t="shared" si="5"/>
        <v>59089.884005627813</v>
      </c>
      <c r="K57" s="32">
        <f t="shared" si="5"/>
        <v>60128.856443467324</v>
      </c>
      <c r="L57" s="32">
        <f t="shared" si="5"/>
        <v>61054.524162660789</v>
      </c>
      <c r="M57" s="32">
        <f t="shared" si="5"/>
        <v>61994.067499067431</v>
      </c>
      <c r="N57" s="32">
        <f t="shared" si="5"/>
        <v>62877.190084609087</v>
      </c>
      <c r="O57" s="32">
        <f t="shared" si="5"/>
        <v>63667.381726441381</v>
      </c>
      <c r="P57" s="48"/>
      <c r="Q57" s="48"/>
      <c r="R57" s="48"/>
    </row>
    <row r="58" spans="2:18">
      <c r="B58" s="175"/>
      <c r="D58" s="213" t="s">
        <v>4360</v>
      </c>
      <c r="E58" s="33">
        <v>52384.944206048713</v>
      </c>
      <c r="F58" s="33">
        <v>53693.348884372805</v>
      </c>
      <c r="G58" s="33">
        <v>54617.228395495695</v>
      </c>
      <c r="H58" s="33">
        <v>55609.362556387518</v>
      </c>
      <c r="I58" s="33">
        <v>56657.735306332317</v>
      </c>
      <c r="J58" s="33">
        <v>57671.726789492743</v>
      </c>
      <c r="K58" s="33">
        <v>58685.763888824098</v>
      </c>
      <c r="L58" s="33">
        <v>59589.21558275693</v>
      </c>
      <c r="M58" s="33">
        <v>60506.209879089809</v>
      </c>
      <c r="N58" s="33">
        <v>61368.137522578465</v>
      </c>
      <c r="O58" s="33">
        <v>62139.364565006785</v>
      </c>
      <c r="P58" s="48"/>
      <c r="Q58" s="48"/>
      <c r="R58" s="48"/>
    </row>
    <row r="59" spans="2:18">
      <c r="B59" s="175"/>
      <c r="D59" s="213" t="s">
        <v>5449</v>
      </c>
      <c r="E59" s="33">
        <v>52295.509864281048</v>
      </c>
      <c r="F59" s="33">
        <v>53122.284458748145</v>
      </c>
      <c r="G59" s="33">
        <v>53476.834434787175</v>
      </c>
      <c r="H59" s="33">
        <v>53937.484384146323</v>
      </c>
      <c r="I59" s="33">
        <v>54475.899580428188</v>
      </c>
      <c r="J59" s="33">
        <v>54992.250060680781</v>
      </c>
      <c r="K59" s="33">
        <v>55546.889469369649</v>
      </c>
      <c r="L59" s="33">
        <v>55952.476331526414</v>
      </c>
      <c r="M59" s="33">
        <v>56350.227109201798</v>
      </c>
      <c r="N59" s="33">
        <v>56639.171098183477</v>
      </c>
      <c r="O59" s="33">
        <v>56828.859765123452</v>
      </c>
      <c r="P59" s="48"/>
      <c r="Q59" s="48"/>
      <c r="R59" s="48"/>
    </row>
    <row r="60" spans="2:18">
      <c r="D60" s="213"/>
      <c r="E60" s="32"/>
      <c r="F60" s="32"/>
      <c r="G60" s="32"/>
      <c r="H60" s="32"/>
      <c r="I60" s="32"/>
      <c r="J60" s="32"/>
      <c r="K60" s="32"/>
      <c r="L60" s="32"/>
      <c r="M60" s="32"/>
      <c r="N60" s="32"/>
      <c r="O60" s="32"/>
    </row>
    <row r="61" spans="2:18">
      <c r="B61" s="80" t="s">
        <v>4327</v>
      </c>
      <c r="C61" s="80" t="s">
        <v>4370</v>
      </c>
      <c r="D61" s="80"/>
      <c r="E61" s="5"/>
      <c r="F61" s="5"/>
      <c r="G61" s="5"/>
      <c r="H61" s="5"/>
      <c r="I61" s="5"/>
      <c r="J61" s="5"/>
      <c r="K61" s="5"/>
      <c r="L61" s="5"/>
      <c r="M61" s="5"/>
      <c r="N61" s="5"/>
      <c r="O61" s="5"/>
      <c r="P61" s="48"/>
      <c r="Q61" s="48"/>
      <c r="R61" s="48"/>
    </row>
    <row r="62" spans="2:18">
      <c r="B62" s="175"/>
      <c r="D62" s="213" t="s">
        <v>4357</v>
      </c>
      <c r="E62" s="33">
        <v>9338.769271423369</v>
      </c>
      <c r="F62" s="33">
        <v>9562.1699646844736</v>
      </c>
      <c r="G62" s="33">
        <v>9716.0697838537853</v>
      </c>
      <c r="H62" s="33">
        <v>9889.8227812218083</v>
      </c>
      <c r="I62" s="33">
        <v>10083.224661796372</v>
      </c>
      <c r="J62" s="33">
        <v>10271.04497807101</v>
      </c>
      <c r="K62" s="33">
        <v>10456.889908405734</v>
      </c>
      <c r="L62" s="33">
        <v>10616.640255029026</v>
      </c>
      <c r="M62" s="33">
        <v>10784.076360137475</v>
      </c>
      <c r="N62" s="33">
        <v>10935.369063288985</v>
      </c>
      <c r="O62" s="33">
        <v>11068.26155513935</v>
      </c>
      <c r="P62" s="48"/>
      <c r="Q62" s="48"/>
      <c r="R62" s="48"/>
    </row>
    <row r="63" spans="2:18">
      <c r="B63" s="175"/>
      <c r="D63" s="213" t="s">
        <v>4358</v>
      </c>
      <c r="E63" s="33">
        <v>14427.350045757072</v>
      </c>
      <c r="F63" s="33">
        <v>14797.030472537668</v>
      </c>
      <c r="G63" s="33">
        <v>15031.831018454192</v>
      </c>
      <c r="H63" s="33">
        <v>15285.029850549339</v>
      </c>
      <c r="I63" s="33">
        <v>15564.966799801845</v>
      </c>
      <c r="J63" s="33">
        <v>15831.566161833825</v>
      </c>
      <c r="K63" s="33">
        <v>16100.737403888812</v>
      </c>
      <c r="L63" s="33">
        <v>16331.605169854785</v>
      </c>
      <c r="M63" s="33">
        <v>16574.79874402691</v>
      </c>
      <c r="N63" s="33">
        <v>16800.044905646435</v>
      </c>
      <c r="O63" s="33">
        <v>16995.81606687481</v>
      </c>
      <c r="P63" s="48"/>
      <c r="Q63" s="48"/>
      <c r="R63" s="48"/>
    </row>
    <row r="64" spans="2:18">
      <c r="B64" s="175"/>
      <c r="D64" s="213" t="s">
        <v>5</v>
      </c>
      <c r="E64" s="33">
        <v>26098.880338724917</v>
      </c>
      <c r="F64" s="33">
        <v>26737.543542433839</v>
      </c>
      <c r="G64" s="33">
        <v>27222.851071479821</v>
      </c>
      <c r="H64" s="33">
        <v>27720.903207399449</v>
      </c>
      <c r="I64" s="33">
        <v>28231.124843450649</v>
      </c>
      <c r="J64" s="33">
        <v>28738.243943145677</v>
      </c>
      <c r="K64" s="33">
        <v>29250.669382711112</v>
      </c>
      <c r="L64" s="33">
        <v>29724.110600969016</v>
      </c>
      <c r="M64" s="33">
        <v>30199.478365995074</v>
      </c>
      <c r="N64" s="33">
        <v>30657.437538325918</v>
      </c>
      <c r="O64" s="33">
        <v>31073.209732864056</v>
      </c>
      <c r="P64" s="48"/>
      <c r="Q64" s="48"/>
      <c r="R64" s="48"/>
    </row>
    <row r="65" spans="2:25">
      <c r="B65" s="175"/>
      <c r="D65" s="213" t="s">
        <v>143</v>
      </c>
      <c r="E65" s="33">
        <v>5346</v>
      </c>
      <c r="F65" s="33">
        <v>5495</v>
      </c>
      <c r="G65" s="33">
        <v>5599</v>
      </c>
      <c r="H65" s="33">
        <v>5722</v>
      </c>
      <c r="I65" s="33">
        <v>5845</v>
      </c>
      <c r="J65" s="33">
        <v>5959</v>
      </c>
      <c r="K65" s="33">
        <v>6063</v>
      </c>
      <c r="L65" s="33">
        <v>6152</v>
      </c>
      <c r="M65" s="33">
        <v>6237</v>
      </c>
      <c r="N65" s="33">
        <v>6311</v>
      </c>
      <c r="O65" s="33">
        <v>6383</v>
      </c>
      <c r="P65" s="48"/>
      <c r="Q65" s="48"/>
      <c r="R65" s="48"/>
    </row>
    <row r="66" spans="2:25">
      <c r="B66" s="175"/>
      <c r="D66" s="213" t="s">
        <v>5307</v>
      </c>
      <c r="E66" s="33">
        <v>123</v>
      </c>
      <c r="F66" s="33">
        <v>124</v>
      </c>
      <c r="G66" s="33">
        <v>124</v>
      </c>
      <c r="H66" s="33">
        <v>125</v>
      </c>
      <c r="I66" s="33">
        <v>125</v>
      </c>
      <c r="J66" s="33">
        <v>125</v>
      </c>
      <c r="K66" s="33">
        <v>125</v>
      </c>
      <c r="L66" s="33">
        <v>125</v>
      </c>
      <c r="M66" s="33">
        <v>125</v>
      </c>
      <c r="N66" s="33">
        <v>126</v>
      </c>
      <c r="O66" s="33">
        <v>126</v>
      </c>
      <c r="P66" s="5"/>
      <c r="Q66" s="5"/>
      <c r="R66" s="48"/>
    </row>
    <row r="67" spans="2:25">
      <c r="B67" s="175"/>
      <c r="D67" s="213" t="s">
        <v>4359</v>
      </c>
      <c r="E67" s="32">
        <f>SUM(E62:E66)</f>
        <v>55333.999655905354</v>
      </c>
      <c r="F67" s="32">
        <f t="shared" ref="F67:O67" si="6">SUM(F62:F66)</f>
        <v>56715.743979655977</v>
      </c>
      <c r="G67" s="32">
        <f t="shared" si="6"/>
        <v>57693.751873787798</v>
      </c>
      <c r="H67" s="32">
        <f t="shared" si="6"/>
        <v>58742.755839170597</v>
      </c>
      <c r="I67" s="32">
        <f t="shared" si="6"/>
        <v>59849.316305048866</v>
      </c>
      <c r="J67" s="32">
        <f t="shared" si="6"/>
        <v>60924.855083050512</v>
      </c>
      <c r="K67" s="32">
        <f t="shared" si="6"/>
        <v>61996.296695005658</v>
      </c>
      <c r="L67" s="32">
        <f t="shared" si="6"/>
        <v>62949.35602585283</v>
      </c>
      <c r="M67" s="32">
        <f t="shared" si="6"/>
        <v>63920.353470159462</v>
      </c>
      <c r="N67" s="32">
        <f t="shared" si="6"/>
        <v>64829.851507261337</v>
      </c>
      <c r="O67" s="32">
        <f t="shared" si="6"/>
        <v>65646.287354878208</v>
      </c>
      <c r="P67" s="48"/>
      <c r="Q67" s="48"/>
      <c r="R67" s="48"/>
    </row>
    <row r="68" spans="2:25">
      <c r="B68" s="175"/>
      <c r="D68" s="213" t="s">
        <v>4360</v>
      </c>
      <c r="E68" s="33">
        <v>54005.983664163621</v>
      </c>
      <c r="F68" s="33">
        <v>55354.566124144236</v>
      </c>
      <c r="G68" s="33">
        <v>56309.101828816893</v>
      </c>
      <c r="H68" s="33">
        <v>57332.929699030501</v>
      </c>
      <c r="I68" s="33">
        <v>58412.932713727692</v>
      </c>
      <c r="J68" s="33">
        <v>59462.658561057295</v>
      </c>
      <c r="K68" s="33">
        <v>60508.385574325519</v>
      </c>
      <c r="L68" s="33">
        <v>61438.571481232357</v>
      </c>
      <c r="M68" s="33">
        <v>62386.264986875634</v>
      </c>
      <c r="N68" s="33">
        <v>63273.935071087064</v>
      </c>
      <c r="O68" s="33">
        <v>64070.776458361128</v>
      </c>
      <c r="P68" s="48"/>
      <c r="Q68" s="48"/>
      <c r="R68" s="48"/>
    </row>
    <row r="69" spans="2:25">
      <c r="B69" s="175"/>
      <c r="D69" s="213" t="s">
        <v>5449</v>
      </c>
      <c r="E69" s="33">
        <v>53913.583697870068</v>
      </c>
      <c r="F69" s="33">
        <v>54764.77541013914</v>
      </c>
      <c r="G69" s="33">
        <v>55131.390984017016</v>
      </c>
      <c r="H69" s="33">
        <v>55606.530873793658</v>
      </c>
      <c r="I69" s="33">
        <v>56160.03694823564</v>
      </c>
      <c r="J69" s="33">
        <v>56696.067315274122</v>
      </c>
      <c r="K69" s="33">
        <v>57267.735330211181</v>
      </c>
      <c r="L69" s="33">
        <v>57684.111061772084</v>
      </c>
      <c r="M69" s="33">
        <v>58096.122132923949</v>
      </c>
      <c r="N69" s="33">
        <v>58392.422810469092</v>
      </c>
      <c r="O69" s="33">
        <v>58588.901279243764</v>
      </c>
      <c r="P69" s="48"/>
      <c r="Q69" s="48"/>
      <c r="R69" s="48"/>
    </row>
    <row r="70" spans="2:25">
      <c r="D70" s="213"/>
      <c r="E70" s="32"/>
      <c r="F70" s="32"/>
      <c r="G70" s="32"/>
      <c r="H70" s="32"/>
      <c r="I70" s="32"/>
      <c r="J70" s="32"/>
      <c r="K70" s="32"/>
      <c r="L70" s="32"/>
      <c r="M70" s="32"/>
      <c r="N70" s="32"/>
      <c r="O70" s="32"/>
    </row>
    <row r="71" spans="2:25">
      <c r="E71" s="5"/>
      <c r="F71" s="5"/>
      <c r="G71" s="5"/>
      <c r="H71" s="5"/>
      <c r="I71" s="5"/>
      <c r="J71" s="5"/>
      <c r="K71" s="5"/>
      <c r="L71" s="5"/>
      <c r="M71" s="5"/>
      <c r="N71" s="5"/>
      <c r="O71" s="5"/>
      <c r="P71" s="48"/>
      <c r="Q71" s="48"/>
      <c r="R71" s="48"/>
    </row>
    <row r="72" spans="2:25">
      <c r="B72" s="40" t="s">
        <v>4361</v>
      </c>
      <c r="C72" s="47"/>
      <c r="D72" s="47"/>
      <c r="E72" s="41"/>
      <c r="F72" s="41"/>
      <c r="G72" s="41"/>
      <c r="H72" s="41"/>
      <c r="I72" s="41"/>
      <c r="J72" s="41"/>
      <c r="K72" s="41"/>
      <c r="L72" s="41"/>
      <c r="M72" s="41"/>
      <c r="N72" s="41"/>
      <c r="O72" s="41"/>
      <c r="P72" s="41"/>
      <c r="Q72" s="41"/>
      <c r="R72" s="41"/>
      <c r="S72" s="41"/>
      <c r="T72" s="41"/>
      <c r="U72" s="41"/>
      <c r="V72" s="41"/>
      <c r="W72" s="41"/>
      <c r="X72" s="41"/>
      <c r="Y72" s="41"/>
    </row>
    <row r="73" spans="2:25">
      <c r="B73" s="80" t="s">
        <v>4328</v>
      </c>
      <c r="C73" s="80" t="s">
        <v>7</v>
      </c>
      <c r="D73" s="80"/>
      <c r="E73" s="5"/>
      <c r="F73" s="5"/>
      <c r="G73" s="5"/>
      <c r="H73" s="5"/>
      <c r="I73" s="5"/>
      <c r="J73" s="5"/>
      <c r="K73" s="5"/>
      <c r="L73" s="5"/>
      <c r="M73" s="5"/>
      <c r="N73" s="5"/>
      <c r="O73" s="5"/>
      <c r="P73" s="48"/>
      <c r="Q73" s="48"/>
      <c r="R73" s="48"/>
    </row>
    <row r="74" spans="2:25">
      <c r="D74" s="213" t="s">
        <v>4357</v>
      </c>
      <c r="E74" s="33">
        <v>46615.991714372816</v>
      </c>
      <c r="F74" s="33">
        <v>47139.409373885974</v>
      </c>
      <c r="G74" s="33">
        <v>47594.718049714531</v>
      </c>
      <c r="H74" s="33">
        <v>48123.814176556451</v>
      </c>
      <c r="I74" s="33">
        <v>48569.310656916234</v>
      </c>
      <c r="J74" s="33">
        <v>49104.064940954646</v>
      </c>
      <c r="K74" s="33">
        <v>49642.427883492019</v>
      </c>
      <c r="L74" s="33">
        <v>50168.154944666916</v>
      </c>
      <c r="M74" s="33">
        <v>50671.84915135568</v>
      </c>
      <c r="N74" s="33">
        <v>51093.909844874819</v>
      </c>
      <c r="O74" s="33">
        <v>51511.017015487821</v>
      </c>
      <c r="P74" s="48"/>
      <c r="Q74" s="48"/>
      <c r="R74" s="48"/>
    </row>
    <row r="75" spans="2:25">
      <c r="D75" s="213" t="s">
        <v>4358</v>
      </c>
      <c r="E75" s="33">
        <v>60529.008285627184</v>
      </c>
      <c r="F75" s="33">
        <v>61226.590626114041</v>
      </c>
      <c r="G75" s="33">
        <v>61905.28195028544</v>
      </c>
      <c r="H75" s="33">
        <v>62691.185823443549</v>
      </c>
      <c r="I75" s="33">
        <v>63435.689343083752</v>
      </c>
      <c r="J75" s="33">
        <v>64383.935059045354</v>
      </c>
      <c r="K75" s="33">
        <v>65321.572116507967</v>
      </c>
      <c r="L75" s="33">
        <v>66217.845055333077</v>
      </c>
      <c r="M75" s="33">
        <v>67194.150848644305</v>
      </c>
      <c r="N75" s="33">
        <v>68058.090155125188</v>
      </c>
      <c r="O75" s="33">
        <v>68831.982984512171</v>
      </c>
      <c r="P75" s="48"/>
      <c r="Q75" s="48"/>
      <c r="R75" s="48"/>
    </row>
    <row r="76" spans="2:25">
      <c r="D76" s="213" t="s">
        <v>5</v>
      </c>
      <c r="E76" s="33">
        <v>106355</v>
      </c>
      <c r="F76" s="33">
        <v>107646.99999999999</v>
      </c>
      <c r="G76" s="33">
        <v>108707.00000000001</v>
      </c>
      <c r="H76" s="33">
        <v>109855.99999999999</v>
      </c>
      <c r="I76" s="33">
        <v>110907</v>
      </c>
      <c r="J76" s="33">
        <v>112273.00000000001</v>
      </c>
      <c r="K76" s="33">
        <v>113719</v>
      </c>
      <c r="L76" s="33">
        <v>115186</v>
      </c>
      <c r="M76" s="33">
        <v>116586.00000000001</v>
      </c>
      <c r="N76" s="33">
        <v>117904</v>
      </c>
      <c r="O76" s="33">
        <v>119127.00000000001</v>
      </c>
      <c r="P76" s="48"/>
      <c r="Q76" s="48"/>
      <c r="R76" s="48"/>
    </row>
    <row r="77" spans="2:25">
      <c r="D77" s="213" t="s">
        <v>143</v>
      </c>
      <c r="E77" s="33">
        <v>21528</v>
      </c>
      <c r="F77" s="33">
        <v>21793</v>
      </c>
      <c r="G77" s="33">
        <v>22011</v>
      </c>
      <c r="H77" s="33">
        <v>22344</v>
      </c>
      <c r="I77" s="33">
        <v>22635</v>
      </c>
      <c r="J77" s="33">
        <v>22977</v>
      </c>
      <c r="K77" s="33">
        <v>23264</v>
      </c>
      <c r="L77" s="33">
        <v>23540</v>
      </c>
      <c r="M77" s="33">
        <v>23809</v>
      </c>
      <c r="N77" s="33">
        <v>24041</v>
      </c>
      <c r="O77" s="33">
        <v>24271</v>
      </c>
      <c r="P77" s="48"/>
      <c r="Q77" s="48"/>
      <c r="R77" s="48"/>
    </row>
    <row r="78" spans="2:25">
      <c r="D78" s="213" t="s">
        <v>5307</v>
      </c>
      <c r="E78" s="33">
        <v>10</v>
      </c>
      <c r="F78" s="33">
        <v>10</v>
      </c>
      <c r="G78" s="33">
        <v>10</v>
      </c>
      <c r="H78" s="33">
        <v>10</v>
      </c>
      <c r="I78" s="33">
        <v>10</v>
      </c>
      <c r="J78" s="33">
        <v>10</v>
      </c>
      <c r="K78" s="33">
        <v>10</v>
      </c>
      <c r="L78" s="33">
        <v>10</v>
      </c>
      <c r="M78" s="33">
        <v>10</v>
      </c>
      <c r="N78" s="33">
        <v>10</v>
      </c>
      <c r="O78" s="33">
        <v>10</v>
      </c>
      <c r="P78" s="48"/>
      <c r="Q78" s="48"/>
      <c r="R78" s="48"/>
    </row>
    <row r="79" spans="2:25">
      <c r="D79" s="213" t="s">
        <v>4329</v>
      </c>
      <c r="E79" s="32">
        <f>SUM(E74:E78)</f>
        <v>235038</v>
      </c>
      <c r="F79" s="32">
        <f t="shared" ref="F79:O79" si="7">SUM(F74:F78)</f>
        <v>237816</v>
      </c>
      <c r="G79" s="32">
        <f t="shared" si="7"/>
        <v>240228</v>
      </c>
      <c r="H79" s="32">
        <f t="shared" si="7"/>
        <v>243025</v>
      </c>
      <c r="I79" s="32">
        <f t="shared" si="7"/>
        <v>245557</v>
      </c>
      <c r="J79" s="32">
        <f t="shared" si="7"/>
        <v>248748</v>
      </c>
      <c r="K79" s="32">
        <f t="shared" si="7"/>
        <v>251957</v>
      </c>
      <c r="L79" s="32">
        <f t="shared" si="7"/>
        <v>255122</v>
      </c>
      <c r="M79" s="32">
        <f t="shared" si="7"/>
        <v>258271</v>
      </c>
      <c r="N79" s="32">
        <f t="shared" si="7"/>
        <v>261107</v>
      </c>
      <c r="O79" s="32">
        <f t="shared" si="7"/>
        <v>263751</v>
      </c>
      <c r="Q79" s="48"/>
      <c r="R79" s="48"/>
    </row>
    <row r="80" spans="2:25">
      <c r="D80" s="213" t="s">
        <v>5451</v>
      </c>
      <c r="E80" s="33">
        <v>234434.48169237311</v>
      </c>
      <c r="F80" s="33">
        <v>235656.89210631564</v>
      </c>
      <c r="G80" s="33">
        <v>236497.5537354183</v>
      </c>
      <c r="H80" s="33">
        <v>237688.55325262994</v>
      </c>
      <c r="I80" s="33">
        <v>239260.41310030274</v>
      </c>
      <c r="J80" s="33">
        <v>241233.63299102854</v>
      </c>
      <c r="K80" s="33">
        <v>243302.7623507182</v>
      </c>
      <c r="L80" s="33">
        <v>245374.19046158213</v>
      </c>
      <c r="M80" s="33">
        <v>247387.78895288619</v>
      </c>
      <c r="N80" s="33">
        <v>248921.81664892679</v>
      </c>
      <c r="O80" s="33">
        <v>250295.51912851981</v>
      </c>
    </row>
    <row r="81" spans="2:25">
      <c r="D81" s="213" t="s">
        <v>5452</v>
      </c>
      <c r="E81" s="33">
        <v>234032.34909713228</v>
      </c>
      <c r="F81" s="33">
        <v>234720.08004546841</v>
      </c>
      <c r="G81" s="33">
        <v>234674.6326966722</v>
      </c>
      <c r="H81" s="33">
        <v>235121.73432824481</v>
      </c>
      <c r="I81" s="33">
        <v>235667.50183520053</v>
      </c>
      <c r="J81" s="33">
        <v>236746.64480492051</v>
      </c>
      <c r="K81" s="33">
        <v>238069.17438739352</v>
      </c>
      <c r="L81" s="33">
        <v>239209.11608181376</v>
      </c>
      <c r="M81" s="33">
        <v>240259.08493908565</v>
      </c>
      <c r="N81" s="33">
        <v>240827.61148424679</v>
      </c>
      <c r="O81" s="33">
        <v>241186.23596352979</v>
      </c>
    </row>
    <row r="82" spans="2:25">
      <c r="D82" s="213" t="s">
        <v>5453</v>
      </c>
      <c r="E82" s="33">
        <v>234032.34909713228</v>
      </c>
      <c r="F82" s="33">
        <v>234024.4666362743</v>
      </c>
      <c r="G82" s="33">
        <v>233027.93699633196</v>
      </c>
      <c r="H82" s="33">
        <v>232151.90895180858</v>
      </c>
      <c r="I82" s="33">
        <v>231368.89230857557</v>
      </c>
      <c r="J82" s="33">
        <v>231170.17002552559</v>
      </c>
      <c r="K82" s="33">
        <v>231176.87749982136</v>
      </c>
      <c r="L82" s="33">
        <v>230845.30868813922</v>
      </c>
      <c r="M82" s="33">
        <v>230292.82281633338</v>
      </c>
      <c r="N82" s="33">
        <v>229139.10335826786</v>
      </c>
      <c r="O82" s="33">
        <v>227682.51187244139</v>
      </c>
    </row>
    <row r="83" spans="2:25">
      <c r="D83" s="213"/>
      <c r="E83" s="32"/>
      <c r="F83" s="32"/>
      <c r="G83" s="32"/>
      <c r="H83" s="32"/>
      <c r="I83" s="32"/>
      <c r="J83" s="32"/>
      <c r="K83" s="32"/>
      <c r="L83" s="32"/>
      <c r="M83" s="32"/>
      <c r="N83" s="32"/>
      <c r="O83" s="32"/>
      <c r="Q83" s="48"/>
      <c r="R83" s="48"/>
    </row>
    <row r="84" spans="2:25">
      <c r="B84" s="80" t="s">
        <v>4328</v>
      </c>
      <c r="C84" s="80" t="s">
        <v>1</v>
      </c>
      <c r="D84" s="80"/>
      <c r="E84" s="32"/>
      <c r="F84" s="32"/>
      <c r="G84" s="32"/>
      <c r="H84" s="32"/>
      <c r="I84" s="32"/>
      <c r="J84" s="32"/>
      <c r="K84" s="32"/>
      <c r="L84" s="32"/>
      <c r="M84" s="32"/>
      <c r="N84" s="32"/>
      <c r="O84" s="32"/>
      <c r="Q84" s="48"/>
      <c r="R84" s="48"/>
    </row>
    <row r="85" spans="2:25">
      <c r="D85" s="213" t="s">
        <v>4357</v>
      </c>
      <c r="E85" s="33">
        <v>47175.132234534853</v>
      </c>
      <c r="F85" s="33">
        <v>47974.793173226208</v>
      </c>
      <c r="G85" s="33">
        <v>48732.685588247492</v>
      </c>
      <c r="H85" s="33">
        <v>49567.157542708286</v>
      </c>
      <c r="I85" s="33">
        <v>50386.72581713336</v>
      </c>
      <c r="J85" s="33">
        <v>51278.468762811928</v>
      </c>
      <c r="K85" s="33">
        <v>52157.954960560426</v>
      </c>
      <c r="L85" s="33">
        <v>52929.206931155823</v>
      </c>
      <c r="M85" s="33">
        <v>53691.690828875304</v>
      </c>
      <c r="N85" s="33">
        <v>54388.103390584904</v>
      </c>
      <c r="O85" s="33">
        <v>55071.570637760364</v>
      </c>
      <c r="Q85" s="48"/>
      <c r="R85" s="48"/>
    </row>
    <row r="86" spans="2:25">
      <c r="D86" s="213" t="s">
        <v>4358</v>
      </c>
      <c r="E86" s="33">
        <v>61064.867765465133</v>
      </c>
      <c r="F86" s="33">
        <v>61938.206826773792</v>
      </c>
      <c r="G86" s="33">
        <v>62808.314411752493</v>
      </c>
      <c r="H86" s="33">
        <v>63845.842457291714</v>
      </c>
      <c r="I86" s="33">
        <v>64921.274182866626</v>
      </c>
      <c r="J86" s="33">
        <v>66154.531237188086</v>
      </c>
      <c r="K86" s="33">
        <v>67372.045039439574</v>
      </c>
      <c r="L86" s="33">
        <v>68505.793068844185</v>
      </c>
      <c r="M86" s="33">
        <v>69710.309171124696</v>
      </c>
      <c r="N86" s="33">
        <v>70787.896609415082</v>
      </c>
      <c r="O86" s="33">
        <v>71762.429362239636</v>
      </c>
      <c r="Q86" s="48"/>
      <c r="R86" s="48"/>
    </row>
    <row r="87" spans="2:25">
      <c r="D87" s="213" t="s">
        <v>5</v>
      </c>
      <c r="E87" s="33">
        <v>107655.00000000001</v>
      </c>
      <c r="F87" s="33">
        <v>109419</v>
      </c>
      <c r="G87" s="33">
        <v>111115</v>
      </c>
      <c r="H87" s="33">
        <v>112850.00000000001</v>
      </c>
      <c r="I87" s="33">
        <v>114644</v>
      </c>
      <c r="J87" s="33">
        <v>116675</v>
      </c>
      <c r="K87" s="33">
        <v>118740</v>
      </c>
      <c r="L87" s="33">
        <v>120700</v>
      </c>
      <c r="M87" s="33">
        <v>122659.99999999999</v>
      </c>
      <c r="N87" s="33">
        <v>124537</v>
      </c>
      <c r="O87" s="33">
        <v>126296</v>
      </c>
      <c r="Q87" s="48"/>
      <c r="R87" s="48"/>
    </row>
    <row r="88" spans="2:25">
      <c r="D88" s="213" t="s">
        <v>143</v>
      </c>
      <c r="E88" s="33">
        <v>21813</v>
      </c>
      <c r="F88" s="33">
        <v>22226</v>
      </c>
      <c r="G88" s="33">
        <v>22601</v>
      </c>
      <c r="H88" s="33">
        <v>23059</v>
      </c>
      <c r="I88" s="33">
        <v>23521</v>
      </c>
      <c r="J88" s="33">
        <v>24017</v>
      </c>
      <c r="K88" s="33">
        <v>24469</v>
      </c>
      <c r="L88" s="33">
        <v>24874</v>
      </c>
      <c r="M88" s="33">
        <v>25267</v>
      </c>
      <c r="N88" s="33">
        <v>25621</v>
      </c>
      <c r="O88" s="33">
        <v>25959</v>
      </c>
      <c r="Q88" s="48"/>
      <c r="R88" s="48"/>
    </row>
    <row r="89" spans="2:25">
      <c r="D89" s="213" t="s">
        <v>5307</v>
      </c>
      <c r="E89" s="33">
        <v>10</v>
      </c>
      <c r="F89" s="33">
        <v>10</v>
      </c>
      <c r="G89" s="33">
        <v>10</v>
      </c>
      <c r="H89" s="33">
        <v>10</v>
      </c>
      <c r="I89" s="33">
        <v>10</v>
      </c>
      <c r="J89" s="33">
        <v>10</v>
      </c>
      <c r="K89" s="33">
        <v>10</v>
      </c>
      <c r="L89" s="33">
        <v>10</v>
      </c>
      <c r="M89" s="33">
        <v>10</v>
      </c>
      <c r="N89" s="33">
        <v>10</v>
      </c>
      <c r="O89" s="33">
        <v>10</v>
      </c>
      <c r="P89" s="48"/>
      <c r="Q89" s="48"/>
      <c r="R89" s="48"/>
    </row>
    <row r="90" spans="2:25">
      <c r="D90" s="213" t="s">
        <v>4329</v>
      </c>
      <c r="E90" s="32">
        <f>SUM(E85:E89)</f>
        <v>237718</v>
      </c>
      <c r="F90" s="32">
        <f t="shared" ref="F90:O90" si="8">SUM(F85:F89)</f>
        <v>241568</v>
      </c>
      <c r="G90" s="32">
        <f t="shared" si="8"/>
        <v>245267</v>
      </c>
      <c r="H90" s="32">
        <f t="shared" si="8"/>
        <v>249332</v>
      </c>
      <c r="I90" s="32">
        <f t="shared" si="8"/>
        <v>253483</v>
      </c>
      <c r="J90" s="32">
        <f t="shared" si="8"/>
        <v>258135</v>
      </c>
      <c r="K90" s="32">
        <f t="shared" si="8"/>
        <v>262749</v>
      </c>
      <c r="L90" s="32">
        <f t="shared" si="8"/>
        <v>267019</v>
      </c>
      <c r="M90" s="32">
        <f t="shared" si="8"/>
        <v>271339</v>
      </c>
      <c r="N90" s="32">
        <f t="shared" si="8"/>
        <v>275344</v>
      </c>
      <c r="O90" s="32">
        <f t="shared" si="8"/>
        <v>279099</v>
      </c>
      <c r="Q90" s="48"/>
      <c r="R90" s="48"/>
    </row>
    <row r="91" spans="2:25">
      <c r="D91" s="213" t="s">
        <v>5452</v>
      </c>
      <c r="E91" s="33">
        <v>236712.34909713233</v>
      </c>
      <c r="F91" s="33">
        <v>238472.08004546844</v>
      </c>
      <c r="G91" s="33">
        <v>239713.6326966722</v>
      </c>
      <c r="H91" s="33">
        <v>241428.73432824478</v>
      </c>
      <c r="I91" s="33">
        <v>243593.50183520056</v>
      </c>
      <c r="J91" s="33">
        <v>246133.64480492051</v>
      </c>
      <c r="K91" s="33">
        <v>248861.17438739358</v>
      </c>
      <c r="L91" s="33">
        <v>251106.11608181379</v>
      </c>
      <c r="M91" s="33">
        <v>253327.08493908562</v>
      </c>
      <c r="N91" s="33">
        <v>255064.61148424679</v>
      </c>
      <c r="O91" s="33">
        <v>256534.23596352973</v>
      </c>
    </row>
    <row r="92" spans="2:25">
      <c r="D92" s="213"/>
      <c r="E92" s="32"/>
      <c r="F92" s="32"/>
      <c r="G92" s="32"/>
      <c r="H92" s="32"/>
      <c r="I92" s="32"/>
      <c r="J92" s="32"/>
      <c r="K92" s="32"/>
      <c r="L92" s="32"/>
      <c r="M92" s="32"/>
      <c r="N92" s="32"/>
      <c r="O92" s="32"/>
      <c r="Q92" s="48"/>
      <c r="R92" s="48"/>
    </row>
    <row r="93" spans="2:25">
      <c r="B93" s="40" t="s">
        <v>4362</v>
      </c>
      <c r="C93" s="47"/>
      <c r="D93" s="214"/>
      <c r="E93" s="41"/>
      <c r="F93" s="41"/>
      <c r="G93" s="41"/>
      <c r="H93" s="41"/>
      <c r="I93" s="41"/>
      <c r="J93" s="41"/>
      <c r="K93" s="41"/>
      <c r="L93" s="41"/>
      <c r="M93" s="41"/>
      <c r="N93" s="41"/>
      <c r="O93" s="41"/>
      <c r="P93" s="47"/>
      <c r="Q93" s="215"/>
      <c r="R93" s="215"/>
      <c r="S93" s="47"/>
      <c r="T93" s="47"/>
      <c r="U93" s="47"/>
      <c r="V93" s="47"/>
      <c r="W93" s="47"/>
      <c r="X93" s="47"/>
      <c r="Y93" s="47"/>
    </row>
    <row r="94" spans="2:25">
      <c r="B94" s="80" t="s">
        <v>4374</v>
      </c>
      <c r="C94" s="80" t="s">
        <v>7</v>
      </c>
      <c r="D94" s="80"/>
      <c r="E94" s="32"/>
      <c r="F94" s="32"/>
      <c r="G94" s="32"/>
      <c r="H94" s="32"/>
      <c r="I94" s="32"/>
      <c r="J94" s="32"/>
      <c r="K94" s="32"/>
      <c r="L94" s="32"/>
      <c r="M94" s="32"/>
      <c r="N94" s="32"/>
      <c r="O94" s="32"/>
      <c r="Q94" s="48"/>
    </row>
    <row r="95" spans="2:25">
      <c r="D95" s="213" t="s">
        <v>4691</v>
      </c>
      <c r="E95" s="33">
        <v>267682</v>
      </c>
      <c r="F95" s="33">
        <v>270795</v>
      </c>
      <c r="G95" s="33">
        <v>273493</v>
      </c>
      <c r="H95" s="33">
        <v>276627</v>
      </c>
      <c r="I95" s="33">
        <v>279456</v>
      </c>
      <c r="J95" s="33">
        <v>283107</v>
      </c>
      <c r="K95" s="33">
        <v>286858</v>
      </c>
      <c r="L95" s="33">
        <v>290466</v>
      </c>
      <c r="M95" s="33">
        <v>294119</v>
      </c>
      <c r="N95" s="33">
        <v>297413</v>
      </c>
      <c r="O95" s="33">
        <v>300516</v>
      </c>
      <c r="Q95" s="48"/>
    </row>
    <row r="96" spans="2:25">
      <c r="D96" s="213" t="s">
        <v>4692</v>
      </c>
      <c r="E96" s="33">
        <v>9228</v>
      </c>
      <c r="F96" s="33">
        <v>9223</v>
      </c>
      <c r="G96" s="33">
        <v>9218</v>
      </c>
      <c r="H96" s="33">
        <v>9227</v>
      </c>
      <c r="I96" s="33">
        <v>9233</v>
      </c>
      <c r="J96" s="33">
        <v>9239</v>
      </c>
      <c r="K96" s="33">
        <v>9244</v>
      </c>
      <c r="L96" s="33">
        <v>9252</v>
      </c>
      <c r="M96" s="33">
        <v>9259</v>
      </c>
      <c r="N96" s="33">
        <v>9265</v>
      </c>
      <c r="O96" s="33">
        <v>9272</v>
      </c>
      <c r="Q96" s="48"/>
    </row>
    <row r="97" spans="2:25">
      <c r="E97" s="5"/>
      <c r="F97" s="5"/>
      <c r="G97" s="5"/>
      <c r="H97" s="5"/>
      <c r="I97" s="5"/>
      <c r="J97" s="5"/>
      <c r="L97" s="48"/>
      <c r="Q97" s="48"/>
    </row>
    <row r="98" spans="2:25">
      <c r="B98" s="80" t="s">
        <v>4374</v>
      </c>
      <c r="C98" s="80" t="s">
        <v>1</v>
      </c>
      <c r="D98" s="80"/>
      <c r="E98" s="5"/>
      <c r="F98" s="5"/>
      <c r="G98" s="5"/>
      <c r="H98" s="5"/>
      <c r="I98" s="5"/>
      <c r="J98" s="5"/>
      <c r="L98" s="48"/>
      <c r="Q98" s="48"/>
    </row>
    <row r="99" spans="2:25">
      <c r="D99" s="213" t="s">
        <v>4691</v>
      </c>
      <c r="E99" s="33">
        <v>270814</v>
      </c>
      <c r="F99" s="33">
        <v>275113</v>
      </c>
      <c r="G99" s="33">
        <v>279272</v>
      </c>
      <c r="H99" s="33">
        <v>283834</v>
      </c>
      <c r="I99" s="33">
        <v>288472</v>
      </c>
      <c r="J99" s="33">
        <v>293755</v>
      </c>
      <c r="K99" s="33">
        <v>299030</v>
      </c>
      <c r="L99" s="33">
        <v>303855</v>
      </c>
      <c r="M99" s="33">
        <v>308824</v>
      </c>
      <c r="N99" s="33">
        <v>313428</v>
      </c>
      <c r="O99" s="33">
        <v>317781</v>
      </c>
      <c r="Q99" s="48"/>
    </row>
    <row r="100" spans="2:25">
      <c r="D100" s="213" t="s">
        <v>4692</v>
      </c>
      <c r="E100" s="33">
        <v>9229</v>
      </c>
      <c r="F100" s="33">
        <v>9223</v>
      </c>
      <c r="G100" s="33">
        <v>9218</v>
      </c>
      <c r="H100" s="33">
        <v>9227</v>
      </c>
      <c r="I100" s="33">
        <v>9233</v>
      </c>
      <c r="J100" s="33">
        <v>9239</v>
      </c>
      <c r="K100" s="33">
        <v>9245</v>
      </c>
      <c r="L100" s="33">
        <v>9252</v>
      </c>
      <c r="M100" s="33">
        <v>9259</v>
      </c>
      <c r="N100" s="33">
        <v>9265</v>
      </c>
      <c r="O100" s="33">
        <v>9272</v>
      </c>
      <c r="Q100" s="48"/>
    </row>
    <row r="101" spans="2:25">
      <c r="E101" s="5"/>
      <c r="F101" s="5"/>
      <c r="G101" s="5"/>
      <c r="H101" s="5"/>
      <c r="I101" s="5"/>
      <c r="J101" s="5"/>
      <c r="L101" s="48"/>
      <c r="Q101" s="48"/>
    </row>
    <row r="102" spans="2:25">
      <c r="E102" s="5"/>
      <c r="F102" s="5"/>
      <c r="G102" s="5"/>
      <c r="H102" s="5"/>
      <c r="I102" s="5"/>
      <c r="J102" s="5"/>
      <c r="L102" s="48"/>
      <c r="Q102" s="48"/>
    </row>
    <row r="103" spans="2:25">
      <c r="B103" s="42" t="s">
        <v>5280</v>
      </c>
      <c r="C103" s="49"/>
      <c r="D103" s="49"/>
      <c r="E103" s="44"/>
      <c r="F103" s="44"/>
      <c r="G103" s="44"/>
      <c r="H103" s="44"/>
      <c r="I103" s="44"/>
      <c r="J103" s="44"/>
      <c r="K103" s="45"/>
      <c r="L103" s="45"/>
      <c r="M103" s="45"/>
      <c r="N103" s="45"/>
      <c r="O103" s="45"/>
      <c r="P103" s="45"/>
      <c r="Q103" s="45"/>
      <c r="R103" s="45"/>
      <c r="S103" s="45"/>
      <c r="T103" s="45"/>
      <c r="U103" s="45"/>
      <c r="V103" s="45"/>
      <c r="W103" s="45"/>
      <c r="X103" s="45"/>
      <c r="Y103" s="45"/>
    </row>
    <row r="104" spans="2:25">
      <c r="E104" s="32"/>
      <c r="F104" s="32"/>
      <c r="G104" s="32"/>
      <c r="H104" s="32"/>
      <c r="I104" s="32"/>
      <c r="J104" s="32"/>
      <c r="K104" s="32"/>
      <c r="L104" s="32"/>
      <c r="M104" s="32"/>
      <c r="N104" s="32"/>
      <c r="O104" s="32"/>
      <c r="S104" s="5"/>
      <c r="T104" s="5"/>
    </row>
    <row r="105" spans="2:25">
      <c r="C105" s="13" t="s">
        <v>4366</v>
      </c>
      <c r="E105" s="32"/>
      <c r="F105" s="32"/>
      <c r="G105" s="32"/>
      <c r="H105" s="32"/>
      <c r="I105" s="32"/>
      <c r="J105" s="32"/>
      <c r="K105" s="32"/>
      <c r="L105" s="32"/>
      <c r="M105" s="32"/>
      <c r="N105" s="32"/>
      <c r="O105" s="32"/>
      <c r="S105" s="5"/>
      <c r="T105" s="5"/>
    </row>
    <row r="106" spans="2:25">
      <c r="D106" s="213" t="s">
        <v>5476</v>
      </c>
      <c r="E106" s="33">
        <v>227.55686356623733</v>
      </c>
      <c r="F106" s="33">
        <v>787.26253014388317</v>
      </c>
      <c r="G106" s="33">
        <v>1350.6773669903259</v>
      </c>
      <c r="H106" s="33">
        <v>1934.7787157556641</v>
      </c>
      <c r="I106" s="33">
        <v>2314.6401109855801</v>
      </c>
      <c r="J106" s="33">
        <v>2829.3472408774301</v>
      </c>
      <c r="K106" s="33">
        <v>3293.6512661966449</v>
      </c>
      <c r="L106" s="33">
        <v>3738.3091127729772</v>
      </c>
      <c r="M106" s="33">
        <v>4213.4542719149122</v>
      </c>
      <c r="N106" s="33">
        <v>4752.9378067903426</v>
      </c>
      <c r="O106" s="33">
        <v>5274.3126249614816</v>
      </c>
      <c r="S106" s="5"/>
      <c r="T106" s="5"/>
    </row>
    <row r="107" spans="2:25">
      <c r="D107" s="213" t="s">
        <v>5477</v>
      </c>
      <c r="E107" s="33">
        <v>299.96229675328857</v>
      </c>
      <c r="F107" s="33">
        <v>1021.0969971589152</v>
      </c>
      <c r="G107" s="33">
        <v>1753.2409690231657</v>
      </c>
      <c r="H107" s="33">
        <v>2492.4056981617568</v>
      </c>
      <c r="I107" s="33">
        <v>2911.5612626898969</v>
      </c>
      <c r="J107" s="33">
        <v>3394.3904315380164</v>
      </c>
      <c r="K107" s="33">
        <v>3857.8515658400088</v>
      </c>
      <c r="L107" s="33">
        <v>4300.6350996887541</v>
      </c>
      <c r="M107" s="33">
        <v>4741.7127366321101</v>
      </c>
      <c r="N107" s="33">
        <v>5258.3251175611085</v>
      </c>
      <c r="O107" s="33">
        <v>5769.5248207375844</v>
      </c>
      <c r="S107" s="5"/>
      <c r="T107" s="5"/>
    </row>
    <row r="108" spans="2:25">
      <c r="D108" s="213" t="s">
        <v>5478</v>
      </c>
      <c r="E108" s="33">
        <v>31.521385961111953</v>
      </c>
      <c r="F108" s="33">
        <v>192.11557351850306</v>
      </c>
      <c r="G108" s="33">
        <v>352.6403169703384</v>
      </c>
      <c r="H108" s="33">
        <v>517.35922052955232</v>
      </c>
      <c r="I108" s="33">
        <v>607.14717481018511</v>
      </c>
      <c r="J108" s="33">
        <v>736.01032037279924</v>
      </c>
      <c r="K108" s="33">
        <v>863.02212084518465</v>
      </c>
      <c r="L108" s="33">
        <v>987.52868087693128</v>
      </c>
      <c r="M108" s="33">
        <v>1121.5948850237967</v>
      </c>
      <c r="N108" s="33">
        <v>1270.0273501500949</v>
      </c>
      <c r="O108" s="33">
        <v>1412.8132654540177</v>
      </c>
      <c r="S108" s="5"/>
      <c r="T108" s="5"/>
    </row>
    <row r="109" spans="2:25">
      <c r="D109" s="213" t="s">
        <v>5479</v>
      </c>
      <c r="E109" s="5">
        <f>SUM(E106:E108)</f>
        <v>559.04054628063784</v>
      </c>
      <c r="F109" s="5">
        <f t="shared" ref="F109:O109" si="9">SUM(F106:F108)</f>
        <v>2000.4751008213013</v>
      </c>
      <c r="G109" s="5">
        <f t="shared" si="9"/>
        <v>3456.5586529838301</v>
      </c>
      <c r="H109" s="5">
        <f t="shared" si="9"/>
        <v>4944.5436344469736</v>
      </c>
      <c r="I109" s="5">
        <f t="shared" si="9"/>
        <v>5833.3485484856619</v>
      </c>
      <c r="J109" s="5">
        <f t="shared" si="9"/>
        <v>6959.7479927882459</v>
      </c>
      <c r="K109" s="5">
        <f t="shared" si="9"/>
        <v>8014.5249528818385</v>
      </c>
      <c r="L109" s="5">
        <f t="shared" si="9"/>
        <v>9026.4728933386614</v>
      </c>
      <c r="M109" s="5">
        <f t="shared" si="9"/>
        <v>10076.761893570818</v>
      </c>
      <c r="N109" s="5">
        <f t="shared" si="9"/>
        <v>11281.290274501545</v>
      </c>
      <c r="O109" s="5">
        <f t="shared" si="9"/>
        <v>12456.650711153085</v>
      </c>
      <c r="S109" s="5"/>
      <c r="T109" s="5"/>
    </row>
    <row r="110" spans="2:25">
      <c r="D110" s="213" t="s">
        <v>5480</v>
      </c>
      <c r="E110" s="33">
        <v>249.40232246859614</v>
      </c>
      <c r="F110" s="33">
        <v>862.83973303769596</v>
      </c>
      <c r="G110" s="33">
        <v>1480.3423942213974</v>
      </c>
      <c r="H110" s="33">
        <v>2120.5174724682079</v>
      </c>
      <c r="I110" s="33">
        <v>2536.8455616401961</v>
      </c>
      <c r="J110" s="33">
        <v>3100.9645760016638</v>
      </c>
      <c r="K110" s="33">
        <v>3609.841787751523</v>
      </c>
      <c r="L110" s="33">
        <v>4097.1867875991829</v>
      </c>
      <c r="M110" s="33">
        <v>4617.9458820187438</v>
      </c>
      <c r="N110" s="33">
        <v>5209.2198362422159</v>
      </c>
      <c r="O110" s="33">
        <v>5780.6466369577838</v>
      </c>
      <c r="S110" s="5"/>
      <c r="T110" s="5"/>
    </row>
    <row r="111" spans="2:25">
      <c r="D111" s="213" t="s">
        <v>5481</v>
      </c>
      <c r="E111" s="33">
        <v>320.3597329325122</v>
      </c>
      <c r="F111" s="33">
        <v>1090.5315929657215</v>
      </c>
      <c r="G111" s="33">
        <v>1872.4613549167411</v>
      </c>
      <c r="H111" s="33">
        <v>2661.8892856367565</v>
      </c>
      <c r="I111" s="33">
        <v>3109.5474285528103</v>
      </c>
      <c r="J111" s="33">
        <v>3625.2089808826017</v>
      </c>
      <c r="K111" s="33">
        <v>4120.18547231713</v>
      </c>
      <c r="L111" s="33">
        <v>4593.0782864675894</v>
      </c>
      <c r="M111" s="33">
        <v>5064.1492027230943</v>
      </c>
      <c r="N111" s="33">
        <v>5615.8912255552641</v>
      </c>
      <c r="O111" s="33">
        <v>6161.8525085477404</v>
      </c>
      <c r="S111" s="5"/>
      <c r="T111" s="5"/>
    </row>
    <row r="112" spans="2:25">
      <c r="D112" s="213" t="s">
        <v>5482</v>
      </c>
      <c r="E112" s="33">
        <v>33.756252225754793</v>
      </c>
      <c r="F112" s="33">
        <v>205.73656768096492</v>
      </c>
      <c r="G112" s="33">
        <v>377.64251544353539</v>
      </c>
      <c r="H112" s="33">
        <v>554.03998926509757</v>
      </c>
      <c r="I112" s="33">
        <v>650.19390950422724</v>
      </c>
      <c r="J112" s="33">
        <v>788.19345208723064</v>
      </c>
      <c r="K112" s="33">
        <v>924.21038921310821</v>
      </c>
      <c r="L112" s="33">
        <v>1057.5444643511057</v>
      </c>
      <c r="M112" s="33">
        <v>1201.1159623719839</v>
      </c>
      <c r="N112" s="33">
        <v>1360.0722892757365</v>
      </c>
      <c r="O112" s="33">
        <v>1512.9817259747076</v>
      </c>
      <c r="S112" s="5"/>
      <c r="T112" s="5"/>
    </row>
    <row r="113" spans="3:20">
      <c r="D113" s="213" t="s">
        <v>5483</v>
      </c>
      <c r="E113" s="32">
        <f>SUM(E110:E112)</f>
        <v>603.51830762686313</v>
      </c>
      <c r="F113" s="32">
        <f t="shared" ref="F113:O113" si="10">SUM(F110:F112)</f>
        <v>2159.1078936843824</v>
      </c>
      <c r="G113" s="32">
        <f t="shared" si="10"/>
        <v>3730.4462645816739</v>
      </c>
      <c r="H113" s="32">
        <f t="shared" si="10"/>
        <v>5336.4467473700615</v>
      </c>
      <c r="I113" s="32">
        <f t="shared" si="10"/>
        <v>6296.5868996972331</v>
      </c>
      <c r="J113" s="32">
        <f t="shared" si="10"/>
        <v>7514.367008971496</v>
      </c>
      <c r="K113" s="32">
        <f t="shared" si="10"/>
        <v>8654.2376492817621</v>
      </c>
      <c r="L113" s="32">
        <f t="shared" si="10"/>
        <v>9747.8095384178778</v>
      </c>
      <c r="M113" s="32">
        <f t="shared" si="10"/>
        <v>10883.211047113822</v>
      </c>
      <c r="N113" s="32">
        <f t="shared" si="10"/>
        <v>12185.183351073218</v>
      </c>
      <c r="O113" s="32">
        <f t="shared" si="10"/>
        <v>13455.480871480231</v>
      </c>
      <c r="S113" s="5"/>
      <c r="T113" s="5"/>
    </row>
    <row r="114" spans="3:20">
      <c r="E114" s="862"/>
      <c r="F114" s="862"/>
      <c r="G114" s="862"/>
      <c r="H114" s="862"/>
      <c r="I114" s="862"/>
      <c r="J114" s="862"/>
      <c r="K114" s="862"/>
      <c r="L114" s="862"/>
      <c r="M114" s="862"/>
      <c r="N114" s="862"/>
      <c r="O114" s="862"/>
      <c r="Q114" s="50"/>
    </row>
    <row r="115" spans="3:20">
      <c r="C115" s="13" t="s">
        <v>5397</v>
      </c>
      <c r="E115" s="32"/>
      <c r="F115" s="32"/>
      <c r="G115" s="32"/>
      <c r="H115" s="32"/>
      <c r="I115" s="32"/>
      <c r="J115" s="32"/>
      <c r="K115" s="32"/>
      <c r="L115" s="32"/>
      <c r="M115" s="32"/>
      <c r="N115" s="32"/>
      <c r="O115" s="32"/>
      <c r="Q115" s="50"/>
    </row>
    <row r="116" spans="3:20">
      <c r="D116" s="213" t="s">
        <v>5476</v>
      </c>
      <c r="E116" s="33">
        <v>391.79860509236852</v>
      </c>
      <c r="F116" s="33">
        <v>1162.7155617692531</v>
      </c>
      <c r="G116" s="33">
        <v>2080.5517328452538</v>
      </c>
      <c r="H116" s="33">
        <v>2970.9202989172968</v>
      </c>
      <c r="I116" s="33">
        <v>3772.2963320788717</v>
      </c>
      <c r="J116" s="33">
        <v>4652.5073883942523</v>
      </c>
      <c r="K116" s="33">
        <v>5434.2098399527931</v>
      </c>
      <c r="L116" s="33">
        <v>6268.0843007485892</v>
      </c>
      <c r="M116" s="33">
        <v>7146.762619078595</v>
      </c>
      <c r="N116" s="33">
        <v>8090.5166230714376</v>
      </c>
      <c r="O116" s="33">
        <v>9033.805508498217</v>
      </c>
      <c r="Q116" s="50"/>
    </row>
    <row r="117" spans="3:20">
      <c r="D117" s="213" t="s">
        <v>5477</v>
      </c>
      <c r="E117" s="33">
        <v>469.40485340057637</v>
      </c>
      <c r="F117" s="33">
        <v>1415.257673275926</v>
      </c>
      <c r="G117" s="33">
        <v>2522.627338423415</v>
      </c>
      <c r="H117" s="33">
        <v>3571.9309483141624</v>
      </c>
      <c r="I117" s="33">
        <v>4422.2403045918318</v>
      </c>
      <c r="J117" s="33">
        <v>5283.3132475497478</v>
      </c>
      <c r="K117" s="33">
        <v>6057.7793811194024</v>
      </c>
      <c r="L117" s="33">
        <v>6888.2779390750238</v>
      </c>
      <c r="M117" s="33">
        <v>7729.4026447133547</v>
      </c>
      <c r="N117" s="33">
        <v>8649.6051510439775</v>
      </c>
      <c r="O117" s="33">
        <v>9586.8669650300508</v>
      </c>
      <c r="Q117" s="50"/>
    </row>
    <row r="118" spans="3:20">
      <c r="D118" s="213" t="s">
        <v>5478</v>
      </c>
      <c r="E118" s="33">
        <v>69.955409706460614</v>
      </c>
      <c r="F118" s="33">
        <v>289.55878585656393</v>
      </c>
      <c r="G118" s="33">
        <v>540.58885674963039</v>
      </c>
      <c r="H118" s="33">
        <v>777.21054378777421</v>
      </c>
      <c r="I118" s="33">
        <v>963.77695353153831</v>
      </c>
      <c r="J118" s="33">
        <v>1176.2335876517575</v>
      </c>
      <c r="K118" s="33">
        <v>1365.4153039337759</v>
      </c>
      <c r="L118" s="33">
        <v>1574.7340420521405</v>
      </c>
      <c r="M118" s="33">
        <v>1796.6768193578894</v>
      </c>
      <c r="N118" s="33">
        <v>2030.445415586827</v>
      </c>
      <c r="O118" s="33">
        <v>2264.3937627267692</v>
      </c>
      <c r="Q118" s="50"/>
    </row>
    <row r="119" spans="3:20">
      <c r="D119" s="213" t="s">
        <v>5479</v>
      </c>
      <c r="E119" s="5">
        <f>SUM(E116:E118)</f>
        <v>931.15886819940556</v>
      </c>
      <c r="F119" s="5">
        <f t="shared" ref="F119:O119" si="11">SUM(F116:F118)</f>
        <v>2867.5320209017432</v>
      </c>
      <c r="G119" s="5">
        <f t="shared" si="11"/>
        <v>5143.7679280182992</v>
      </c>
      <c r="H119" s="5">
        <f t="shared" si="11"/>
        <v>7320.0617910192341</v>
      </c>
      <c r="I119" s="5">
        <f t="shared" si="11"/>
        <v>9158.3135902022423</v>
      </c>
      <c r="J119" s="5">
        <f t="shared" si="11"/>
        <v>11112.054223595758</v>
      </c>
      <c r="K119" s="5">
        <f t="shared" si="11"/>
        <v>12857.404525005972</v>
      </c>
      <c r="L119" s="5">
        <f t="shared" si="11"/>
        <v>14731.096281875754</v>
      </c>
      <c r="M119" s="5">
        <f t="shared" si="11"/>
        <v>16672.842083149841</v>
      </c>
      <c r="N119" s="5">
        <f t="shared" si="11"/>
        <v>18770.56718970224</v>
      </c>
      <c r="O119" s="5">
        <f t="shared" si="11"/>
        <v>20885.066236255039</v>
      </c>
      <c r="Q119" s="50"/>
    </row>
    <row r="120" spans="3:20">
      <c r="D120" s="213" t="s">
        <v>5480</v>
      </c>
      <c r="E120" s="33">
        <v>429.41127118123592</v>
      </c>
      <c r="F120" s="33">
        <v>1274.3362556991015</v>
      </c>
      <c r="G120" s="33">
        <v>2280.2846991983984</v>
      </c>
      <c r="H120" s="33">
        <v>3256.1286476133578</v>
      </c>
      <c r="I120" s="33">
        <v>4134.4367799584434</v>
      </c>
      <c r="J120" s="33">
        <v>5099.1480976801013</v>
      </c>
      <c r="K120" s="33">
        <v>5955.8939845882614</v>
      </c>
      <c r="L120" s="33">
        <v>6869.8203936204545</v>
      </c>
      <c r="M120" s="33">
        <v>7832.8518305101406</v>
      </c>
      <c r="N120" s="33">
        <v>8867.2062188862965</v>
      </c>
      <c r="O120" s="33">
        <v>9901.0508373140474</v>
      </c>
      <c r="Q120" s="50"/>
    </row>
    <row r="121" spans="3:20">
      <c r="D121" s="213" t="s">
        <v>5481</v>
      </c>
      <c r="E121" s="33">
        <v>501.32438343181559</v>
      </c>
      <c r="F121" s="33">
        <v>1511.495195058689</v>
      </c>
      <c r="G121" s="33">
        <v>2694.1659974362074</v>
      </c>
      <c r="H121" s="33">
        <v>3814.8222527995258</v>
      </c>
      <c r="I121" s="33">
        <v>4722.9526453040762</v>
      </c>
      <c r="J121" s="33">
        <v>5642.5785483831305</v>
      </c>
      <c r="K121" s="33">
        <v>6469.7083790355218</v>
      </c>
      <c r="L121" s="33">
        <v>7356.6808389321259</v>
      </c>
      <c r="M121" s="33">
        <v>8255.0020245538635</v>
      </c>
      <c r="N121" s="33">
        <v>9237.7783013149692</v>
      </c>
      <c r="O121" s="33">
        <v>10238.773918652094</v>
      </c>
      <c r="Q121" s="50"/>
    </row>
    <row r="122" spans="3:20">
      <c r="D122" s="213" t="s">
        <v>5482</v>
      </c>
      <c r="E122" s="33">
        <v>74.915248254648674</v>
      </c>
      <c r="F122" s="33">
        <v>310.08850377379429</v>
      </c>
      <c r="G122" s="33">
        <v>578.91660669317912</v>
      </c>
      <c r="H122" s="33">
        <v>832.31477134232739</v>
      </c>
      <c r="I122" s="33">
        <v>1032.1087395369243</v>
      </c>
      <c r="J122" s="33">
        <v>1259.628549016267</v>
      </c>
      <c r="K122" s="33">
        <v>1462.2232489826806</v>
      </c>
      <c r="L122" s="33">
        <v>1686.3826856336373</v>
      </c>
      <c r="M122" s="33">
        <v>1924.0612058503636</v>
      </c>
      <c r="N122" s="33">
        <v>2174.4039955519329</v>
      </c>
      <c r="O122" s="33">
        <v>2424.939280504097</v>
      </c>
      <c r="Q122" s="50"/>
    </row>
    <row r="123" spans="3:20">
      <c r="D123" s="213" t="s">
        <v>5483</v>
      </c>
      <c r="E123" s="5">
        <f>SUM(E120:E122)</f>
        <v>1005.6509028677002</v>
      </c>
      <c r="F123" s="5">
        <f t="shared" ref="F123:O123" si="12">SUM(F120:F122)</f>
        <v>3095.9199545315851</v>
      </c>
      <c r="G123" s="5">
        <f t="shared" si="12"/>
        <v>5553.3673033277846</v>
      </c>
      <c r="H123" s="5">
        <f t="shared" si="12"/>
        <v>7903.2656717552109</v>
      </c>
      <c r="I123" s="5">
        <f t="shared" si="12"/>
        <v>9889.4981647994446</v>
      </c>
      <c r="J123" s="5">
        <f t="shared" si="12"/>
        <v>12001.355195079497</v>
      </c>
      <c r="K123" s="5">
        <f t="shared" si="12"/>
        <v>13887.825612606464</v>
      </c>
      <c r="L123" s="5">
        <f t="shared" si="12"/>
        <v>15912.883918186217</v>
      </c>
      <c r="M123" s="5">
        <f t="shared" si="12"/>
        <v>18011.915060914369</v>
      </c>
      <c r="N123" s="5">
        <f t="shared" si="12"/>
        <v>20279.388515753199</v>
      </c>
      <c r="O123" s="5">
        <f t="shared" si="12"/>
        <v>22564.764036470238</v>
      </c>
      <c r="Q123" s="50"/>
    </row>
    <row r="124" spans="3:20">
      <c r="E124" s="32"/>
      <c r="F124" s="32"/>
      <c r="G124" s="32"/>
      <c r="H124" s="32"/>
      <c r="I124" s="32"/>
      <c r="J124" s="32"/>
      <c r="K124" s="32"/>
      <c r="L124" s="32"/>
      <c r="M124" s="32"/>
      <c r="N124" s="32"/>
      <c r="O124" s="32"/>
      <c r="Q124" s="50"/>
    </row>
    <row r="125" spans="3:20">
      <c r="C125" s="13" t="s">
        <v>5306</v>
      </c>
      <c r="E125" s="32"/>
      <c r="F125" s="32"/>
      <c r="G125" s="32"/>
      <c r="H125" s="32"/>
      <c r="I125" s="32"/>
      <c r="J125" s="32"/>
      <c r="K125" s="32"/>
      <c r="L125" s="32"/>
      <c r="M125" s="32"/>
      <c r="N125" s="32"/>
      <c r="O125" s="32"/>
      <c r="Q125" s="50"/>
    </row>
    <row r="126" spans="3:20">
      <c r="D126" s="213" t="s">
        <v>5476</v>
      </c>
      <c r="E126" s="33">
        <v>391.79860509236738</v>
      </c>
      <c r="F126" s="33">
        <v>1494.1825714946453</v>
      </c>
      <c r="G126" s="33">
        <v>2843.9337618134541</v>
      </c>
      <c r="H126" s="33">
        <v>4315.622551140118</v>
      </c>
      <c r="I126" s="33">
        <v>5660.0941472148306</v>
      </c>
      <c r="J126" s="33">
        <v>7039.5923838049739</v>
      </c>
      <c r="K126" s="33">
        <v>8357.7259871428505</v>
      </c>
      <c r="L126" s="33">
        <v>9779.0271507534198</v>
      </c>
      <c r="M126" s="33">
        <v>11289.604130440646</v>
      </c>
      <c r="N126" s="33">
        <v>12907.872080441841</v>
      </c>
      <c r="O126" s="33">
        <v>14569.924449598986</v>
      </c>
      <c r="Q126" s="50"/>
    </row>
    <row r="127" spans="3:20">
      <c r="D127" s="213" t="s">
        <v>5477</v>
      </c>
      <c r="E127" s="33">
        <v>469.40485340057762</v>
      </c>
      <c r="F127" s="33">
        <v>1671.4716783417568</v>
      </c>
      <c r="G127" s="33">
        <v>3148.6816009100789</v>
      </c>
      <c r="H127" s="33">
        <v>4725.7575116270109</v>
      </c>
      <c r="I127" s="33">
        <v>6140.6789752480618</v>
      </c>
      <c r="J127" s="33">
        <v>7562.6369348218186</v>
      </c>
      <c r="K127" s="33">
        <v>8898.6536836900741</v>
      </c>
      <c r="L127" s="33">
        <v>10365.019514220574</v>
      </c>
      <c r="M127" s="33">
        <v>11902.12030798349</v>
      </c>
      <c r="N127" s="33">
        <v>13575.253430171282</v>
      </c>
      <c r="O127" s="33">
        <v>15298.923213419686</v>
      </c>
      <c r="Q127" s="50"/>
    </row>
    <row r="128" spans="3:20">
      <c r="D128" s="213" t="s">
        <v>5478</v>
      </c>
      <c r="E128" s="33">
        <v>69.955409706460557</v>
      </c>
      <c r="F128" s="33">
        <v>344.36223073918097</v>
      </c>
      <c r="G128" s="33">
        <v>672.63017177003576</v>
      </c>
      <c r="H128" s="33">
        <v>1023.4939861090809</v>
      </c>
      <c r="I128" s="33">
        <v>1331.9631716425847</v>
      </c>
      <c r="J128" s="33">
        <v>1667.326991721417</v>
      </c>
      <c r="K128" s="33">
        <v>1976.1814213176108</v>
      </c>
      <c r="L128" s="33">
        <v>2324.2475613478905</v>
      </c>
      <c r="M128" s="33">
        <v>2701.7523277404916</v>
      </c>
      <c r="N128" s="33">
        <v>3102.5288805163623</v>
      </c>
      <c r="O128" s="33">
        <v>3511.6266120701216</v>
      </c>
      <c r="Q128" s="50"/>
    </row>
    <row r="129" spans="2:26">
      <c r="D129" s="213" t="s">
        <v>5479</v>
      </c>
      <c r="E129" s="5">
        <f>SUM(E126:E128)</f>
        <v>931.15886819940556</v>
      </c>
      <c r="F129" s="5">
        <f t="shared" ref="F129:O129" si="13">SUM(F126:F128)</f>
        <v>3510.0164805755835</v>
      </c>
      <c r="G129" s="5">
        <f t="shared" si="13"/>
        <v>6665.2455344935679</v>
      </c>
      <c r="H129" s="5">
        <f t="shared" si="13"/>
        <v>10064.874048876211</v>
      </c>
      <c r="I129" s="5">
        <f t="shared" si="13"/>
        <v>13132.736294105476</v>
      </c>
      <c r="J129" s="5">
        <f t="shared" si="13"/>
        <v>16269.556310348209</v>
      </c>
      <c r="K129" s="5">
        <f t="shared" si="13"/>
        <v>19232.561092150536</v>
      </c>
      <c r="L129" s="5">
        <f t="shared" si="13"/>
        <v>22468.294226321883</v>
      </c>
      <c r="M129" s="5">
        <f t="shared" si="13"/>
        <v>25893.476766164626</v>
      </c>
      <c r="N129" s="5">
        <f t="shared" si="13"/>
        <v>29585.654391129483</v>
      </c>
      <c r="O129" s="5">
        <f t="shared" si="13"/>
        <v>33380.474275088789</v>
      </c>
      <c r="Q129" s="50"/>
    </row>
    <row r="130" spans="2:26">
      <c r="D130" s="213" t="s">
        <v>5480</v>
      </c>
      <c r="E130" s="33">
        <v>429.41127118123467</v>
      </c>
      <c r="F130" s="33">
        <v>1637.6240983581315</v>
      </c>
      <c r="G130" s="33">
        <v>3116.9514029475458</v>
      </c>
      <c r="H130" s="33">
        <v>4729.9223160495694</v>
      </c>
      <c r="I130" s="33">
        <v>6203.4631853474548</v>
      </c>
      <c r="J130" s="33">
        <v>7715.3932526502522</v>
      </c>
      <c r="K130" s="33">
        <v>9160.0676819085656</v>
      </c>
      <c r="L130" s="33">
        <v>10717.813757225749</v>
      </c>
      <c r="M130" s="33">
        <v>12373.406126962949</v>
      </c>
      <c r="N130" s="33">
        <v>14147.027800164258</v>
      </c>
      <c r="O130" s="33">
        <v>15968.63719676049</v>
      </c>
      <c r="Q130" s="50"/>
    </row>
    <row r="131" spans="2:26">
      <c r="D131" s="213" t="s">
        <v>5481</v>
      </c>
      <c r="E131" s="33">
        <v>501.32438343181695</v>
      </c>
      <c r="F131" s="33">
        <v>1785.1317524689964</v>
      </c>
      <c r="G131" s="33">
        <v>3362.7919497719645</v>
      </c>
      <c r="H131" s="33">
        <v>5047.1090224176478</v>
      </c>
      <c r="I131" s="33">
        <v>6558.2451455649307</v>
      </c>
      <c r="J131" s="33">
        <v>8076.8962463897024</v>
      </c>
      <c r="K131" s="33">
        <v>9503.7621341809991</v>
      </c>
      <c r="L131" s="33">
        <v>11069.840841187573</v>
      </c>
      <c r="M131" s="33">
        <v>12711.464488926369</v>
      </c>
      <c r="N131" s="33">
        <v>14498.370663422929</v>
      </c>
      <c r="O131" s="33">
        <v>16339.249991932225</v>
      </c>
      <c r="Q131" s="50"/>
    </row>
    <row r="132" spans="2:26">
      <c r="D132" s="213" t="s">
        <v>5482</v>
      </c>
      <c r="E132" s="33">
        <v>74.915248254648603</v>
      </c>
      <c r="F132" s="33">
        <v>368.7775128985889</v>
      </c>
      <c r="G132" s="33">
        <v>720.31965094853126</v>
      </c>
      <c r="H132" s="33">
        <v>1096.0597097242146</v>
      </c>
      <c r="I132" s="33">
        <v>1426.3993605120438</v>
      </c>
      <c r="J132" s="33">
        <v>1785.5404754344654</v>
      </c>
      <c r="K132" s="33">
        <v>2116.2926840890295</v>
      </c>
      <c r="L132" s="33">
        <v>2489.0367134474559</v>
      </c>
      <c r="M132" s="33">
        <v>2893.3065677772925</v>
      </c>
      <c r="N132" s="33">
        <v>3322.4981781449724</v>
      </c>
      <c r="O132" s="33">
        <v>3760.6009388658931</v>
      </c>
      <c r="Q132" s="50"/>
    </row>
    <row r="133" spans="2:26">
      <c r="D133" s="213" t="s">
        <v>5483</v>
      </c>
      <c r="E133" s="5">
        <f>SUM(E130:E132)</f>
        <v>1005.6509028677002</v>
      </c>
      <c r="F133" s="5">
        <f t="shared" ref="F133:O133" si="14">SUM(F130:F132)</f>
        <v>3791.5333637257168</v>
      </c>
      <c r="G133" s="5">
        <f t="shared" si="14"/>
        <v>7200.0630036680413</v>
      </c>
      <c r="H133" s="5">
        <f t="shared" si="14"/>
        <v>10873.091048191432</v>
      </c>
      <c r="I133" s="5">
        <f t="shared" si="14"/>
        <v>14188.107691424428</v>
      </c>
      <c r="J133" s="5">
        <f t="shared" si="14"/>
        <v>17577.829974474422</v>
      </c>
      <c r="K133" s="5">
        <f t="shared" si="14"/>
        <v>20780.122500178593</v>
      </c>
      <c r="L133" s="5">
        <f t="shared" si="14"/>
        <v>24276.691311860777</v>
      </c>
      <c r="M133" s="5">
        <f t="shared" si="14"/>
        <v>27978.177183666612</v>
      </c>
      <c r="N133" s="5">
        <f t="shared" si="14"/>
        <v>31967.896641732161</v>
      </c>
      <c r="O133" s="5">
        <f t="shared" si="14"/>
        <v>36068.488127558609</v>
      </c>
      <c r="Q133" s="50"/>
    </row>
    <row r="134" spans="2:26">
      <c r="E134" s="32"/>
      <c r="F134" s="32"/>
      <c r="G134" s="32"/>
      <c r="H134" s="32"/>
      <c r="I134" s="32"/>
      <c r="J134" s="32"/>
      <c r="K134" s="32"/>
      <c r="L134" s="32"/>
      <c r="M134" s="32"/>
      <c r="N134" s="32"/>
      <c r="O134" s="32"/>
      <c r="Q134" s="50"/>
    </row>
    <row r="135" spans="2:26">
      <c r="E135" s="32"/>
      <c r="F135" s="32"/>
      <c r="G135" s="32"/>
      <c r="H135" s="32"/>
      <c r="I135" s="32"/>
      <c r="J135" s="32"/>
      <c r="K135" s="32"/>
      <c r="L135" s="32"/>
      <c r="M135" s="32"/>
      <c r="N135" s="32"/>
      <c r="O135" s="32"/>
      <c r="Q135" s="50"/>
    </row>
    <row r="136" spans="2:26">
      <c r="B136" s="52" t="s">
        <v>5516</v>
      </c>
      <c r="C136" s="52"/>
      <c r="D136" s="52"/>
      <c r="E136" s="52"/>
      <c r="F136" s="52"/>
      <c r="G136" s="52"/>
      <c r="H136" s="52"/>
      <c r="I136" s="52"/>
      <c r="J136" s="52"/>
      <c r="K136" s="52"/>
      <c r="L136" s="52"/>
      <c r="M136" s="52"/>
      <c r="N136" s="52"/>
      <c r="O136" s="52"/>
      <c r="Q136" s="50"/>
    </row>
    <row r="137" spans="2:26">
      <c r="E137" s="32" t="s">
        <v>3334</v>
      </c>
      <c r="F137" s="32" t="s">
        <v>5</v>
      </c>
      <c r="G137" s="32" t="s">
        <v>143</v>
      </c>
      <c r="H137" s="32"/>
      <c r="I137" s="32"/>
      <c r="J137" s="32"/>
      <c r="K137" s="32"/>
      <c r="L137" s="32"/>
      <c r="M137" s="32"/>
      <c r="N137" s="32"/>
      <c r="O137" s="32"/>
      <c r="Q137" s="50"/>
    </row>
    <row r="138" spans="2:26">
      <c r="D138" s="213" t="s">
        <v>5485</v>
      </c>
      <c r="E138" s="175">
        <v>1.0669999999999999</v>
      </c>
      <c r="F138" s="175">
        <v>1.0509999999999999</v>
      </c>
      <c r="G138" s="175">
        <v>1.071</v>
      </c>
      <c r="H138" s="32"/>
      <c r="I138" s="32"/>
      <c r="J138" s="32"/>
      <c r="K138" s="32"/>
      <c r="L138" s="32"/>
      <c r="M138" s="32"/>
      <c r="N138" s="32"/>
      <c r="O138" s="32"/>
      <c r="Q138" s="50"/>
    </row>
    <row r="139" spans="2:26">
      <c r="D139" s="213" t="s">
        <v>5486</v>
      </c>
      <c r="E139" s="175">
        <v>1.097</v>
      </c>
      <c r="F139" s="175">
        <v>1.0760000000000001</v>
      </c>
      <c r="G139" s="175">
        <v>1.0960000000000001</v>
      </c>
      <c r="H139" s="32"/>
      <c r="I139" s="32"/>
      <c r="J139" s="32"/>
      <c r="K139" s="32"/>
      <c r="L139" s="32"/>
      <c r="M139" s="32"/>
      <c r="N139" s="32"/>
      <c r="O139" s="32"/>
      <c r="Q139" s="50"/>
    </row>
    <row r="140" spans="2:26">
      <c r="D140" s="213" t="s">
        <v>5487</v>
      </c>
      <c r="E140" s="175">
        <v>1.0960000000000001</v>
      </c>
      <c r="F140" s="175">
        <v>1.0680000000000001</v>
      </c>
      <c r="G140" s="862">
        <v>1.0709</v>
      </c>
      <c r="H140" s="32"/>
      <c r="I140" s="32"/>
      <c r="J140" s="32"/>
      <c r="K140" s="32"/>
      <c r="L140" s="32"/>
      <c r="M140" s="32"/>
      <c r="N140" s="32"/>
      <c r="O140" s="32"/>
      <c r="Q140" s="50"/>
    </row>
    <row r="141" spans="2:26">
      <c r="E141" s="32"/>
      <c r="F141" s="32"/>
      <c r="G141" s="32"/>
      <c r="H141" s="32"/>
      <c r="I141" s="32"/>
      <c r="J141" s="32"/>
      <c r="K141" s="32"/>
      <c r="L141" s="32"/>
      <c r="M141" s="32"/>
      <c r="N141" s="32"/>
      <c r="O141" s="32"/>
      <c r="Q141" s="50"/>
    </row>
    <row r="142" spans="2:26">
      <c r="E142" s="5"/>
      <c r="F142" s="5"/>
      <c r="G142" s="5"/>
      <c r="H142" s="5"/>
      <c r="I142" s="5"/>
      <c r="J142" s="5"/>
      <c r="K142" s="6"/>
      <c r="L142" s="6"/>
      <c r="M142" s="6"/>
      <c r="N142" s="6"/>
      <c r="O142" s="6"/>
    </row>
    <row r="143" spans="2:26" s="51" customFormat="1">
      <c r="B143" s="52" t="s">
        <v>4363</v>
      </c>
      <c r="C143" s="53"/>
      <c r="D143" s="53"/>
      <c r="E143" s="54"/>
      <c r="F143" s="54"/>
      <c r="G143" s="54"/>
      <c r="H143" s="54"/>
      <c r="I143" s="54"/>
      <c r="J143" s="54"/>
      <c r="K143" s="53"/>
      <c r="L143" s="53"/>
      <c r="M143" s="53"/>
      <c r="N143" s="53"/>
      <c r="O143" s="53"/>
      <c r="P143" s="53"/>
      <c r="Q143" s="53"/>
      <c r="R143" s="53"/>
      <c r="S143" s="53"/>
      <c r="T143" s="53"/>
      <c r="U143" s="53"/>
      <c r="V143" s="53"/>
      <c r="W143" s="53"/>
      <c r="X143" s="53"/>
      <c r="Y143" s="53"/>
      <c r="Z143" s="46"/>
    </row>
    <row r="144" spans="2:26">
      <c r="B144" s="17" t="s">
        <v>5296</v>
      </c>
      <c r="D144" s="5"/>
      <c r="E144" s="32"/>
      <c r="F144" s="5"/>
      <c r="G144" s="5"/>
      <c r="H144" s="5"/>
      <c r="I144" s="5"/>
      <c r="J144" s="5"/>
      <c r="K144" s="5"/>
      <c r="L144" s="5"/>
      <c r="M144" s="5"/>
      <c r="N144" s="5"/>
      <c r="O144" s="5"/>
      <c r="P144" s="737" t="s">
        <v>5497</v>
      </c>
      <c r="Q144" s="6"/>
      <c r="R144" s="6"/>
      <c r="S144" s="6"/>
      <c r="T144" s="6"/>
      <c r="U144" s="6"/>
      <c r="V144" s="6"/>
      <c r="W144" s="6"/>
      <c r="X144" s="6"/>
      <c r="Y144" s="6"/>
    </row>
    <row r="145" spans="2:25">
      <c r="B145" s="864" t="s">
        <v>3334</v>
      </c>
      <c r="C145" s="13" t="s">
        <v>5293</v>
      </c>
      <c r="D145" s="5"/>
      <c r="E145" s="32">
        <f>H218</f>
        <v>1285.3609793356331</v>
      </c>
      <c r="F145" s="5">
        <f>H219</f>
        <v>1390.8630578614191</v>
      </c>
      <c r="G145" s="5">
        <f>H220</f>
        <v>1535.0349442050501</v>
      </c>
      <c r="H145" s="5">
        <f>H221</f>
        <v>1609.4048007539145</v>
      </c>
      <c r="I145" s="5">
        <f>H222</f>
        <v>1696.7401469865367</v>
      </c>
      <c r="J145" s="5">
        <f>H223</f>
        <v>1797.6608547828118</v>
      </c>
      <c r="K145" s="5">
        <f>H224</f>
        <v>1943.0885989066319</v>
      </c>
      <c r="L145" s="5">
        <f>H225</f>
        <v>2118.7828258661225</v>
      </c>
      <c r="M145" s="5">
        <f>H226</f>
        <v>2322.2918081530888</v>
      </c>
      <c r="N145" s="5">
        <f>H227</f>
        <v>2551.0445890973901</v>
      </c>
      <c r="O145" s="5">
        <f>H228</f>
        <v>2803.9239307195412</v>
      </c>
      <c r="P145" s="736">
        <f>'IncSmallPV Extrapolate'!N39</f>
        <v>2960.3214018360541</v>
      </c>
      <c r="Q145" s="736">
        <f>'IncSmallPV Extrapolate'!O39</f>
        <v>3145.2509864250915</v>
      </c>
      <c r="R145" s="736">
        <f>'IncSmallPV Extrapolate'!P39</f>
        <v>3323.2004068970127</v>
      </c>
      <c r="S145" s="736">
        <f>'IncSmallPV Extrapolate'!Q39</f>
        <v>3494.6774859271045</v>
      </c>
      <c r="T145" s="736">
        <f>'IncSmallPV Extrapolate'!R39</f>
        <v>3660.1365679692262</v>
      </c>
      <c r="U145" s="736">
        <f>'IncSmallPV Extrapolate'!S39</f>
        <v>3819.9857742752301</v>
      </c>
      <c r="V145" s="736">
        <f>'IncSmallPV Extrapolate'!T39</f>
        <v>3974.5930678679142</v>
      </c>
      <c r="W145" s="736">
        <f>'IncSmallPV Extrapolate'!U39</f>
        <v>4124.2913552909922</v>
      </c>
      <c r="X145" s="736">
        <f>'IncSmallPV Extrapolate'!V39</f>
        <v>4269.3828030706027</v>
      </c>
      <c r="Y145" s="736">
        <f>'IncSmallPV Extrapolate'!W39</f>
        <v>4410.1425096176645</v>
      </c>
    </row>
    <row r="146" spans="2:25">
      <c r="B146" s="864" t="s">
        <v>3334</v>
      </c>
      <c r="C146" s="13" t="s">
        <v>5295</v>
      </c>
      <c r="D146" s="5"/>
      <c r="E146" s="32">
        <f>B251</f>
        <v>1108.1042934142099</v>
      </c>
      <c r="F146" s="32">
        <f t="shared" ref="F146:O146" si="15">C251</f>
        <v>1308.1347418077639</v>
      </c>
      <c r="G146" s="32">
        <f t="shared" si="15"/>
        <v>1525.3424153689666</v>
      </c>
      <c r="H146" s="32">
        <f t="shared" si="15"/>
        <v>1760.1500397888826</v>
      </c>
      <c r="I146" s="32">
        <f t="shared" si="15"/>
        <v>2012.9803407507061</v>
      </c>
      <c r="J146" s="32">
        <f t="shared" si="15"/>
        <v>2284.2560439494364</v>
      </c>
      <c r="K146" s="32">
        <f t="shared" si="15"/>
        <v>2565.8400272947711</v>
      </c>
      <c r="L146" s="32">
        <f t="shared" si="15"/>
        <v>2768.2200000000003</v>
      </c>
      <c r="M146" s="32">
        <f t="shared" si="15"/>
        <v>3011.54</v>
      </c>
      <c r="N146" s="32">
        <f t="shared" si="15"/>
        <v>3254.8599999999997</v>
      </c>
      <c r="O146" s="32">
        <f t="shared" si="15"/>
        <v>3498.1800000000003</v>
      </c>
      <c r="P146" s="736">
        <f>'IncSmallPV Extrapolate'!N40</f>
        <v>3689.2233503808638</v>
      </c>
      <c r="Q146" s="736">
        <f>'IncSmallPV Extrapolate'!O40</f>
        <v>3891.3198411170924</v>
      </c>
      <c r="R146" s="736">
        <f>'IncSmallPV Extrapolate'!P40</f>
        <v>4085.788203147109</v>
      </c>
      <c r="S146" s="736">
        <f>'IncSmallPV Extrapolate'!Q40</f>
        <v>4273.1834000307899</v>
      </c>
      <c r="T146" s="736">
        <f>'IncSmallPV Extrapolate'!R40</f>
        <v>4454.0019527543045</v>
      </c>
      <c r="U146" s="736">
        <f>'IncSmallPV Extrapolate'!S40</f>
        <v>4628.6898682287538</v>
      </c>
      <c r="V146" s="736">
        <f>'IncSmallPV Extrapolate'!T40</f>
        <v>4797.6492672710629</v>
      </c>
      <c r="W146" s="736">
        <f>'IncSmallPV Extrapolate'!U40</f>
        <v>4961.2439599464306</v>
      </c>
      <c r="X146" s="736">
        <f>'IncSmallPV Extrapolate'!V40</f>
        <v>5119.8041627244784</v>
      </c>
      <c r="Y146" s="736">
        <f>'IncSmallPV Extrapolate'!W40</f>
        <v>5273.6305112421578</v>
      </c>
    </row>
    <row r="147" spans="2:25">
      <c r="B147" s="864" t="s">
        <v>3334</v>
      </c>
      <c r="C147" s="13" t="s">
        <v>5294</v>
      </c>
      <c r="D147" s="5"/>
      <c r="E147" s="32">
        <f>E218</f>
        <v>1278.1392124126796</v>
      </c>
      <c r="F147" s="5">
        <f>E219</f>
        <v>1362.9969912339152</v>
      </c>
      <c r="G147" s="5">
        <f>E220</f>
        <v>1476.4070257774958</v>
      </c>
      <c r="H147" s="5">
        <f>E221</f>
        <v>1540.5888411616243</v>
      </c>
      <c r="I147" s="5">
        <f>E222</f>
        <v>1614.9490936436855</v>
      </c>
      <c r="J147" s="5">
        <f>E223</f>
        <v>1701.5586679979881</v>
      </c>
      <c r="K147" s="5">
        <f>E224</f>
        <v>1804.847766219121</v>
      </c>
      <c r="L147" s="5">
        <f>E225</f>
        <v>1932.0056836601173</v>
      </c>
      <c r="M147" s="5">
        <f>E226</f>
        <v>2084.8120150954101</v>
      </c>
      <c r="N147" s="5">
        <f>E227</f>
        <v>2262.5879984894432</v>
      </c>
      <c r="O147" s="5">
        <f>E228</f>
        <v>2461.4389655931795</v>
      </c>
      <c r="P147" s="736">
        <f>'IncSmallPV Extrapolate'!N41</f>
        <v>2576.5525668859445</v>
      </c>
      <c r="Q147" s="736">
        <f>'IncSmallPV Extrapolate'!O41</f>
        <v>2717.6216279556666</v>
      </c>
      <c r="R147" s="736">
        <f>'IncSmallPV Extrapolate'!P41</f>
        <v>2853.366039644372</v>
      </c>
      <c r="S147" s="736">
        <f>'IncSmallPV Extrapolate'!Q41</f>
        <v>2984.1731821981739</v>
      </c>
      <c r="T147" s="736">
        <f>'IncSmallPV Extrapolate'!R41</f>
        <v>3110.3896412953509</v>
      </c>
      <c r="U147" s="736">
        <f>'IncSmallPV Extrapolate'!S41</f>
        <v>3232.3267423624402</v>
      </c>
      <c r="V147" s="736">
        <f>'IncSmallPV Extrapolate'!T41</f>
        <v>3350.2651770921748</v>
      </c>
      <c r="W147" s="736">
        <f>'IncSmallPV Extrapolate'!U41</f>
        <v>3464.4588951900569</v>
      </c>
      <c r="X147" s="736">
        <f>'IncSmallPV Extrapolate'!V41</f>
        <v>3575.1383970826355</v>
      </c>
      <c r="Y147" s="736">
        <f>'IncSmallPV Extrapolate'!W41</f>
        <v>3682.5135349394095</v>
      </c>
    </row>
    <row r="148" spans="2:25">
      <c r="B148" s="864"/>
      <c r="D148" s="5"/>
      <c r="E148" s="32"/>
      <c r="F148" s="5"/>
      <c r="G148" s="5"/>
      <c r="H148" s="5"/>
      <c r="I148" s="5"/>
      <c r="J148" s="5"/>
      <c r="K148" s="5"/>
      <c r="L148" s="5"/>
      <c r="M148" s="5"/>
      <c r="N148" s="5"/>
      <c r="O148" s="5"/>
      <c r="P148" s="736"/>
      <c r="Q148" s="736"/>
      <c r="R148" s="736"/>
      <c r="S148" s="736"/>
      <c r="T148" s="736"/>
      <c r="U148" s="736"/>
      <c r="V148" s="736"/>
      <c r="W148" s="736"/>
      <c r="X148" s="736"/>
      <c r="Y148" s="736"/>
    </row>
    <row r="149" spans="2:25">
      <c r="B149" s="864" t="s">
        <v>5</v>
      </c>
      <c r="C149" s="13" t="s">
        <v>5293</v>
      </c>
      <c r="D149" s="5"/>
      <c r="E149" s="32">
        <f>N218</f>
        <v>857.47845191785689</v>
      </c>
      <c r="F149" s="5">
        <f>N219</f>
        <v>924.10305022966361</v>
      </c>
      <c r="G149" s="5">
        <f>N220</f>
        <v>1017.6732130144687</v>
      </c>
      <c r="H149" s="5">
        <f>N221</f>
        <v>1058.8777521781421</v>
      </c>
      <c r="I149" s="5">
        <f>N222</f>
        <v>1106.5276695335365</v>
      </c>
      <c r="J149" s="5">
        <f>N223</f>
        <v>1166.0042723545328</v>
      </c>
      <c r="K149" s="5">
        <f>N224</f>
        <v>1260.6656129604487</v>
      </c>
      <c r="L149" s="5">
        <f>N225</f>
        <v>1371.726268585755</v>
      </c>
      <c r="M149" s="5">
        <f>N226</f>
        <v>1499.3419623982338</v>
      </c>
      <c r="N149" s="5">
        <f>N227</f>
        <v>1644.2393646903222</v>
      </c>
      <c r="O149" s="5">
        <f>N228</f>
        <v>1807.0832599555931</v>
      </c>
      <c r="P149" s="736">
        <f>'IncSmallPV Extrapolate'!N43</f>
        <v>1904.8104026186165</v>
      </c>
      <c r="Q149" s="736">
        <f>'IncSmallPV Extrapolate'!O43</f>
        <v>2022.0215038771994</v>
      </c>
      <c r="R149" s="736">
        <f>'IncSmallPV Extrapolate'!P43</f>
        <v>2134.8084740539371</v>
      </c>
      <c r="S149" s="736">
        <f>'IncSmallPV Extrapolate'!Q43</f>
        <v>2243.4931786585958</v>
      </c>
      <c r="T149" s="736">
        <f>'IncSmallPV Extrapolate'!R43</f>
        <v>2348.3635879145777</v>
      </c>
      <c r="U149" s="736">
        <f>'IncSmallPV Extrapolate'!S43</f>
        <v>2449.6783750973509</v>
      </c>
      <c r="V149" s="736">
        <f>'IncSmallPV Extrapolate'!T43</f>
        <v>2547.670760603859</v>
      </c>
      <c r="W149" s="736">
        <f>'IncSmallPV Extrapolate'!U43</f>
        <v>2642.551745516982</v>
      </c>
      <c r="X149" s="736">
        <f>'IncSmallPV Extrapolate'!V43</f>
        <v>2734.5128474425755</v>
      </c>
      <c r="Y149" s="736">
        <f>'IncSmallPV Extrapolate'!W43</f>
        <v>2823.7284278153993</v>
      </c>
    </row>
    <row r="150" spans="2:25">
      <c r="B150" s="864" t="s">
        <v>5</v>
      </c>
      <c r="C150" s="13" t="s">
        <v>5295</v>
      </c>
      <c r="D150" s="5"/>
      <c r="E150" s="32">
        <f>B252</f>
        <v>704.06010107253678</v>
      </c>
      <c r="F150" s="32">
        <f t="shared" ref="F150:O150" si="16">C252</f>
        <v>897.93908079969697</v>
      </c>
      <c r="G150" s="32">
        <f t="shared" si="16"/>
        <v>1121.964459664654</v>
      </c>
      <c r="H150" s="32">
        <f t="shared" si="16"/>
        <v>1377.8238122074399</v>
      </c>
      <c r="I150" s="32">
        <f t="shared" si="16"/>
        <v>1667.204712998122</v>
      </c>
      <c r="J150" s="32">
        <f t="shared" si="16"/>
        <v>1991.7947365636937</v>
      </c>
      <c r="K150" s="32">
        <f t="shared" si="16"/>
        <v>2350.3647499788235</v>
      </c>
      <c r="L150" s="32">
        <f t="shared" si="16"/>
        <v>2540.5</v>
      </c>
      <c r="M150" s="32">
        <f t="shared" si="16"/>
        <v>2814.5</v>
      </c>
      <c r="N150" s="32">
        <f t="shared" si="16"/>
        <v>3088.5</v>
      </c>
      <c r="O150" s="32">
        <f t="shared" si="16"/>
        <v>3362.5</v>
      </c>
      <c r="P150" s="736">
        <f>'IncSmallPV Extrapolate'!N44</f>
        <v>3563.2494090650616</v>
      </c>
      <c r="Q150" s="736">
        <f>'IncSmallPV Extrapolate'!O44</f>
        <v>3784.1836083288108</v>
      </c>
      <c r="R150" s="736">
        <f>'IncSmallPV Extrapolate'!P44</f>
        <v>3996.7786498889873</v>
      </c>
      <c r="S150" s="736">
        <f>'IncSmallPV Extrapolate'!Q44</f>
        <v>4201.6412262679405</v>
      </c>
      <c r="T150" s="736">
        <f>'IncSmallPV Extrapolate'!R44</f>
        <v>4399.3141398968073</v>
      </c>
      <c r="U150" s="736">
        <f>'IncSmallPV Extrapolate'!S44</f>
        <v>4590.2849706410889</v>
      </c>
      <c r="V150" s="736">
        <f>'IncSmallPV Extrapolate'!T44</f>
        <v>4774.9933215852798</v>
      </c>
      <c r="W150" s="736">
        <f>'IncSmallPV Extrapolate'!U44</f>
        <v>4953.8369140611394</v>
      </c>
      <c r="X150" s="736">
        <f>'IncSmallPV Extrapolate'!V44</f>
        <v>5127.1767444968318</v>
      </c>
      <c r="Y150" s="736">
        <f>'IncSmallPV Extrapolate'!W44</f>
        <v>5295.3414712153026</v>
      </c>
    </row>
    <row r="151" spans="2:25">
      <c r="B151" s="864" t="s">
        <v>5</v>
      </c>
      <c r="C151" s="13" t="s">
        <v>5294</v>
      </c>
      <c r="D151" s="5"/>
      <c r="E151" s="32">
        <f>K218</f>
        <v>855.08846966213548</v>
      </c>
      <c r="F151" s="5">
        <f>K219</f>
        <v>899.99934982703394</v>
      </c>
      <c r="G151" s="32">
        <f>K220</f>
        <v>963.64166112955638</v>
      </c>
      <c r="H151" s="5">
        <f>K221</f>
        <v>1000.873682371806</v>
      </c>
      <c r="I151" s="5">
        <f>K222</f>
        <v>1043.4368656879296</v>
      </c>
      <c r="J151" s="5">
        <f>K223</f>
        <v>1090.312309665416</v>
      </c>
      <c r="K151" s="5">
        <f>K224</f>
        <v>1147.4991872676469</v>
      </c>
      <c r="L151" s="5">
        <f>K225</f>
        <v>1227.7803842973981</v>
      </c>
      <c r="M151" s="5">
        <f>K226</f>
        <v>1324.2486076579894</v>
      </c>
      <c r="N151" s="5">
        <f>K227</f>
        <v>1436.1117882105668</v>
      </c>
      <c r="O151" s="5">
        <f>K228</f>
        <v>1564.1347908550651</v>
      </c>
      <c r="P151" s="736">
        <f>'IncSmallPV Extrapolate'!N45</f>
        <v>1635.8961172921418</v>
      </c>
      <c r="Q151" s="736">
        <f>'IncSmallPV Extrapolate'!O45</f>
        <v>1725.2762004971555</v>
      </c>
      <c r="R151" s="736">
        <f>'IncSmallPV Extrapolate'!P45</f>
        <v>1811.2826339372659</v>
      </c>
      <c r="S151" s="736">
        <f>'IncSmallPV Extrapolate'!Q45</f>
        <v>1894.1608582382723</v>
      </c>
      <c r="T151" s="736">
        <f>'IncSmallPV Extrapolate'!R45</f>
        <v>1974.130466956176</v>
      </c>
      <c r="U151" s="736">
        <f>'IncSmallPV Extrapolate'!S45</f>
        <v>2051.3887130698859</v>
      </c>
      <c r="V151" s="736">
        <f>'IncSmallPV Extrapolate'!T45</f>
        <v>2126.1134403012002</v>
      </c>
      <c r="W151" s="736">
        <f>'IncSmallPV Extrapolate'!U45</f>
        <v>2198.4655488902972</v>
      </c>
      <c r="X151" s="736">
        <f>'IncSmallPV Extrapolate'!V45</f>
        <v>2268.5910818259617</v>
      </c>
      <c r="Y151" s="736">
        <f>'IncSmallPV Extrapolate'!W45</f>
        <v>2336.6229995477706</v>
      </c>
    </row>
    <row r="152" spans="2:25">
      <c r="B152" s="864"/>
      <c r="D152" s="5"/>
      <c r="E152" s="32"/>
      <c r="F152" s="5"/>
      <c r="G152" s="32"/>
      <c r="H152" s="5"/>
      <c r="I152" s="5"/>
      <c r="J152" s="5"/>
      <c r="K152" s="5"/>
      <c r="L152" s="5"/>
      <c r="M152" s="5"/>
      <c r="N152" s="5"/>
      <c r="O152" s="5"/>
      <c r="P152" s="736"/>
      <c r="Q152" s="736"/>
      <c r="R152" s="736"/>
      <c r="S152" s="736"/>
      <c r="T152" s="736"/>
      <c r="U152" s="736"/>
      <c r="V152" s="736"/>
      <c r="W152" s="736"/>
      <c r="X152" s="736"/>
      <c r="Y152" s="736"/>
    </row>
    <row r="153" spans="2:25">
      <c r="B153" s="864" t="s">
        <v>143</v>
      </c>
      <c r="C153" s="13" t="s">
        <v>5293</v>
      </c>
      <c r="D153" s="5"/>
      <c r="E153" s="32">
        <f>T218</f>
        <v>240.77212213857013</v>
      </c>
      <c r="F153" s="32">
        <f>T219</f>
        <v>277.45760495358206</v>
      </c>
      <c r="G153" s="5">
        <f>T220</f>
        <v>324.16562457460873</v>
      </c>
      <c r="H153" s="32">
        <f>T221</f>
        <v>334.98944369929512</v>
      </c>
      <c r="I153" s="5">
        <f>T222</f>
        <v>347.12655776038548</v>
      </c>
      <c r="J153" s="5">
        <f>T223</f>
        <v>360.46888734635104</v>
      </c>
      <c r="K153" s="5">
        <f>T224</f>
        <v>396.87489068423872</v>
      </c>
      <c r="L153" s="5">
        <f>T225</f>
        <v>440.96277009790026</v>
      </c>
      <c r="M153" s="5">
        <f>T226</f>
        <v>490.16097165929921</v>
      </c>
      <c r="N153" s="5">
        <f>T227</f>
        <v>542.77238443011925</v>
      </c>
      <c r="O153" s="5">
        <f>T228</f>
        <v>598.18948313246676</v>
      </c>
      <c r="P153" s="736">
        <f>'IncSmallPV Extrapolate'!N47</f>
        <v>637.15778647936168</v>
      </c>
      <c r="Q153" s="736">
        <f>'IncSmallPV Extrapolate'!O47</f>
        <v>680.49667451373807</v>
      </c>
      <c r="R153" s="736">
        <f>'IncSmallPV Extrapolate'!P47</f>
        <v>722.19973693478369</v>
      </c>
      <c r="S153" s="736">
        <f>'IncSmallPV Extrapolate'!Q47</f>
        <v>762.38598374360026</v>
      </c>
      <c r="T153" s="736">
        <f>'IncSmallPV Extrapolate'!R47</f>
        <v>801.16189213505413</v>
      </c>
      <c r="U153" s="736">
        <f>'IncSmallPV Extrapolate'!S47</f>
        <v>838.62310673668208</v>
      </c>
      <c r="V153" s="736">
        <f>'IncSmallPV Extrapolate'!T47</f>
        <v>874.85586095608687</v>
      </c>
      <c r="W153" s="736">
        <f>'IncSmallPV Extrapolate'!U47</f>
        <v>909.9381725936978</v>
      </c>
      <c r="X153" s="736">
        <f>'IncSmallPV Extrapolate'!V47</f>
        <v>943.94085542046105</v>
      </c>
      <c r="Y153" s="736">
        <f>'IncSmallPV Extrapolate'!W47</f>
        <v>976.92837970085884</v>
      </c>
    </row>
    <row r="154" spans="2:25">
      <c r="B154" s="864" t="s">
        <v>143</v>
      </c>
      <c r="C154" s="13" t="s">
        <v>5295</v>
      </c>
      <c r="D154" s="5"/>
      <c r="E154" s="32">
        <f>B253</f>
        <v>255.17460913628341</v>
      </c>
      <c r="F154" s="32">
        <f t="shared" ref="F154:O154" si="17">C253</f>
        <v>312.80110160518439</v>
      </c>
      <c r="G154" s="32">
        <f t="shared" si="17"/>
        <v>375.3559259622171</v>
      </c>
      <c r="H154" s="32">
        <f t="shared" si="17"/>
        <v>442.34299034848806</v>
      </c>
      <c r="I154" s="32">
        <f t="shared" si="17"/>
        <v>513.26620292566713</v>
      </c>
      <c r="J154" s="32">
        <f t="shared" si="17"/>
        <v>587.62947183851145</v>
      </c>
      <c r="K154" s="32">
        <f t="shared" si="17"/>
        <v>657.07408707208413</v>
      </c>
      <c r="L154" s="32">
        <f t="shared" si="17"/>
        <v>719.56700000000012</v>
      </c>
      <c r="M154" s="32">
        <f t="shared" si="17"/>
        <v>787.18400000000008</v>
      </c>
      <c r="N154" s="32">
        <f t="shared" si="17"/>
        <v>854.80100000000004</v>
      </c>
      <c r="O154" s="32">
        <f t="shared" si="17"/>
        <v>922.41800000000001</v>
      </c>
      <c r="P154" s="736">
        <f>'IncSmallPV Extrapolate'!N48</f>
        <v>977.85870430757313</v>
      </c>
      <c r="Q154" s="736">
        <f>'IncSmallPV Extrapolate'!O48</f>
        <v>1035.120945511364</v>
      </c>
      <c r="R154" s="736">
        <f>'IncSmallPV Extrapolate'!P48</f>
        <v>1090.221824366321</v>
      </c>
      <c r="S154" s="736">
        <f>'IncSmallPV Extrapolate'!Q48</f>
        <v>1143.3185848557978</v>
      </c>
      <c r="T154" s="736">
        <f>'IncSmallPV Extrapolate'!R48</f>
        <v>1194.5519117802523</v>
      </c>
      <c r="U154" s="736">
        <f>'IncSmallPV Extrapolate'!S48</f>
        <v>1244.0481772267467</v>
      </c>
      <c r="V154" s="736">
        <f>'IncSmallPV Extrapolate'!T48</f>
        <v>1291.921318548314</v>
      </c>
      <c r="W154" s="736">
        <f>'IncSmallPV Extrapolate'!U48</f>
        <v>1338.2744180876007</v>
      </c>
      <c r="X154" s="736">
        <f>'IncSmallPV Extrapolate'!V48</f>
        <v>1383.2010397410613</v>
      </c>
      <c r="Y154" s="736">
        <f>'IncSmallPV Extrapolate'!W48</f>
        <v>1426.7863659395962</v>
      </c>
    </row>
    <row r="155" spans="2:25">
      <c r="B155" s="864" t="s">
        <v>143</v>
      </c>
      <c r="C155" s="13" t="s">
        <v>5294</v>
      </c>
      <c r="D155" s="5"/>
      <c r="E155" s="32">
        <f>Q218</f>
        <v>225.04725646891512</v>
      </c>
      <c r="F155" s="5">
        <f>Q219</f>
        <v>252.81008470150408</v>
      </c>
      <c r="G155" s="32">
        <f>Q220</f>
        <v>290.4623418671847</v>
      </c>
      <c r="H155" s="32">
        <f>Q221</f>
        <v>300.31769099053008</v>
      </c>
      <c r="I155" s="5">
        <f>Q222</f>
        <v>311.56616233650345</v>
      </c>
      <c r="J155" s="32">
        <f>Q223</f>
        <v>323.96801596704307</v>
      </c>
      <c r="K155" s="5">
        <f>Q224</f>
        <v>351.65659025973571</v>
      </c>
      <c r="L155" s="5">
        <f>Q225</f>
        <v>389.06828592015523</v>
      </c>
      <c r="M155" s="5">
        <f>Q226</f>
        <v>432.87212766361716</v>
      </c>
      <c r="N155" s="5">
        <f>Q227</f>
        <v>481.52160458883816</v>
      </c>
      <c r="O155" s="5">
        <f>Q228</f>
        <v>534.13296452847976</v>
      </c>
      <c r="P155" s="736">
        <f>'IncSmallPV Extrapolate'!N49</f>
        <v>567.78225102301622</v>
      </c>
      <c r="Q155" s="736">
        <f>'IncSmallPV Extrapolate'!O49</f>
        <v>607.05787317471231</v>
      </c>
      <c r="R155" s="736">
        <f>'IncSmallPV Extrapolate'!P49</f>
        <v>644.85103761673508</v>
      </c>
      <c r="S155" s="736">
        <f>'IncSmallPV Extrapolate'!Q49</f>
        <v>681.26959648944921</v>
      </c>
      <c r="T155" s="736">
        <f>'IncSmallPV Extrapolate'!R49</f>
        <v>716.4100441484552</v>
      </c>
      <c r="U155" s="736">
        <f>'IncSmallPV Extrapolate'!S49</f>
        <v>750.35905799648253</v>
      </c>
      <c r="V155" s="736">
        <f>'IncSmallPV Extrapolate'!T49</f>
        <v>783.19478657142554</v>
      </c>
      <c r="W155" s="736">
        <f>'IncSmallPV Extrapolate'!U49</f>
        <v>814.98793306364632</v>
      </c>
      <c r="X155" s="736">
        <f>'IncSmallPV Extrapolate'!V49</f>
        <v>845.80267205253313</v>
      </c>
      <c r="Y155" s="736">
        <f>'IncSmallPV Extrapolate'!W49</f>
        <v>875.69742935062413</v>
      </c>
    </row>
    <row r="156" spans="2:25">
      <c r="B156" s="864"/>
      <c r="D156" s="5"/>
      <c r="E156" s="32"/>
      <c r="F156" s="5"/>
      <c r="G156" s="32"/>
      <c r="H156" s="32"/>
      <c r="I156" s="5"/>
      <c r="J156" s="32"/>
      <c r="K156" s="5"/>
      <c r="L156" s="5"/>
      <c r="M156" s="5"/>
      <c r="N156" s="5"/>
      <c r="O156" s="5"/>
      <c r="P156" s="865"/>
      <c r="Q156" s="865"/>
      <c r="R156" s="865"/>
      <c r="S156" s="865"/>
      <c r="T156" s="865"/>
      <c r="U156" s="865"/>
      <c r="V156" s="865"/>
      <c r="W156" s="865"/>
      <c r="X156" s="865"/>
      <c r="Y156" s="865"/>
    </row>
    <row r="157" spans="2:25">
      <c r="B157" s="864" t="s">
        <v>4329</v>
      </c>
      <c r="C157" s="13" t="s">
        <v>5293</v>
      </c>
      <c r="D157" s="5"/>
      <c r="E157" s="32">
        <f>SUM(E145,E149,E153)</f>
        <v>2383.6115533920602</v>
      </c>
      <c r="F157" s="32">
        <f t="shared" ref="F157:O157" si="18">SUM(F145,F149,F153)</f>
        <v>2592.423713044665</v>
      </c>
      <c r="G157" s="32">
        <f t="shared" si="18"/>
        <v>2876.8737817941274</v>
      </c>
      <c r="H157" s="32">
        <f t="shared" si="18"/>
        <v>3003.2719966313516</v>
      </c>
      <c r="I157" s="32">
        <f t="shared" si="18"/>
        <v>3150.3943742804586</v>
      </c>
      <c r="J157" s="32">
        <f t="shared" si="18"/>
        <v>3324.1340144836959</v>
      </c>
      <c r="K157" s="32">
        <f t="shared" si="18"/>
        <v>3600.6291025513196</v>
      </c>
      <c r="L157" s="32">
        <f t="shared" si="18"/>
        <v>3931.4718645497778</v>
      </c>
      <c r="M157" s="32">
        <f t="shared" si="18"/>
        <v>4311.7947422106217</v>
      </c>
      <c r="N157" s="32">
        <f t="shared" si="18"/>
        <v>4738.0563382178316</v>
      </c>
      <c r="O157" s="32">
        <f t="shared" si="18"/>
        <v>5209.1966738076017</v>
      </c>
      <c r="P157" s="32">
        <f t="shared" ref="P157:Y157" si="19">SUM(P145,P149,P153)</f>
        <v>5502.2895909340323</v>
      </c>
      <c r="Q157" s="32">
        <f t="shared" si="19"/>
        <v>5847.7691648160289</v>
      </c>
      <c r="R157" s="32">
        <f t="shared" si="19"/>
        <v>6180.2086178857335</v>
      </c>
      <c r="S157" s="32">
        <f t="shared" si="19"/>
        <v>6500.5566483293005</v>
      </c>
      <c r="T157" s="32">
        <f t="shared" si="19"/>
        <v>6809.6620480188576</v>
      </c>
      <c r="U157" s="32">
        <f t="shared" si="19"/>
        <v>7108.2872561092627</v>
      </c>
      <c r="V157" s="32">
        <f t="shared" si="19"/>
        <v>7397.1196894278601</v>
      </c>
      <c r="W157" s="32">
        <f t="shared" si="19"/>
        <v>7676.7812734016716</v>
      </c>
      <c r="X157" s="32">
        <f t="shared" si="19"/>
        <v>7947.8365059336393</v>
      </c>
      <c r="Y157" s="32">
        <f t="shared" si="19"/>
        <v>8210.7993171339222</v>
      </c>
    </row>
    <row r="158" spans="2:25">
      <c r="B158" s="864" t="s">
        <v>4329</v>
      </c>
      <c r="C158" s="13" t="s">
        <v>5295</v>
      </c>
      <c r="D158" s="5"/>
      <c r="E158" s="32">
        <f>SUM(E146,E150,E154)</f>
        <v>2067.3390036230303</v>
      </c>
      <c r="F158" s="32">
        <f t="shared" ref="F158:O158" si="20">SUM(F146,F150,F154)</f>
        <v>2518.8749242126451</v>
      </c>
      <c r="G158" s="32">
        <f t="shared" si="20"/>
        <v>3022.6628009958376</v>
      </c>
      <c r="H158" s="32">
        <f t="shared" si="20"/>
        <v>3580.3168423448105</v>
      </c>
      <c r="I158" s="32">
        <f t="shared" si="20"/>
        <v>4193.4512566744952</v>
      </c>
      <c r="J158" s="32">
        <f t="shared" si="20"/>
        <v>4863.6802523516417</v>
      </c>
      <c r="K158" s="32">
        <f t="shared" si="20"/>
        <v>5573.2788643456788</v>
      </c>
      <c r="L158" s="32">
        <f t="shared" si="20"/>
        <v>6028.2870000000003</v>
      </c>
      <c r="M158" s="32">
        <f t="shared" si="20"/>
        <v>6613.2240000000002</v>
      </c>
      <c r="N158" s="32">
        <f t="shared" si="20"/>
        <v>7198.1610000000001</v>
      </c>
      <c r="O158" s="32">
        <f t="shared" si="20"/>
        <v>7783.098</v>
      </c>
      <c r="P158" s="32">
        <f t="shared" ref="P158:Y158" si="21">SUM(P146,P150,P154)</f>
        <v>8230.3314637534986</v>
      </c>
      <c r="Q158" s="32">
        <f t="shared" si="21"/>
        <v>8710.6243949572672</v>
      </c>
      <c r="R158" s="32">
        <f t="shared" si="21"/>
        <v>9172.7886774024173</v>
      </c>
      <c r="S158" s="32">
        <f t="shared" si="21"/>
        <v>9618.1432111545291</v>
      </c>
      <c r="T158" s="32">
        <f t="shared" si="21"/>
        <v>10047.868004431364</v>
      </c>
      <c r="U158" s="32">
        <f t="shared" si="21"/>
        <v>10463.023016096589</v>
      </c>
      <c r="V158" s="32">
        <f t="shared" si="21"/>
        <v>10864.563907404656</v>
      </c>
      <c r="W158" s="32">
        <f t="shared" si="21"/>
        <v>11253.35529209517</v>
      </c>
      <c r="X158" s="32">
        <f t="shared" si="21"/>
        <v>11630.181946962372</v>
      </c>
      <c r="Y158" s="32">
        <f t="shared" si="21"/>
        <v>11995.758348397056</v>
      </c>
    </row>
    <row r="159" spans="2:25">
      <c r="B159" s="864" t="s">
        <v>4329</v>
      </c>
      <c r="C159" s="13" t="s">
        <v>5294</v>
      </c>
      <c r="D159" s="5"/>
      <c r="E159" s="32">
        <f>SUM(E147,E151,E155)</f>
        <v>2358.2749385437305</v>
      </c>
      <c r="F159" s="32">
        <f t="shared" ref="F159:O159" si="22">SUM(F147,F151,F155)</f>
        <v>2515.8064257624528</v>
      </c>
      <c r="G159" s="32">
        <f t="shared" si="22"/>
        <v>2730.5110287742373</v>
      </c>
      <c r="H159" s="32">
        <f t="shared" si="22"/>
        <v>2841.7802145239602</v>
      </c>
      <c r="I159" s="32">
        <f t="shared" si="22"/>
        <v>2969.9521216681187</v>
      </c>
      <c r="J159" s="32">
        <f t="shared" si="22"/>
        <v>3115.838993630447</v>
      </c>
      <c r="K159" s="32">
        <f t="shared" si="22"/>
        <v>3304.003543746504</v>
      </c>
      <c r="L159" s="32">
        <f t="shared" si="22"/>
        <v>3548.8543538776703</v>
      </c>
      <c r="M159" s="32">
        <f t="shared" si="22"/>
        <v>3841.9327504170165</v>
      </c>
      <c r="N159" s="32">
        <f t="shared" si="22"/>
        <v>4180.2213912888483</v>
      </c>
      <c r="O159" s="32">
        <f t="shared" si="22"/>
        <v>4559.7067209767247</v>
      </c>
      <c r="P159" s="32">
        <f t="shared" ref="P159:Y159" si="23">SUM(P147,P151,P155)</f>
        <v>4780.2309352011025</v>
      </c>
      <c r="Q159" s="32">
        <f t="shared" si="23"/>
        <v>5049.9557016275339</v>
      </c>
      <c r="R159" s="32">
        <f t="shared" si="23"/>
        <v>5309.499711198373</v>
      </c>
      <c r="S159" s="32">
        <f t="shared" si="23"/>
        <v>5559.6036369258954</v>
      </c>
      <c r="T159" s="32">
        <f t="shared" si="23"/>
        <v>5800.930152399982</v>
      </c>
      <c r="U159" s="32">
        <f t="shared" si="23"/>
        <v>6034.0745134288081</v>
      </c>
      <c r="V159" s="32">
        <f t="shared" si="23"/>
        <v>6259.5734039648005</v>
      </c>
      <c r="W159" s="32">
        <f t="shared" si="23"/>
        <v>6477.9123771440009</v>
      </c>
      <c r="X159" s="32">
        <f t="shared" si="23"/>
        <v>6689.5321509611304</v>
      </c>
      <c r="Y159" s="32">
        <f t="shared" si="23"/>
        <v>6894.8339638378038</v>
      </c>
    </row>
    <row r="160" spans="2:25">
      <c r="B160" s="17" t="s">
        <v>5297</v>
      </c>
      <c r="D160" s="5"/>
      <c r="E160" s="32"/>
      <c r="F160" s="5"/>
      <c r="G160" s="5"/>
      <c r="H160" s="5"/>
      <c r="I160" s="5"/>
      <c r="J160" s="5"/>
      <c r="K160" s="5"/>
      <c r="L160" s="5"/>
      <c r="M160" s="5"/>
      <c r="N160" s="5"/>
      <c r="O160" s="5"/>
      <c r="P160" s="735"/>
      <c r="Q160" s="6"/>
      <c r="R160" s="6"/>
      <c r="S160" s="6"/>
      <c r="T160" s="6"/>
      <c r="U160" s="6"/>
      <c r="V160" s="6"/>
      <c r="W160" s="6"/>
      <c r="X160" s="6"/>
      <c r="Y160" s="6"/>
    </row>
    <row r="161" spans="1:26">
      <c r="B161" s="864" t="s">
        <v>3334</v>
      </c>
      <c r="C161" s="13" t="s">
        <v>5298</v>
      </c>
      <c r="D161" s="5"/>
      <c r="E161" s="32">
        <f>E145-E147</f>
        <v>7.2217669229535204</v>
      </c>
      <c r="F161" s="32">
        <f t="shared" ref="F161:Y161" si="24">F145-F147</f>
        <v>27.866066627503869</v>
      </c>
      <c r="G161" s="32">
        <f t="shared" si="24"/>
        <v>58.627918427554278</v>
      </c>
      <c r="H161" s="32">
        <f t="shared" si="24"/>
        <v>68.815959592290255</v>
      </c>
      <c r="I161" s="32">
        <f t="shared" si="24"/>
        <v>81.791053342851228</v>
      </c>
      <c r="J161" s="32">
        <f t="shared" si="24"/>
        <v>96.102186784823743</v>
      </c>
      <c r="K161" s="32">
        <f t="shared" si="24"/>
        <v>138.24083268751087</v>
      </c>
      <c r="L161" s="32">
        <f t="shared" si="24"/>
        <v>186.77714220600524</v>
      </c>
      <c r="M161" s="32">
        <f t="shared" si="24"/>
        <v>237.47979305767876</v>
      </c>
      <c r="N161" s="32">
        <f t="shared" si="24"/>
        <v>288.45659060794696</v>
      </c>
      <c r="O161" s="32">
        <f t="shared" si="24"/>
        <v>342.48496512636166</v>
      </c>
      <c r="P161" s="32">
        <f t="shared" si="24"/>
        <v>383.76883495010952</v>
      </c>
      <c r="Q161" s="32">
        <f t="shared" si="24"/>
        <v>427.62935846942491</v>
      </c>
      <c r="R161" s="32">
        <f t="shared" si="24"/>
        <v>469.83436725264073</v>
      </c>
      <c r="S161" s="32">
        <f t="shared" si="24"/>
        <v>510.50430372893061</v>
      </c>
      <c r="T161" s="32">
        <f t="shared" si="24"/>
        <v>549.74692667387535</v>
      </c>
      <c r="U161" s="32">
        <f t="shared" si="24"/>
        <v>587.65903191278994</v>
      </c>
      <c r="V161" s="32">
        <f t="shared" si="24"/>
        <v>624.32789077573943</v>
      </c>
      <c r="W161" s="32">
        <f t="shared" si="24"/>
        <v>659.83246010093535</v>
      </c>
      <c r="X161" s="32">
        <f t="shared" si="24"/>
        <v>694.24440598796718</v>
      </c>
      <c r="Y161" s="32">
        <f t="shared" si="24"/>
        <v>727.62897467825496</v>
      </c>
    </row>
    <row r="162" spans="1:26">
      <c r="B162" s="864" t="s">
        <v>3334</v>
      </c>
      <c r="C162" s="13" t="s">
        <v>5299</v>
      </c>
      <c r="D162" s="5"/>
      <c r="E162" s="32">
        <f t="shared" ref="E162:Y162" si="25">IF(E146-E147&gt;0,E146-E147,0)</f>
        <v>0</v>
      </c>
      <c r="F162" s="32">
        <f t="shared" si="25"/>
        <v>0</v>
      </c>
      <c r="G162" s="32">
        <f t="shared" si="25"/>
        <v>48.935389591470766</v>
      </c>
      <c r="H162" s="32">
        <f t="shared" si="25"/>
        <v>219.56119862725836</v>
      </c>
      <c r="I162" s="32">
        <f t="shared" si="25"/>
        <v>398.03124710702059</v>
      </c>
      <c r="J162" s="32">
        <f t="shared" si="25"/>
        <v>582.69737595144829</v>
      </c>
      <c r="K162" s="32">
        <f t="shared" si="25"/>
        <v>760.99226107565005</v>
      </c>
      <c r="L162" s="32">
        <f t="shared" si="25"/>
        <v>836.214316339883</v>
      </c>
      <c r="M162" s="32">
        <f t="shared" si="25"/>
        <v>926.7279849045899</v>
      </c>
      <c r="N162" s="32">
        <f t="shared" si="25"/>
        <v>992.27200151055649</v>
      </c>
      <c r="O162" s="32">
        <f t="shared" si="25"/>
        <v>1036.7410344068207</v>
      </c>
      <c r="P162" s="32">
        <f t="shared" si="25"/>
        <v>1112.6707834949193</v>
      </c>
      <c r="Q162" s="32">
        <f t="shared" si="25"/>
        <v>1173.6982131614259</v>
      </c>
      <c r="R162" s="32">
        <f t="shared" si="25"/>
        <v>1232.422163502737</v>
      </c>
      <c r="S162" s="32">
        <f t="shared" si="25"/>
        <v>1289.010217832616</v>
      </c>
      <c r="T162" s="32">
        <f t="shared" si="25"/>
        <v>1343.6123114589536</v>
      </c>
      <c r="U162" s="32">
        <f t="shared" si="25"/>
        <v>1396.3631258663136</v>
      </c>
      <c r="V162" s="32">
        <f t="shared" si="25"/>
        <v>1447.3840901788881</v>
      </c>
      <c r="W162" s="32">
        <f t="shared" si="25"/>
        <v>1496.7850647563737</v>
      </c>
      <c r="X162" s="32">
        <f t="shared" si="25"/>
        <v>1544.6657656418429</v>
      </c>
      <c r="Y162" s="32">
        <f t="shared" si="25"/>
        <v>1591.1169763027483</v>
      </c>
    </row>
    <row r="163" spans="1:26">
      <c r="B163" s="17"/>
      <c r="D163" s="5"/>
      <c r="E163" s="32"/>
      <c r="F163" s="32"/>
      <c r="G163" s="32"/>
      <c r="H163" s="32"/>
      <c r="I163" s="32"/>
      <c r="J163" s="32"/>
      <c r="K163" s="32"/>
      <c r="L163" s="32"/>
      <c r="M163" s="32"/>
      <c r="N163" s="32"/>
      <c r="O163" s="32"/>
      <c r="P163" s="32"/>
      <c r="Q163" s="32"/>
      <c r="R163" s="32"/>
      <c r="S163" s="32"/>
      <c r="T163" s="32"/>
      <c r="U163" s="32"/>
      <c r="V163" s="32"/>
      <c r="W163" s="32"/>
      <c r="X163" s="32"/>
      <c r="Y163" s="32"/>
    </row>
    <row r="164" spans="1:26">
      <c r="B164" s="864" t="s">
        <v>5</v>
      </c>
      <c r="C164" s="13" t="s">
        <v>5298</v>
      </c>
      <c r="D164" s="5"/>
      <c r="E164" s="32">
        <f>E149-E151</f>
        <v>2.3899822557214065</v>
      </c>
      <c r="F164" s="32">
        <f t="shared" ref="F164:Y164" si="26">F149-F151</f>
        <v>24.10370040262967</v>
      </c>
      <c r="G164" s="32">
        <f t="shared" si="26"/>
        <v>54.031551884912346</v>
      </c>
      <c r="H164" s="32">
        <f t="shared" si="26"/>
        <v>58.004069806336133</v>
      </c>
      <c r="I164" s="32">
        <f t="shared" si="26"/>
        <v>63.090803845606843</v>
      </c>
      <c r="J164" s="32">
        <f t="shared" si="26"/>
        <v>75.691962689116735</v>
      </c>
      <c r="K164" s="32">
        <f t="shared" si="26"/>
        <v>113.16642569280179</v>
      </c>
      <c r="L164" s="32">
        <f t="shared" si="26"/>
        <v>143.94588428835686</v>
      </c>
      <c r="M164" s="32">
        <f t="shared" si="26"/>
        <v>175.09335474024442</v>
      </c>
      <c r="N164" s="32">
        <f t="shared" si="26"/>
        <v>208.12757647975536</v>
      </c>
      <c r="O164" s="32">
        <f t="shared" si="26"/>
        <v>242.94846910052797</v>
      </c>
      <c r="P164" s="32">
        <f t="shared" si="26"/>
        <v>268.91428532647478</v>
      </c>
      <c r="Q164" s="32">
        <f t="shared" si="26"/>
        <v>296.74530338004388</v>
      </c>
      <c r="R164" s="32">
        <f t="shared" si="26"/>
        <v>323.52584011667113</v>
      </c>
      <c r="S164" s="32">
        <f t="shared" si="26"/>
        <v>349.33232042032341</v>
      </c>
      <c r="T164" s="32">
        <f t="shared" si="26"/>
        <v>374.23312095840174</v>
      </c>
      <c r="U164" s="32">
        <f t="shared" si="26"/>
        <v>398.28966202746506</v>
      </c>
      <c r="V164" s="32">
        <f t="shared" si="26"/>
        <v>421.55732030265881</v>
      </c>
      <c r="W164" s="32">
        <f t="shared" si="26"/>
        <v>444.0861966266848</v>
      </c>
      <c r="X164" s="32">
        <f t="shared" si="26"/>
        <v>465.92176561661381</v>
      </c>
      <c r="Y164" s="32">
        <f t="shared" si="26"/>
        <v>487.10542826762867</v>
      </c>
    </row>
    <row r="165" spans="1:26">
      <c r="B165" s="864" t="s">
        <v>5</v>
      </c>
      <c r="C165" s="13" t="s">
        <v>5299</v>
      </c>
      <c r="D165" s="5"/>
      <c r="E165" s="32">
        <f t="shared" ref="E165:Y165" si="27">IF(E150-E151&gt;0,E150-E151,0)</f>
        <v>0</v>
      </c>
      <c r="F165" s="32">
        <f t="shared" si="27"/>
        <v>0</v>
      </c>
      <c r="G165" s="32">
        <f t="shared" si="27"/>
        <v>158.3227985350976</v>
      </c>
      <c r="H165" s="32">
        <f t="shared" si="27"/>
        <v>376.9501298356339</v>
      </c>
      <c r="I165" s="32">
        <f t="shared" si="27"/>
        <v>623.76784731019234</v>
      </c>
      <c r="J165" s="32">
        <f t="shared" si="27"/>
        <v>901.48242689827771</v>
      </c>
      <c r="K165" s="32">
        <f t="shared" si="27"/>
        <v>1202.8655627111766</v>
      </c>
      <c r="L165" s="32">
        <f t="shared" si="27"/>
        <v>1312.7196157026019</v>
      </c>
      <c r="M165" s="32">
        <f t="shared" si="27"/>
        <v>1490.2513923420106</v>
      </c>
      <c r="N165" s="32">
        <f t="shared" si="27"/>
        <v>1652.3882117894332</v>
      </c>
      <c r="O165" s="32">
        <f t="shared" si="27"/>
        <v>1798.3652091449349</v>
      </c>
      <c r="P165" s="32">
        <f t="shared" si="27"/>
        <v>1927.3532917729199</v>
      </c>
      <c r="Q165" s="32">
        <f t="shared" si="27"/>
        <v>2058.9074078316553</v>
      </c>
      <c r="R165" s="32">
        <f t="shared" si="27"/>
        <v>2185.4960159517213</v>
      </c>
      <c r="S165" s="32">
        <f t="shared" si="27"/>
        <v>2307.4803680296682</v>
      </c>
      <c r="T165" s="32">
        <f t="shared" si="27"/>
        <v>2425.1836729406314</v>
      </c>
      <c r="U165" s="32">
        <f t="shared" si="27"/>
        <v>2538.896257571203</v>
      </c>
      <c r="V165" s="32">
        <f t="shared" si="27"/>
        <v>2648.8798812840796</v>
      </c>
      <c r="W165" s="32">
        <f t="shared" si="27"/>
        <v>2755.3713651708422</v>
      </c>
      <c r="X165" s="32">
        <f t="shared" si="27"/>
        <v>2858.5856626708701</v>
      </c>
      <c r="Y165" s="32">
        <f t="shared" si="27"/>
        <v>2958.718471667532</v>
      </c>
    </row>
    <row r="166" spans="1:26">
      <c r="B166" s="17"/>
      <c r="D166" s="5"/>
      <c r="E166" s="32"/>
      <c r="F166" s="32"/>
      <c r="G166" s="32"/>
      <c r="H166" s="32"/>
      <c r="I166" s="32"/>
      <c r="J166" s="32"/>
      <c r="K166" s="32"/>
      <c r="L166" s="32"/>
      <c r="M166" s="32"/>
      <c r="N166" s="32"/>
      <c r="O166" s="32"/>
      <c r="P166" s="32"/>
      <c r="Q166" s="32"/>
      <c r="R166" s="32"/>
      <c r="S166" s="32"/>
      <c r="T166" s="32"/>
      <c r="U166" s="32"/>
      <c r="V166" s="32"/>
      <c r="W166" s="32"/>
      <c r="X166" s="32"/>
      <c r="Y166" s="32"/>
    </row>
    <row r="167" spans="1:26">
      <c r="B167" s="864" t="s">
        <v>143</v>
      </c>
      <c r="C167" s="13" t="s">
        <v>5298</v>
      </c>
      <c r="D167" s="5"/>
      <c r="E167" s="32">
        <f>E153-E155</f>
        <v>15.724865669655003</v>
      </c>
      <c r="F167" s="32">
        <f t="shared" ref="F167:Y167" si="28">F153-F155</f>
        <v>24.647520252077982</v>
      </c>
      <c r="G167" s="32">
        <f t="shared" si="28"/>
        <v>33.703282707424023</v>
      </c>
      <c r="H167" s="32">
        <f t="shared" si="28"/>
        <v>34.671752708765041</v>
      </c>
      <c r="I167" s="32">
        <f t="shared" si="28"/>
        <v>35.560395423882028</v>
      </c>
      <c r="J167" s="32">
        <f t="shared" si="28"/>
        <v>36.500871379307966</v>
      </c>
      <c r="K167" s="32">
        <f t="shared" si="28"/>
        <v>45.218300424503013</v>
      </c>
      <c r="L167" s="32">
        <f t="shared" si="28"/>
        <v>51.894484177745028</v>
      </c>
      <c r="M167" s="32">
        <f t="shared" si="28"/>
        <v>57.288843995682043</v>
      </c>
      <c r="N167" s="32">
        <f t="shared" si="28"/>
        <v>61.250779841281087</v>
      </c>
      <c r="O167" s="32">
        <f t="shared" si="28"/>
        <v>64.056518603987001</v>
      </c>
      <c r="P167" s="32">
        <f t="shared" si="28"/>
        <v>69.37553545634546</v>
      </c>
      <c r="Q167" s="32">
        <f t="shared" si="28"/>
        <v>73.438801339025758</v>
      </c>
      <c r="R167" s="32">
        <f t="shared" si="28"/>
        <v>77.348699318048602</v>
      </c>
      <c r="S167" s="32">
        <f t="shared" si="28"/>
        <v>81.11638725415105</v>
      </c>
      <c r="T167" s="32">
        <f t="shared" si="28"/>
        <v>84.751847986598932</v>
      </c>
      <c r="U167" s="32">
        <f t="shared" si="28"/>
        <v>88.264048740199541</v>
      </c>
      <c r="V167" s="32">
        <f t="shared" si="28"/>
        <v>91.661074384661333</v>
      </c>
      <c r="W167" s="32">
        <f t="shared" si="28"/>
        <v>94.950239530051476</v>
      </c>
      <c r="X167" s="32">
        <f t="shared" si="28"/>
        <v>98.138183367927923</v>
      </c>
      <c r="Y167" s="32">
        <f t="shared" si="28"/>
        <v>101.23095035023471</v>
      </c>
    </row>
    <row r="168" spans="1:26">
      <c r="B168" s="864" t="s">
        <v>143</v>
      </c>
      <c r="C168" s="13" t="s">
        <v>5299</v>
      </c>
      <c r="D168" s="5"/>
      <c r="E168" s="32">
        <f t="shared" ref="E168:Y168" si="29">IF(E154-E155&gt;0,E154-E155,0)</f>
        <v>30.127352667368285</v>
      </c>
      <c r="F168" s="32">
        <f t="shared" si="29"/>
        <v>59.991016903680304</v>
      </c>
      <c r="G168" s="32">
        <f t="shared" si="29"/>
        <v>84.893584095032395</v>
      </c>
      <c r="H168" s="32">
        <f t="shared" si="29"/>
        <v>142.02529935795798</v>
      </c>
      <c r="I168" s="32">
        <f t="shared" si="29"/>
        <v>201.70004058916368</v>
      </c>
      <c r="J168" s="32">
        <f t="shared" si="29"/>
        <v>263.66145587146838</v>
      </c>
      <c r="K168" s="32">
        <f t="shared" si="29"/>
        <v>305.41749681234842</v>
      </c>
      <c r="L168" s="32">
        <f t="shared" si="29"/>
        <v>330.49871407984489</v>
      </c>
      <c r="M168" s="32">
        <f t="shared" si="29"/>
        <v>354.31187233638292</v>
      </c>
      <c r="N168" s="32">
        <f t="shared" si="29"/>
        <v>373.27939541116189</v>
      </c>
      <c r="O168" s="32">
        <f t="shared" si="29"/>
        <v>388.28503547152025</v>
      </c>
      <c r="P168" s="32">
        <f t="shared" si="29"/>
        <v>410.07645328455692</v>
      </c>
      <c r="Q168" s="32">
        <f t="shared" si="29"/>
        <v>428.06307233665166</v>
      </c>
      <c r="R168" s="32">
        <f t="shared" si="29"/>
        <v>445.37078674958593</v>
      </c>
      <c r="S168" s="32">
        <f t="shared" si="29"/>
        <v>462.04898836634857</v>
      </c>
      <c r="T168" s="32">
        <f t="shared" si="29"/>
        <v>478.14186763179714</v>
      </c>
      <c r="U168" s="32">
        <f t="shared" si="29"/>
        <v>493.68911923026417</v>
      </c>
      <c r="V168" s="32">
        <f t="shared" si="29"/>
        <v>508.72653197688851</v>
      </c>
      <c r="W168" s="32">
        <f t="shared" si="29"/>
        <v>523.28648502395436</v>
      </c>
      <c r="X168" s="32">
        <f t="shared" si="29"/>
        <v>537.3983676885282</v>
      </c>
      <c r="Y168" s="32">
        <f t="shared" si="29"/>
        <v>551.08893658897205</v>
      </c>
    </row>
    <row r="169" spans="1:26">
      <c r="B169" s="17"/>
      <c r="D169" s="5"/>
      <c r="E169" s="32"/>
      <c r="F169" s="5"/>
      <c r="G169" s="5"/>
      <c r="H169" s="5"/>
      <c r="I169" s="5"/>
      <c r="J169" s="5"/>
      <c r="K169" s="5"/>
      <c r="L169" s="5"/>
      <c r="M169" s="5"/>
      <c r="N169" s="5"/>
      <c r="O169" s="5"/>
      <c r="P169" s="735"/>
      <c r="Q169" s="6"/>
      <c r="R169" s="6"/>
      <c r="S169" s="6"/>
      <c r="T169" s="6"/>
      <c r="U169" s="6"/>
      <c r="V169" s="6"/>
      <c r="W169" s="6"/>
      <c r="X169" s="6"/>
      <c r="Y169" s="6"/>
    </row>
    <row r="170" spans="1:26">
      <c r="B170" s="864" t="s">
        <v>4329</v>
      </c>
      <c r="C170" s="13" t="s">
        <v>5298</v>
      </c>
      <c r="D170" s="5"/>
      <c r="E170" s="5">
        <f>SUM(E161,E164,E167)</f>
        <v>25.33661484832993</v>
      </c>
      <c r="F170" s="5">
        <f t="shared" ref="F170:O170" si="30">SUM(F161,F164,F167)</f>
        <v>76.617287282211521</v>
      </c>
      <c r="G170" s="5">
        <f t="shared" si="30"/>
        <v>146.36275301989065</v>
      </c>
      <c r="H170" s="5">
        <f t="shared" si="30"/>
        <v>161.49178210739143</v>
      </c>
      <c r="I170" s="5">
        <f t="shared" si="30"/>
        <v>180.4422526123401</v>
      </c>
      <c r="J170" s="5">
        <f t="shared" si="30"/>
        <v>208.29502085324845</v>
      </c>
      <c r="K170" s="5">
        <f t="shared" si="30"/>
        <v>296.62555880481568</v>
      </c>
      <c r="L170" s="5">
        <f t="shared" si="30"/>
        <v>382.61751067210713</v>
      </c>
      <c r="M170" s="5">
        <f t="shared" si="30"/>
        <v>469.86199179360523</v>
      </c>
      <c r="N170" s="5">
        <f t="shared" si="30"/>
        <v>557.83494692898341</v>
      </c>
      <c r="O170" s="5">
        <f t="shared" si="30"/>
        <v>649.48995283087663</v>
      </c>
      <c r="P170" s="5">
        <f t="shared" ref="P170:Y170" si="31">SUM(P161,P164,P167)</f>
        <v>722.05865573292976</v>
      </c>
      <c r="Q170" s="5">
        <f t="shared" si="31"/>
        <v>797.81346318849455</v>
      </c>
      <c r="R170" s="5">
        <f t="shared" si="31"/>
        <v>870.70890668736047</v>
      </c>
      <c r="S170" s="5">
        <f t="shared" si="31"/>
        <v>940.95301140340507</v>
      </c>
      <c r="T170" s="5">
        <f t="shared" si="31"/>
        <v>1008.731895618876</v>
      </c>
      <c r="U170" s="5">
        <f t="shared" si="31"/>
        <v>1074.2127426804545</v>
      </c>
      <c r="V170" s="5">
        <f t="shared" si="31"/>
        <v>1137.5462854630596</v>
      </c>
      <c r="W170" s="5">
        <f t="shared" si="31"/>
        <v>1198.8688962576716</v>
      </c>
      <c r="X170" s="5">
        <f t="shared" si="31"/>
        <v>1258.3043549725089</v>
      </c>
      <c r="Y170" s="5">
        <f t="shared" si="31"/>
        <v>1315.9653532961183</v>
      </c>
    </row>
    <row r="171" spans="1:26">
      <c r="B171" s="864" t="s">
        <v>4329</v>
      </c>
      <c r="C171" s="13" t="s">
        <v>5299</v>
      </c>
      <c r="D171" s="5"/>
      <c r="E171" s="5">
        <f>SUM(E162,E165,E168)</f>
        <v>30.127352667368285</v>
      </c>
      <c r="F171" s="5">
        <f t="shared" ref="F171:O171" si="32">SUM(F162,F165,F168)</f>
        <v>59.991016903680304</v>
      </c>
      <c r="G171" s="5">
        <f t="shared" si="32"/>
        <v>292.15177222160077</v>
      </c>
      <c r="H171" s="5">
        <f t="shared" si="32"/>
        <v>738.5366278208503</v>
      </c>
      <c r="I171" s="5">
        <f t="shared" si="32"/>
        <v>1223.4991350063765</v>
      </c>
      <c r="J171" s="5">
        <f t="shared" si="32"/>
        <v>1747.8412587211944</v>
      </c>
      <c r="K171" s="5">
        <f t="shared" si="32"/>
        <v>2269.2753205991748</v>
      </c>
      <c r="L171" s="5">
        <f t="shared" si="32"/>
        <v>2479.43264612233</v>
      </c>
      <c r="M171" s="5">
        <f t="shared" si="32"/>
        <v>2771.2912495829833</v>
      </c>
      <c r="N171" s="5">
        <f t="shared" si="32"/>
        <v>3017.9396087111518</v>
      </c>
      <c r="O171" s="5">
        <f t="shared" si="32"/>
        <v>3223.3912790232757</v>
      </c>
      <c r="P171" s="5">
        <f t="shared" ref="P171:Y171" si="33">SUM(P162,P165,P168)</f>
        <v>3450.1005285523961</v>
      </c>
      <c r="Q171" s="5">
        <f t="shared" si="33"/>
        <v>3660.6686933297328</v>
      </c>
      <c r="R171" s="5">
        <f t="shared" si="33"/>
        <v>3863.2889662040443</v>
      </c>
      <c r="S171" s="5">
        <f t="shared" si="33"/>
        <v>4058.5395742286328</v>
      </c>
      <c r="T171" s="5">
        <f t="shared" si="33"/>
        <v>4246.9378520313821</v>
      </c>
      <c r="U171" s="5">
        <f t="shared" si="33"/>
        <v>4428.9485026677812</v>
      </c>
      <c r="V171" s="5">
        <f t="shared" si="33"/>
        <v>4604.9905034398562</v>
      </c>
      <c r="W171" s="5">
        <f t="shared" si="33"/>
        <v>4775.4429149511707</v>
      </c>
      <c r="X171" s="5">
        <f t="shared" si="33"/>
        <v>4940.6497960012412</v>
      </c>
      <c r="Y171" s="5">
        <f t="shared" si="33"/>
        <v>5100.9243845592518</v>
      </c>
    </row>
    <row r="172" spans="1:26">
      <c r="B172" s="17" t="s">
        <v>5501</v>
      </c>
      <c r="D172" s="5"/>
      <c r="E172" s="32"/>
      <c r="F172" s="5"/>
      <c r="G172" s="5"/>
      <c r="H172" s="5"/>
      <c r="I172" s="5"/>
      <c r="J172" s="5"/>
      <c r="K172" s="5"/>
      <c r="L172" s="5"/>
      <c r="M172" s="5"/>
      <c r="N172" s="5"/>
      <c r="O172" s="5"/>
      <c r="P172" s="6"/>
      <c r="Q172" s="6"/>
      <c r="R172" s="6"/>
      <c r="S172" s="6"/>
      <c r="T172" s="6"/>
      <c r="U172" s="6"/>
      <c r="V172" s="6"/>
      <c r="W172" s="6"/>
      <c r="X172" s="6"/>
      <c r="Y172" s="6"/>
    </row>
    <row r="173" spans="1:26">
      <c r="A173" s="17" t="s">
        <v>5189</v>
      </c>
      <c r="B173" s="58">
        <f>IF(Scenarios!$B$58="CSI Impact Eval",$B$241,IF(Scenarios!$B$58="CED forecast",$B$235,Scenarios!$B$61))</f>
        <v>0.47094768108483803</v>
      </c>
      <c r="C173" s="13" t="s">
        <v>5298</v>
      </c>
      <c r="D173" s="5"/>
      <c r="E173" s="32">
        <f>$B$173*(E161*$E$139+E164*$F$139+E167*$G$139)</f>
        <v>13.058603072621661</v>
      </c>
      <c r="F173" s="32">
        <f t="shared" ref="F173:Y173" si="34">$B$173*(F161*$E$139+F164*$F$139+F167*$G$139)</f>
        <v>39.332768042374468</v>
      </c>
      <c r="G173" s="32">
        <f t="shared" si="34"/>
        <v>75.065092249491769</v>
      </c>
      <c r="H173" s="32">
        <f t="shared" si="34"/>
        <v>82.841452679532466</v>
      </c>
      <c r="I173" s="32">
        <f t="shared" si="34"/>
        <v>92.581100991034688</v>
      </c>
      <c r="J173" s="32">
        <f t="shared" si="34"/>
        <v>106.84559854529094</v>
      </c>
      <c r="K173" s="32">
        <f t="shared" si="34"/>
        <v>152.10504538475769</v>
      </c>
      <c r="L173" s="32">
        <f t="shared" si="34"/>
        <v>196.22348366911183</v>
      </c>
      <c r="M173" s="32">
        <f t="shared" si="34"/>
        <v>240.98597971983068</v>
      </c>
      <c r="N173" s="32">
        <f t="shared" si="34"/>
        <v>286.1068418261616</v>
      </c>
      <c r="O173" s="32">
        <f t="shared" si="34"/>
        <v>333.1128348794806</v>
      </c>
      <c r="P173" s="32">
        <f t="shared" si="34"/>
        <v>370.34467094021647</v>
      </c>
      <c r="Q173" s="32">
        <f t="shared" si="34"/>
        <v>409.20468767260826</v>
      </c>
      <c r="R173" s="32">
        <f t="shared" si="34"/>
        <v>446.59793371501462</v>
      </c>
      <c r="S173" s="32">
        <f t="shared" si="34"/>
        <v>482.63111994175699</v>
      </c>
      <c r="T173" s="32">
        <f t="shared" si="34"/>
        <v>517.39971962780328</v>
      </c>
      <c r="U173" s="32">
        <f t="shared" si="34"/>
        <v>550.9894929759397</v>
      </c>
      <c r="V173" s="32">
        <f t="shared" si="34"/>
        <v>583.4777615745669</v>
      </c>
      <c r="W173" s="32">
        <f t="shared" si="34"/>
        <v>614.93448044947615</v>
      </c>
      <c r="X173" s="32">
        <f t="shared" si="34"/>
        <v>645.42314509971266</v>
      </c>
      <c r="Y173" s="32">
        <f t="shared" si="34"/>
        <v>675.00156308957037</v>
      </c>
    </row>
    <row r="174" spans="1:26">
      <c r="A174" s="17" t="s">
        <v>5189</v>
      </c>
      <c r="B174" s="58">
        <f>IF(Scenarios!$B$58="CSI Impact Eval",$B$241,IF(Scenarios!$B$58="CED forecast",$B$235,Scenarios!$B$61))</f>
        <v>0.47094768108483803</v>
      </c>
      <c r="C174" s="13" t="s">
        <v>5299</v>
      </c>
      <c r="D174" s="5"/>
      <c r="E174" s="32">
        <f>$B$174*(E162*$E$139+E165*$F$139+E168*$G$139)</f>
        <v>15.550493936010735</v>
      </c>
      <c r="F174" s="32">
        <f t="shared" ref="F174:Y174" si="35">$B$174*(F162*$E$139+F165*$F$139+F168*$G$139)</f>
        <v>30.964882805193678</v>
      </c>
      <c r="G174" s="32">
        <f t="shared" si="35"/>
        <v>149.32847773082895</v>
      </c>
      <c r="H174" s="32">
        <f t="shared" si="35"/>
        <v>377.7550010929516</v>
      </c>
      <c r="I174" s="32">
        <f t="shared" si="35"/>
        <v>625.83188363115585</v>
      </c>
      <c r="J174" s="32">
        <f t="shared" si="35"/>
        <v>893.9467981265185</v>
      </c>
      <c r="K174" s="32">
        <f t="shared" si="35"/>
        <v>1160.3347577696047</v>
      </c>
      <c r="L174" s="32">
        <f t="shared" si="35"/>
        <v>1267.809996401277</v>
      </c>
      <c r="M174" s="32">
        <f t="shared" si="35"/>
        <v>1416.825805257932</v>
      </c>
      <c r="N174" s="32">
        <f t="shared" si="35"/>
        <v>1542.6392000389876</v>
      </c>
      <c r="O174" s="32">
        <f t="shared" si="35"/>
        <v>1647.3308505875018</v>
      </c>
      <c r="P174" s="32">
        <f t="shared" si="35"/>
        <v>1763.1696188581961</v>
      </c>
      <c r="Q174" s="32">
        <f t="shared" si="35"/>
        <v>1870.6458389145255</v>
      </c>
      <c r="R174" s="32">
        <f t="shared" si="35"/>
        <v>1974.0653708192685</v>
      </c>
      <c r="S174" s="32">
        <f t="shared" si="35"/>
        <v>2073.7233477806622</v>
      </c>
      <c r="T174" s="32">
        <f t="shared" si="35"/>
        <v>2169.8838228684949</v>
      </c>
      <c r="U174" s="32">
        <f t="shared" si="35"/>
        <v>2262.7839854409276</v>
      </c>
      <c r="V174" s="32">
        <f t="shared" si="35"/>
        <v>2352.637685947569</v>
      </c>
      <c r="W174" s="32">
        <f t="shared" si="35"/>
        <v>2439.6384009326375</v>
      </c>
      <c r="X174" s="32">
        <f t="shared" si="35"/>
        <v>2523.9617416490887</v>
      </c>
      <c r="Y174" s="32">
        <f t="shared" si="35"/>
        <v>2605.7675880718543</v>
      </c>
    </row>
    <row r="175" spans="1:26">
      <c r="E175" s="5"/>
      <c r="F175" s="5"/>
      <c r="G175" s="5"/>
      <c r="H175" s="5"/>
      <c r="I175" s="5"/>
      <c r="J175" s="5"/>
      <c r="K175" s="5"/>
      <c r="L175" s="5"/>
      <c r="M175" s="5"/>
      <c r="N175" s="5"/>
      <c r="O175" s="5"/>
    </row>
    <row r="176" spans="1:26" s="51" customFormat="1">
      <c r="B176" s="52" t="s">
        <v>4364</v>
      </c>
      <c r="C176" s="53"/>
      <c r="D176" s="53"/>
      <c r="E176" s="54"/>
      <c r="F176" s="54"/>
      <c r="G176" s="54"/>
      <c r="H176" s="54"/>
      <c r="I176" s="54"/>
      <c r="J176" s="54"/>
      <c r="K176" s="54"/>
      <c r="L176" s="54"/>
      <c r="M176" s="54"/>
      <c r="N176" s="54"/>
      <c r="O176" s="54"/>
      <c r="P176" s="53"/>
      <c r="Q176" s="53"/>
      <c r="R176" s="53"/>
      <c r="S176" s="53"/>
      <c r="T176" s="53"/>
      <c r="U176" s="53"/>
      <c r="V176" s="53"/>
      <c r="W176" s="53"/>
      <c r="X176" s="53"/>
      <c r="Y176" s="53"/>
      <c r="Z176" s="46"/>
    </row>
    <row r="177" spans="1:26">
      <c r="A177" s="17"/>
      <c r="B177" s="17" t="s">
        <v>5502</v>
      </c>
      <c r="D177" s="5"/>
      <c r="E177" s="5"/>
      <c r="F177" s="5"/>
      <c r="G177" s="5"/>
      <c r="H177" s="5"/>
      <c r="I177" s="5"/>
      <c r="J177" s="5"/>
      <c r="K177" s="5"/>
      <c r="L177" s="5"/>
      <c r="M177" s="5"/>
      <c r="N177" s="5"/>
      <c r="O177" s="5"/>
      <c r="P177" s="5"/>
      <c r="Q177" s="5"/>
      <c r="R177" s="5"/>
      <c r="S177" s="5"/>
      <c r="T177" s="5"/>
      <c r="U177" s="5"/>
      <c r="V177" s="5"/>
      <c r="W177" s="5"/>
      <c r="X177" s="5"/>
      <c r="Y177" s="5"/>
    </row>
    <row r="178" spans="1:26">
      <c r="A178" s="17" t="s">
        <v>5190</v>
      </c>
      <c r="B178" s="172">
        <f>IF(Scenarios!$B$64="CSI Impact Eval",$B$238,IF(Scenarios!$B$64="CED forecast",$B$232,Scenarios!$B$67))</f>
        <v>0.189809928162638</v>
      </c>
      <c r="C178" s="13" t="s">
        <v>5298</v>
      </c>
      <c r="D178" s="5"/>
      <c r="E178" s="5">
        <f t="shared" ref="E178:Y178" si="36">E170*8760*$B178/1000</f>
        <v>42.128075547594356</v>
      </c>
      <c r="F178" s="5">
        <f t="shared" si="36"/>
        <v>127.39424292466225</v>
      </c>
      <c r="G178" s="5">
        <f t="shared" si="36"/>
        <v>243.36246785478843</v>
      </c>
      <c r="H178" s="5">
        <f t="shared" si="36"/>
        <v>268.51803359138472</v>
      </c>
      <c r="I178" s="5">
        <f t="shared" si="36"/>
        <v>300.027643611271</v>
      </c>
      <c r="J178" s="5">
        <f t="shared" si="36"/>
        <v>346.33941539636277</v>
      </c>
      <c r="K178" s="5">
        <f t="shared" si="36"/>
        <v>493.20968982959312</v>
      </c>
      <c r="L178" s="5">
        <f t="shared" si="36"/>
        <v>636.19151539849463</v>
      </c>
      <c r="M178" s="5">
        <f t="shared" si="36"/>
        <v>781.2559651601963</v>
      </c>
      <c r="N178" s="5">
        <f t="shared" si="36"/>
        <v>927.5316741400261</v>
      </c>
      <c r="O178" s="5">
        <f t="shared" si="36"/>
        <v>1079.9296576932504</v>
      </c>
      <c r="P178" s="5">
        <f t="shared" si="36"/>
        <v>1200.5921777871745</v>
      </c>
      <c r="Q178" s="5">
        <f t="shared" si="36"/>
        <v>1326.552345342544</v>
      </c>
      <c r="R178" s="5">
        <f t="shared" si="36"/>
        <v>1447.7581484531374</v>
      </c>
      <c r="S178" s="5">
        <f t="shared" si="36"/>
        <v>1564.5554778503483</v>
      </c>
      <c r="T178" s="5">
        <f t="shared" si="36"/>
        <v>1677.2537989107573</v>
      </c>
      <c r="U178" s="5">
        <f t="shared" si="36"/>
        <v>1786.1310932314104</v>
      </c>
      <c r="V178" s="5">
        <f t="shared" si="36"/>
        <v>1891.4379896346711</v>
      </c>
      <c r="W178" s="5">
        <f t="shared" si="36"/>
        <v>1993.4012390977862</v>
      </c>
      <c r="X178" s="5">
        <f t="shared" si="36"/>
        <v>2092.2266548028219</v>
      </c>
      <c r="Y178" s="5">
        <f t="shared" si="36"/>
        <v>2188.1016131612332</v>
      </c>
    </row>
    <row r="179" spans="1:26">
      <c r="A179" s="17" t="s">
        <v>5190</v>
      </c>
      <c r="B179" s="172">
        <f>IF(Scenarios!$B$64="CSI Impact Eval",$B$238,IF(Scenarios!$B$64="CED forecast",$B$232,Scenarios!$B$67))</f>
        <v>0.189809928162638</v>
      </c>
      <c r="C179" s="13" t="s">
        <v>5299</v>
      </c>
      <c r="D179" s="5"/>
      <c r="E179" s="5">
        <f t="shared" ref="E179:Y179" si="37">E171*8760*$B179/1000</f>
        <v>50.093802854787043</v>
      </c>
      <c r="F179" s="5">
        <f t="shared" si="37"/>
        <v>99.749161733886567</v>
      </c>
      <c r="G179" s="5">
        <f t="shared" si="37"/>
        <v>485.77096842621222</v>
      </c>
      <c r="H179" s="5">
        <f t="shared" si="37"/>
        <v>1227.990678224056</v>
      </c>
      <c r="I179" s="5">
        <f t="shared" si="37"/>
        <v>2034.354798402064</v>
      </c>
      <c r="J179" s="5">
        <f t="shared" si="37"/>
        <v>2906.1967841162668</v>
      </c>
      <c r="K179" s="5">
        <f t="shared" si="37"/>
        <v>3773.2034337173882</v>
      </c>
      <c r="L179" s="5">
        <f t="shared" si="37"/>
        <v>4122.6393682145108</v>
      </c>
      <c r="M179" s="5">
        <f t="shared" si="37"/>
        <v>4607.9228746895778</v>
      </c>
      <c r="N179" s="5">
        <f t="shared" si="37"/>
        <v>5018.0337268789181</v>
      </c>
      <c r="O179" s="5">
        <f t="shared" si="37"/>
        <v>5359.6454038965803</v>
      </c>
      <c r="P179" s="5">
        <f t="shared" si="37"/>
        <v>5736.6028012708684</v>
      </c>
      <c r="Q179" s="5">
        <f t="shared" si="37"/>
        <v>6086.7218525632579</v>
      </c>
      <c r="R179" s="5">
        <f t="shared" si="37"/>
        <v>6423.6256660451063</v>
      </c>
      <c r="S179" s="5">
        <f t="shared" si="37"/>
        <v>6748.2756800589477</v>
      </c>
      <c r="T179" s="5">
        <f t="shared" si="37"/>
        <v>7061.5320849821192</v>
      </c>
      <c r="U179" s="5">
        <f t="shared" si="37"/>
        <v>7364.1675588359776</v>
      </c>
      <c r="V179" s="5">
        <f t="shared" si="37"/>
        <v>7656.8787498325319</v>
      </c>
      <c r="W179" s="5">
        <f t="shared" si="37"/>
        <v>7940.2959352933449</v>
      </c>
      <c r="X179" s="5">
        <f t="shared" si="37"/>
        <v>8214.9911938163496</v>
      </c>
      <c r="Y179" s="5">
        <f t="shared" si="37"/>
        <v>8481.4853571270633</v>
      </c>
    </row>
    <row r="180" spans="1:26">
      <c r="E180" s="5"/>
      <c r="F180" s="5"/>
      <c r="G180" s="5"/>
      <c r="H180" s="5"/>
      <c r="I180" s="5"/>
      <c r="J180" s="5"/>
      <c r="K180" s="5"/>
      <c r="L180" s="5"/>
      <c r="M180" s="5"/>
      <c r="N180" s="5"/>
      <c r="O180" s="5"/>
    </row>
    <row r="181" spans="1:26" s="51" customFormat="1">
      <c r="B181" s="55" t="s">
        <v>5279</v>
      </c>
      <c r="C181" s="56"/>
      <c r="D181" s="56"/>
      <c r="E181" s="57"/>
      <c r="F181" s="57"/>
      <c r="G181" s="57"/>
      <c r="H181" s="57"/>
      <c r="I181" s="57"/>
      <c r="J181" s="57"/>
      <c r="K181" s="56"/>
      <c r="L181" s="56"/>
      <c r="M181" s="56"/>
      <c r="N181" s="56"/>
      <c r="O181" s="56"/>
      <c r="P181" s="56"/>
      <c r="Q181" s="56"/>
      <c r="R181" s="56"/>
      <c r="S181" s="56"/>
      <c r="T181" s="56"/>
      <c r="U181" s="56"/>
      <c r="V181" s="56"/>
      <c r="W181" s="56"/>
      <c r="X181" s="56"/>
      <c r="Y181" s="56"/>
      <c r="Z181" s="46"/>
    </row>
    <row r="182" spans="1:26" customFormat="1">
      <c r="B182" s="17" t="s">
        <v>4391</v>
      </c>
      <c r="Z182" s="8"/>
    </row>
    <row r="183" spans="1:26" s="19" customFormat="1">
      <c r="B183" s="218" t="s">
        <v>4365</v>
      </c>
      <c r="C183" s="19" t="s">
        <v>0</v>
      </c>
      <c r="D183" s="19" t="s">
        <v>4389</v>
      </c>
      <c r="E183" s="33">
        <v>119.70368404672936</v>
      </c>
      <c r="F183" s="33">
        <v>395.14168750785177</v>
      </c>
      <c r="G183" s="33">
        <v>513.2805373124487</v>
      </c>
      <c r="H183" s="33">
        <v>634.39724996208554</v>
      </c>
      <c r="I183" s="33">
        <v>756.24045273105037</v>
      </c>
      <c r="J183" s="33">
        <v>878.16677626413252</v>
      </c>
      <c r="K183" s="33">
        <v>1000.2982024326923</v>
      </c>
      <c r="L183" s="33">
        <v>1049.2681335634211</v>
      </c>
      <c r="M183" s="33">
        <v>1098.8480185656213</v>
      </c>
      <c r="N183" s="33">
        <v>1149.1352309441595</v>
      </c>
      <c r="O183" s="33">
        <v>1200.1815805029544</v>
      </c>
      <c r="P183" s="33">
        <v>1262.4615805029543</v>
      </c>
      <c r="Q183" s="33">
        <v>1274.3215805029545</v>
      </c>
      <c r="R183" s="33">
        <v>1286.1815805029546</v>
      </c>
      <c r="S183" s="33">
        <v>1298.0415805029543</v>
      </c>
      <c r="T183" s="33">
        <v>1309.9015805029544</v>
      </c>
      <c r="U183" s="33">
        <v>1321.7615805029543</v>
      </c>
      <c r="V183" s="36">
        <f>U183</f>
        <v>1321.7615805029543</v>
      </c>
      <c r="W183" s="36">
        <f t="shared" ref="W183:Y183" si="38">V183</f>
        <v>1321.7615805029543</v>
      </c>
      <c r="X183" s="36">
        <f t="shared" si="38"/>
        <v>1321.7615805029543</v>
      </c>
      <c r="Y183" s="36">
        <f t="shared" si="38"/>
        <v>1321.7615805029543</v>
      </c>
      <c r="Z183" s="8"/>
    </row>
    <row r="184" spans="1:26" s="19" customFormat="1">
      <c r="B184" s="218" t="s">
        <v>4365</v>
      </c>
      <c r="C184" s="19" t="s">
        <v>1</v>
      </c>
      <c r="D184" s="19" t="s">
        <v>4390</v>
      </c>
      <c r="E184" s="33">
        <v>269.33547331831244</v>
      </c>
      <c r="F184" s="33">
        <v>837.48001804813919</v>
      </c>
      <c r="G184" s="33">
        <v>1174.3172671252496</v>
      </c>
      <c r="H184" s="33">
        <v>1514.2123775396547</v>
      </c>
      <c r="I184" s="33">
        <v>1854.6599855512598</v>
      </c>
      <c r="J184" s="33">
        <v>2195.0783338417718</v>
      </c>
      <c r="K184" s="33">
        <v>2535.9036643888062</v>
      </c>
      <c r="L184" s="33">
        <v>2615.188203254113</v>
      </c>
      <c r="M184" s="33">
        <v>2695.0866346736871</v>
      </c>
      <c r="N184" s="33">
        <v>2775.7596645742683</v>
      </c>
      <c r="O184" s="33">
        <v>2856.6479224221885</v>
      </c>
      <c r="P184" s="33">
        <v>2949.2479224221884</v>
      </c>
      <c r="Q184" s="33">
        <v>2979.4679224221886</v>
      </c>
      <c r="R184" s="33">
        <v>3009.6879224221884</v>
      </c>
      <c r="S184" s="33">
        <v>3039.9079224221887</v>
      </c>
      <c r="T184" s="33">
        <v>3070.1279224221885</v>
      </c>
      <c r="U184" s="33">
        <v>3100.3479224221887</v>
      </c>
      <c r="V184" s="36">
        <f>U184</f>
        <v>3100.3479224221887</v>
      </c>
      <c r="W184" s="36">
        <f t="shared" ref="W184:Y184" si="39">V184</f>
        <v>3100.3479224221887</v>
      </c>
      <c r="X184" s="36">
        <f t="shared" si="39"/>
        <v>3100.3479224221887</v>
      </c>
      <c r="Y184" s="36">
        <f t="shared" si="39"/>
        <v>3100.3479224221887</v>
      </c>
      <c r="Z184" s="8"/>
    </row>
    <row r="185" spans="1:26">
      <c r="A185" s="866"/>
      <c r="B185" s="718"/>
      <c r="C185" s="19"/>
      <c r="D185" s="19"/>
      <c r="E185" s="5"/>
      <c r="F185" s="5"/>
      <c r="G185" s="5"/>
      <c r="H185" s="5"/>
      <c r="I185" s="5"/>
      <c r="J185" s="5"/>
      <c r="K185" s="5"/>
      <c r="L185" s="5"/>
      <c r="M185" s="5"/>
      <c r="N185" s="5"/>
      <c r="O185" s="5"/>
      <c r="P185" s="5"/>
      <c r="Q185" s="5"/>
      <c r="R185" s="5"/>
      <c r="S185" s="5"/>
      <c r="T185" s="5"/>
      <c r="U185" s="5"/>
      <c r="V185" s="36"/>
      <c r="W185" s="36"/>
      <c r="X185" s="36"/>
      <c r="Y185" s="36"/>
    </row>
    <row r="186" spans="1:26">
      <c r="A186" s="866">
        <v>0.45671712039660783</v>
      </c>
      <c r="B186" s="718" t="s">
        <v>3334</v>
      </c>
      <c r="C186" s="19" t="s">
        <v>0</v>
      </c>
      <c r="D186" s="19" t="s">
        <v>4389</v>
      </c>
      <c r="E186" s="5">
        <f t="shared" ref="E186:U186" si="40">E183*$A$186</f>
        <v>54.670721878687601</v>
      </c>
      <c r="F186" s="5">
        <f t="shared" si="40"/>
        <v>180.46797366724232</v>
      </c>
      <c r="G186" s="5">
        <f t="shared" si="40"/>
        <v>234.4240089569652</v>
      </c>
      <c r="H186" s="5">
        <f t="shared" si="40"/>
        <v>289.74008519021072</v>
      </c>
      <c r="I186" s="5">
        <f t="shared" si="40"/>
        <v>345.38796189875234</v>
      </c>
      <c r="J186" s="5">
        <f t="shared" si="40"/>
        <v>401.07380128332682</v>
      </c>
      <c r="K186" s="5">
        <f t="shared" si="40"/>
        <v>456.85331455296233</v>
      </c>
      <c r="L186" s="5">
        <f t="shared" si="40"/>
        <v>479.21872048500899</v>
      </c>
      <c r="M186" s="5">
        <f t="shared" si="40"/>
        <v>501.86270279280882</v>
      </c>
      <c r="N186" s="5">
        <f t="shared" si="40"/>
        <v>524.82973362310747</v>
      </c>
      <c r="O186" s="5">
        <f t="shared" si="40"/>
        <v>548.14347540035885</v>
      </c>
      <c r="P186" s="5">
        <f t="shared" si="40"/>
        <v>576.58781765865956</v>
      </c>
      <c r="Q186" s="5">
        <f t="shared" si="40"/>
        <v>582.00448270656341</v>
      </c>
      <c r="R186" s="5">
        <f t="shared" si="40"/>
        <v>587.42114775446726</v>
      </c>
      <c r="S186" s="5">
        <f t="shared" si="40"/>
        <v>592.83781280237088</v>
      </c>
      <c r="T186" s="5">
        <f t="shared" si="40"/>
        <v>598.25447785027472</v>
      </c>
      <c r="U186" s="5">
        <f t="shared" si="40"/>
        <v>603.67114289817846</v>
      </c>
      <c r="V186" s="36">
        <f t="shared" ref="V186:Y191" si="41">U186</f>
        <v>603.67114289817846</v>
      </c>
      <c r="W186" s="36">
        <f t="shared" si="41"/>
        <v>603.67114289817846</v>
      </c>
      <c r="X186" s="36">
        <f t="shared" si="41"/>
        <v>603.67114289817846</v>
      </c>
      <c r="Y186" s="36">
        <f t="shared" si="41"/>
        <v>603.67114289817846</v>
      </c>
    </row>
    <row r="187" spans="1:26">
      <c r="A187" s="866">
        <v>0.41308394766377055</v>
      </c>
      <c r="B187" s="718" t="s">
        <v>3334</v>
      </c>
      <c r="C187" s="19" t="s">
        <v>1</v>
      </c>
      <c r="D187" s="19" t="s">
        <v>4390</v>
      </c>
      <c r="E187" s="5">
        <f t="shared" ref="E187:U187" si="42">E184*$A$187</f>
        <v>111.25816056421864</v>
      </c>
      <c r="F187" s="5">
        <f t="shared" si="42"/>
        <v>345.94955194485112</v>
      </c>
      <c r="G187" s="5">
        <f t="shared" si="42"/>
        <v>485.09161251382864</v>
      </c>
      <c r="H187" s="5">
        <f t="shared" si="42"/>
        <v>625.49682651542423</v>
      </c>
      <c r="I187" s="5">
        <f t="shared" si="42"/>
        <v>766.13026840554608</v>
      </c>
      <c r="J187" s="5">
        <f t="shared" si="42"/>
        <v>906.75162357457111</v>
      </c>
      <c r="K187" s="5">
        <f t="shared" si="42"/>
        <v>1047.5410965807496</v>
      </c>
      <c r="L187" s="5">
        <f t="shared" si="42"/>
        <v>1080.2922668839321</v>
      </c>
      <c r="M187" s="5">
        <f t="shared" si="42"/>
        <v>1113.2970263468728</v>
      </c>
      <c r="N187" s="5">
        <f t="shared" si="42"/>
        <v>1146.6217600082023</v>
      </c>
      <c r="O187" s="5">
        <f t="shared" si="42"/>
        <v>1180.0354008796662</v>
      </c>
      <c r="P187" s="5">
        <f t="shared" si="42"/>
        <v>1218.2869744333314</v>
      </c>
      <c r="Q187" s="5">
        <f t="shared" si="42"/>
        <v>1230.7703713317305</v>
      </c>
      <c r="R187" s="5">
        <f t="shared" si="42"/>
        <v>1243.2537682301295</v>
      </c>
      <c r="S187" s="5">
        <f t="shared" si="42"/>
        <v>1255.7371651285289</v>
      </c>
      <c r="T187" s="5">
        <f t="shared" si="42"/>
        <v>1268.2205620269278</v>
      </c>
      <c r="U187" s="5">
        <f t="shared" si="42"/>
        <v>1280.7039589253272</v>
      </c>
      <c r="V187" s="36">
        <f t="shared" si="41"/>
        <v>1280.7039589253272</v>
      </c>
      <c r="W187" s="36">
        <f t="shared" si="41"/>
        <v>1280.7039589253272</v>
      </c>
      <c r="X187" s="36">
        <f t="shared" si="41"/>
        <v>1280.7039589253272</v>
      </c>
      <c r="Y187" s="36">
        <f t="shared" si="41"/>
        <v>1280.7039589253272</v>
      </c>
    </row>
    <row r="188" spans="1:26">
      <c r="A188" s="866">
        <v>0.25161406922572854</v>
      </c>
      <c r="B188" s="718" t="s">
        <v>5</v>
      </c>
      <c r="C188" s="19" t="s">
        <v>0</v>
      </c>
      <c r="D188" s="19" t="s">
        <v>4389</v>
      </c>
      <c r="E188" s="5">
        <f t="shared" ref="E188:U188" si="43">E183*$A$188</f>
        <v>30.119131044308499</v>
      </c>
      <c r="F188" s="5">
        <f t="shared" si="43"/>
        <v>99.423207914571805</v>
      </c>
      <c r="G188" s="5">
        <f t="shared" si="43"/>
        <v>129.14860464755361</v>
      </c>
      <c r="H188" s="5">
        <f t="shared" si="43"/>
        <v>159.62327356857202</v>
      </c>
      <c r="I188" s="5">
        <f t="shared" si="43"/>
        <v>190.2807376247668</v>
      </c>
      <c r="J188" s="5">
        <f t="shared" si="43"/>
        <v>220.95911603465831</v>
      </c>
      <c r="K188" s="5">
        <f t="shared" si="43"/>
        <v>251.68910115327125</v>
      </c>
      <c r="L188" s="5">
        <f t="shared" si="43"/>
        <v>264.01062479477764</v>
      </c>
      <c r="M188" s="5">
        <f t="shared" si="43"/>
        <v>276.48562141192485</v>
      </c>
      <c r="N188" s="5">
        <f t="shared" si="43"/>
        <v>289.13859154850729</v>
      </c>
      <c r="O188" s="5">
        <f t="shared" si="43"/>
        <v>301.98257128011466</v>
      </c>
      <c r="P188" s="5">
        <f t="shared" si="43"/>
        <v>317.65309551149301</v>
      </c>
      <c r="Q188" s="5">
        <f t="shared" si="43"/>
        <v>320.63723837251018</v>
      </c>
      <c r="R188" s="5">
        <f t="shared" si="43"/>
        <v>323.62138123352736</v>
      </c>
      <c r="S188" s="5">
        <f t="shared" si="43"/>
        <v>326.60552409454442</v>
      </c>
      <c r="T188" s="5">
        <f t="shared" si="43"/>
        <v>329.5896669555616</v>
      </c>
      <c r="U188" s="5">
        <f t="shared" si="43"/>
        <v>332.57380981657872</v>
      </c>
      <c r="V188" s="36">
        <f t="shared" si="41"/>
        <v>332.57380981657872</v>
      </c>
      <c r="W188" s="36">
        <f t="shared" si="41"/>
        <v>332.57380981657872</v>
      </c>
      <c r="X188" s="36">
        <f t="shared" si="41"/>
        <v>332.57380981657872</v>
      </c>
      <c r="Y188" s="36">
        <f t="shared" si="41"/>
        <v>332.57380981657872</v>
      </c>
    </row>
    <row r="189" spans="1:26">
      <c r="A189" s="866">
        <v>0.35134634130497833</v>
      </c>
      <c r="B189" s="718" t="s">
        <v>5</v>
      </c>
      <c r="C189" s="19" t="s">
        <v>1</v>
      </c>
      <c r="D189" s="19" t="s">
        <v>4390</v>
      </c>
      <c r="E189" s="5">
        <f t="shared" ref="E189:U189" si="44">E184*$A$189</f>
        <v>94.630033134033681</v>
      </c>
      <c r="F189" s="5">
        <f t="shared" si="44"/>
        <v>294.24554025724092</v>
      </c>
      <c r="G189" s="5">
        <f t="shared" si="44"/>
        <v>412.59207533571737</v>
      </c>
      <c r="H189" s="5">
        <f t="shared" si="44"/>
        <v>532.0129788072702</v>
      </c>
      <c r="I189" s="5">
        <f t="shared" si="44"/>
        <v>651.62800028817912</v>
      </c>
      <c r="J189" s="5">
        <f t="shared" si="44"/>
        <v>771.2327414731343</v>
      </c>
      <c r="K189" s="5">
        <f t="shared" si="44"/>
        <v>890.98047438489471</v>
      </c>
      <c r="L189" s="5">
        <f t="shared" si="44"/>
        <v>918.83680703727259</v>
      </c>
      <c r="M189" s="5">
        <f t="shared" si="44"/>
        <v>946.90882859254668</v>
      </c>
      <c r="N189" s="5">
        <f t="shared" si="44"/>
        <v>975.25300249010297</v>
      </c>
      <c r="O189" s="5">
        <f t="shared" si="44"/>
        <v>1003.6727959395034</v>
      </c>
      <c r="P189" s="5">
        <f t="shared" si="44"/>
        <v>1036.2074671443445</v>
      </c>
      <c r="Q189" s="5">
        <f t="shared" si="44"/>
        <v>1046.825153578581</v>
      </c>
      <c r="R189" s="5">
        <f t="shared" si="44"/>
        <v>1057.4428400128174</v>
      </c>
      <c r="S189" s="5">
        <f t="shared" si="44"/>
        <v>1068.0605264470539</v>
      </c>
      <c r="T189" s="5">
        <f t="shared" si="44"/>
        <v>1078.6782128812902</v>
      </c>
      <c r="U189" s="5">
        <f t="shared" si="44"/>
        <v>1089.2958993155269</v>
      </c>
      <c r="V189" s="36">
        <f t="shared" si="41"/>
        <v>1089.2958993155269</v>
      </c>
      <c r="W189" s="36">
        <f t="shared" si="41"/>
        <v>1089.2958993155269</v>
      </c>
      <c r="X189" s="36">
        <f t="shared" si="41"/>
        <v>1089.2958993155269</v>
      </c>
      <c r="Y189" s="36">
        <f t="shared" si="41"/>
        <v>1089.2958993155269</v>
      </c>
    </row>
    <row r="190" spans="1:26">
      <c r="A190" s="866">
        <v>8.7108332612007969E-2</v>
      </c>
      <c r="B190" s="718" t="s">
        <v>143</v>
      </c>
      <c r="C190" s="19" t="s">
        <v>0</v>
      </c>
      <c r="D190" s="19" t="s">
        <v>4389</v>
      </c>
      <c r="E190" s="5">
        <f t="shared" ref="E190:U190" si="45">E183*$A$190</f>
        <v>10.427188324825213</v>
      </c>
      <c r="F190" s="5">
        <f t="shared" si="45"/>
        <v>34.420133544304065</v>
      </c>
      <c r="G190" s="5">
        <f t="shared" si="45"/>
        <v>44.711011767482951</v>
      </c>
      <c r="H190" s="5">
        <f t="shared" si="45"/>
        <v>55.261286657840508</v>
      </c>
      <c r="I190" s="5">
        <f t="shared" si="45"/>
        <v>65.874844891151824</v>
      </c>
      <c r="J190" s="5">
        <f t="shared" si="45"/>
        <v>76.495643635630842</v>
      </c>
      <c r="K190" s="5">
        <f t="shared" si="45"/>
        <v>87.134308528700643</v>
      </c>
      <c r="L190" s="5">
        <f t="shared" si="45"/>
        <v>91.399997577623282</v>
      </c>
      <c r="M190" s="5">
        <f t="shared" si="45"/>
        <v>95.71881869126004</v>
      </c>
      <c r="N190" s="5">
        <f t="shared" si="45"/>
        <v>100.09925391326044</v>
      </c>
      <c r="O190" s="5">
        <f t="shared" si="45"/>
        <v>104.54581630925676</v>
      </c>
      <c r="P190" s="5">
        <f t="shared" si="45"/>
        <v>109.97092326433263</v>
      </c>
      <c r="Q190" s="5">
        <f t="shared" si="45"/>
        <v>111.00402808911105</v>
      </c>
      <c r="R190" s="5">
        <f t="shared" si="45"/>
        <v>112.03713291388948</v>
      </c>
      <c r="S190" s="5">
        <f t="shared" si="45"/>
        <v>113.07023773866786</v>
      </c>
      <c r="T190" s="5">
        <f t="shared" si="45"/>
        <v>114.10334256344629</v>
      </c>
      <c r="U190" s="5">
        <f t="shared" si="45"/>
        <v>115.1364473882247</v>
      </c>
      <c r="V190" s="36">
        <f t="shared" si="41"/>
        <v>115.1364473882247</v>
      </c>
      <c r="W190" s="36">
        <f t="shared" si="41"/>
        <v>115.1364473882247</v>
      </c>
      <c r="X190" s="36">
        <f t="shared" si="41"/>
        <v>115.1364473882247</v>
      </c>
      <c r="Y190" s="36">
        <f t="shared" si="41"/>
        <v>115.1364473882247</v>
      </c>
    </row>
    <row r="191" spans="1:26">
      <c r="A191" s="866">
        <v>7.7421151894233223E-2</v>
      </c>
      <c r="B191" s="718" t="s">
        <v>143</v>
      </c>
      <c r="C191" s="19" t="s">
        <v>1</v>
      </c>
      <c r="D191" s="19" t="s">
        <v>4390</v>
      </c>
      <c r="E191" s="5">
        <f t="shared" ref="E191:U191" si="46">E184*$A$191</f>
        <v>20.852262590282265</v>
      </c>
      <c r="F191" s="5">
        <f t="shared" si="46"/>
        <v>64.838667685690169</v>
      </c>
      <c r="G191" s="5">
        <f t="shared" si="46"/>
        <v>90.916995510124806</v>
      </c>
      <c r="H191" s="5">
        <f t="shared" si="46"/>
        <v>117.23206648162562</v>
      </c>
      <c r="I191" s="5">
        <f t="shared" si="46"/>
        <v>143.58991245352047</v>
      </c>
      <c r="J191" s="5">
        <f t="shared" si="46"/>
        <v>169.9454931041042</v>
      </c>
      <c r="K191" s="5">
        <f t="shared" si="46"/>
        <v>196.3325827897884</v>
      </c>
      <c r="L191" s="5">
        <f t="shared" si="46"/>
        <v>202.47088311614354</v>
      </c>
      <c r="M191" s="5">
        <f t="shared" si="46"/>
        <v>208.65671171118936</v>
      </c>
      <c r="N191" s="5">
        <f t="shared" si="46"/>
        <v>214.9025106128903</v>
      </c>
      <c r="O191" s="5">
        <f t="shared" si="46"/>
        <v>221.16497271019401</v>
      </c>
      <c r="P191" s="5">
        <f t="shared" si="46"/>
        <v>228.33417137559999</v>
      </c>
      <c r="Q191" s="5">
        <f t="shared" si="46"/>
        <v>230.67383858584375</v>
      </c>
      <c r="R191" s="5">
        <f t="shared" si="46"/>
        <v>233.01350579608746</v>
      </c>
      <c r="S191" s="5">
        <f t="shared" si="46"/>
        <v>235.35317300633122</v>
      </c>
      <c r="T191" s="5">
        <f t="shared" si="46"/>
        <v>237.69284021657492</v>
      </c>
      <c r="U191" s="5">
        <f t="shared" si="46"/>
        <v>240.03250742681868</v>
      </c>
      <c r="V191" s="36">
        <f t="shared" si="41"/>
        <v>240.03250742681868</v>
      </c>
      <c r="W191" s="36">
        <f t="shared" si="41"/>
        <v>240.03250742681868</v>
      </c>
      <c r="X191" s="36">
        <f t="shared" si="41"/>
        <v>240.03250742681868</v>
      </c>
      <c r="Y191" s="36">
        <f t="shared" si="41"/>
        <v>240.03250742681868</v>
      </c>
    </row>
    <row r="192" spans="1:26">
      <c r="A192" s="866"/>
      <c r="B192" s="718"/>
      <c r="C192" s="19"/>
      <c r="D192" s="19"/>
      <c r="E192" s="5"/>
      <c r="F192" s="5"/>
      <c r="G192" s="5"/>
      <c r="H192" s="5"/>
      <c r="I192" s="5"/>
      <c r="J192" s="5"/>
      <c r="K192" s="5"/>
      <c r="L192" s="5"/>
      <c r="M192" s="5"/>
      <c r="N192" s="5"/>
      <c r="O192" s="5"/>
      <c r="P192" s="5"/>
      <c r="Q192" s="5"/>
      <c r="R192" s="5"/>
      <c r="S192" s="5"/>
      <c r="T192" s="5"/>
      <c r="U192" s="5"/>
      <c r="V192" s="36"/>
      <c r="W192" s="36"/>
      <c r="X192" s="36"/>
      <c r="Y192" s="36"/>
    </row>
    <row r="193" spans="1:26">
      <c r="B193" s="718" t="s">
        <v>4329</v>
      </c>
      <c r="C193" s="19" t="s">
        <v>0</v>
      </c>
      <c r="D193" s="19" t="s">
        <v>4389</v>
      </c>
      <c r="E193" s="5">
        <f>SUM(E186,E188,E190)</f>
        <v>95.217041247821314</v>
      </c>
      <c r="F193" s="5">
        <f t="shared" ref="F193:Y193" si="47">SUM(F186,F188,F190)</f>
        <v>314.31131512611819</v>
      </c>
      <c r="G193" s="5">
        <f t="shared" si="47"/>
        <v>408.28362537200172</v>
      </c>
      <c r="H193" s="5">
        <f t="shared" si="47"/>
        <v>504.62464541662325</v>
      </c>
      <c r="I193" s="5">
        <f t="shared" si="47"/>
        <v>601.54354441467092</v>
      </c>
      <c r="J193" s="5">
        <f t="shared" si="47"/>
        <v>698.52856095361597</v>
      </c>
      <c r="K193" s="5">
        <f t="shared" si="47"/>
        <v>795.67672423493423</v>
      </c>
      <c r="L193" s="5">
        <f t="shared" si="47"/>
        <v>834.62934285740994</v>
      </c>
      <c r="M193" s="5">
        <f t="shared" si="47"/>
        <v>874.0671428959937</v>
      </c>
      <c r="N193" s="5">
        <f t="shared" si="47"/>
        <v>914.06757908487521</v>
      </c>
      <c r="O193" s="5">
        <f t="shared" si="47"/>
        <v>954.67186298973036</v>
      </c>
      <c r="P193" s="5">
        <f t="shared" si="47"/>
        <v>1004.2118364344852</v>
      </c>
      <c r="Q193" s="5">
        <f t="shared" si="47"/>
        <v>1013.6457491681847</v>
      </c>
      <c r="R193" s="5">
        <f t="shared" si="47"/>
        <v>1023.079661901884</v>
      </c>
      <c r="S193" s="5">
        <f t="shared" si="47"/>
        <v>1032.5135746355832</v>
      </c>
      <c r="T193" s="5">
        <f t="shared" si="47"/>
        <v>1041.9474873692825</v>
      </c>
      <c r="U193" s="5">
        <f t="shared" si="47"/>
        <v>1051.3814001029818</v>
      </c>
      <c r="V193" s="5">
        <f t="shared" si="47"/>
        <v>1051.3814001029818</v>
      </c>
      <c r="W193" s="5">
        <f t="shared" si="47"/>
        <v>1051.3814001029818</v>
      </c>
      <c r="X193" s="5">
        <f t="shared" si="47"/>
        <v>1051.3814001029818</v>
      </c>
      <c r="Y193" s="5">
        <f t="shared" si="47"/>
        <v>1051.3814001029818</v>
      </c>
    </row>
    <row r="194" spans="1:26">
      <c r="B194" s="718" t="s">
        <v>4329</v>
      </c>
      <c r="C194" s="19" t="s">
        <v>1</v>
      </c>
      <c r="D194" s="19" t="s">
        <v>4390</v>
      </c>
      <c r="E194" s="5">
        <f>SUM(E187,E189,E191)</f>
        <v>226.7404562885346</v>
      </c>
      <c r="F194" s="5">
        <f t="shared" ref="F194:Y194" si="48">SUM(F187,F189,F191)</f>
        <v>705.03375988778225</v>
      </c>
      <c r="G194" s="5">
        <f t="shared" si="48"/>
        <v>988.60068335967082</v>
      </c>
      <c r="H194" s="5">
        <f t="shared" si="48"/>
        <v>1274.74187180432</v>
      </c>
      <c r="I194" s="5">
        <f t="shared" si="48"/>
        <v>1561.3481811472457</v>
      </c>
      <c r="J194" s="5">
        <f t="shared" si="48"/>
        <v>1847.9298581518096</v>
      </c>
      <c r="K194" s="5">
        <f t="shared" si="48"/>
        <v>2134.8541537554329</v>
      </c>
      <c r="L194" s="5">
        <f t="shared" si="48"/>
        <v>2201.5999570373483</v>
      </c>
      <c r="M194" s="5">
        <f t="shared" si="48"/>
        <v>2268.8625666506091</v>
      </c>
      <c r="N194" s="5">
        <f t="shared" si="48"/>
        <v>2336.7772731111954</v>
      </c>
      <c r="O194" s="5">
        <f t="shared" si="48"/>
        <v>2404.8731695293636</v>
      </c>
      <c r="P194" s="5">
        <f t="shared" si="48"/>
        <v>2482.8286129532758</v>
      </c>
      <c r="Q194" s="5">
        <f t="shared" si="48"/>
        <v>2508.2693634961556</v>
      </c>
      <c r="R194" s="5">
        <f t="shared" si="48"/>
        <v>2533.7101140390346</v>
      </c>
      <c r="S194" s="5">
        <f t="shared" si="48"/>
        <v>2559.150864581914</v>
      </c>
      <c r="T194" s="5">
        <f t="shared" si="48"/>
        <v>2584.591615124793</v>
      </c>
      <c r="U194" s="5">
        <f t="shared" si="48"/>
        <v>2610.0323656676728</v>
      </c>
      <c r="V194" s="5">
        <f t="shared" si="48"/>
        <v>2610.0323656676728</v>
      </c>
      <c r="W194" s="5">
        <f t="shared" si="48"/>
        <v>2610.0323656676728</v>
      </c>
      <c r="X194" s="5">
        <f t="shared" si="48"/>
        <v>2610.0323656676728</v>
      </c>
      <c r="Y194" s="5">
        <f t="shared" si="48"/>
        <v>2610.0323656676728</v>
      </c>
    </row>
    <row r="195" spans="1:26">
      <c r="B195" s="17" t="s">
        <v>5501</v>
      </c>
      <c r="E195" s="32"/>
      <c r="F195" s="32"/>
      <c r="G195" s="32"/>
      <c r="H195" s="32"/>
      <c r="I195" s="32"/>
      <c r="J195" s="32"/>
      <c r="K195" s="32"/>
      <c r="L195" s="32"/>
      <c r="M195" s="32"/>
      <c r="N195" s="32"/>
      <c r="O195" s="32"/>
      <c r="P195" s="5"/>
      <c r="Q195" s="5"/>
      <c r="R195" s="5"/>
      <c r="S195" s="5"/>
      <c r="T195" s="5"/>
      <c r="U195" s="5"/>
      <c r="V195" s="5"/>
      <c r="W195" s="5"/>
      <c r="X195" s="5"/>
      <c r="Y195" s="5"/>
    </row>
    <row r="196" spans="1:26">
      <c r="A196" s="17" t="s">
        <v>5189</v>
      </c>
      <c r="B196" s="171">
        <f>Scenarios!$B$69</f>
        <v>0.7</v>
      </c>
      <c r="C196" s="13" t="s">
        <v>0</v>
      </c>
      <c r="E196" s="5">
        <f t="shared" ref="E196:Y196" si="49">$B$196*(E186*$E$139+E188*$F$139+E190*$G$139)</f>
        <v>72.667115716023261</v>
      </c>
      <c r="F196" s="5">
        <f t="shared" si="49"/>
        <v>239.87404363552091</v>
      </c>
      <c r="G196" s="5">
        <f t="shared" si="49"/>
        <v>311.59121372660388</v>
      </c>
      <c r="H196" s="5">
        <f t="shared" si="49"/>
        <v>385.11612019330653</v>
      </c>
      <c r="I196" s="5">
        <f t="shared" si="49"/>
        <v>459.08204852151789</v>
      </c>
      <c r="J196" s="5">
        <f t="shared" si="49"/>
        <v>533.09843600002728</v>
      </c>
      <c r="K196" s="5">
        <f t="shared" si="49"/>
        <v>607.2393327370828</v>
      </c>
      <c r="L196" s="5">
        <f t="shared" si="49"/>
        <v>636.96693619741745</v>
      </c>
      <c r="M196" s="5">
        <f t="shared" si="49"/>
        <v>667.0648172219943</v>
      </c>
      <c r="N196" s="5">
        <f t="shared" si="49"/>
        <v>697.59208720577317</v>
      </c>
      <c r="O196" s="5">
        <f t="shared" si="49"/>
        <v>728.58019772057969</v>
      </c>
      <c r="P196" s="5">
        <f t="shared" si="49"/>
        <v>766.38778904773721</v>
      </c>
      <c r="Q196" s="5">
        <f t="shared" si="49"/>
        <v>773.58750056251074</v>
      </c>
      <c r="R196" s="5">
        <f t="shared" si="49"/>
        <v>780.78721207728415</v>
      </c>
      <c r="S196" s="5">
        <f t="shared" si="49"/>
        <v>787.98692359205745</v>
      </c>
      <c r="T196" s="5">
        <f t="shared" si="49"/>
        <v>795.18663510683098</v>
      </c>
      <c r="U196" s="5">
        <f t="shared" si="49"/>
        <v>802.38634662160428</v>
      </c>
      <c r="V196" s="5">
        <f t="shared" si="49"/>
        <v>802.38634662160428</v>
      </c>
      <c r="W196" s="5">
        <f t="shared" si="49"/>
        <v>802.38634662160428</v>
      </c>
      <c r="X196" s="5">
        <f t="shared" si="49"/>
        <v>802.38634662160428</v>
      </c>
      <c r="Y196" s="5">
        <f t="shared" si="49"/>
        <v>802.38634662160428</v>
      </c>
    </row>
    <row r="197" spans="1:26">
      <c r="A197" s="17" t="s">
        <v>5189</v>
      </c>
      <c r="B197" s="171">
        <f>Scenarios!$B$69</f>
        <v>0.7</v>
      </c>
      <c r="C197" s="13" t="s">
        <v>1</v>
      </c>
      <c r="E197" s="5">
        <f t="shared" ref="E197:Y197" si="50">$B$197*(E187*$E$139+E189*$F$139+E191*$G$139)</f>
        <v>172.70833831308221</v>
      </c>
      <c r="F197" s="5">
        <f t="shared" si="50"/>
        <v>537.02462770866646</v>
      </c>
      <c r="G197" s="5">
        <f t="shared" si="50"/>
        <v>753.01771934759893</v>
      </c>
      <c r="H197" s="5">
        <f t="shared" si="50"/>
        <v>970.97163012353326</v>
      </c>
      <c r="I197" s="5">
        <f t="shared" si="50"/>
        <v>1189.2798237600161</v>
      </c>
      <c r="J197" s="5">
        <f t="shared" si="50"/>
        <v>1407.5692549299465</v>
      </c>
      <c r="K197" s="5">
        <f t="shared" si="50"/>
        <v>1626.1196588873861</v>
      </c>
      <c r="L197" s="5">
        <f t="shared" si="50"/>
        <v>1676.9599763273504</v>
      </c>
      <c r="M197" s="5">
        <f t="shared" si="50"/>
        <v>1728.1939454524943</v>
      </c>
      <c r="N197" s="5">
        <f t="shared" si="50"/>
        <v>1779.9246171280536</v>
      </c>
      <c r="O197" s="5">
        <f t="shared" si="50"/>
        <v>1831.7933013003903</v>
      </c>
      <c r="P197" s="5">
        <f t="shared" si="50"/>
        <v>1891.1720081998358</v>
      </c>
      <c r="Q197" s="5">
        <f t="shared" si="50"/>
        <v>1910.5502427840825</v>
      </c>
      <c r="R197" s="5">
        <f t="shared" si="50"/>
        <v>1929.9284773683289</v>
      </c>
      <c r="S197" s="5">
        <f t="shared" si="50"/>
        <v>1949.3067119525756</v>
      </c>
      <c r="T197" s="5">
        <f t="shared" si="50"/>
        <v>1968.6849465368218</v>
      </c>
      <c r="U197" s="5">
        <f t="shared" si="50"/>
        <v>1988.063181121069</v>
      </c>
      <c r="V197" s="5">
        <f t="shared" si="50"/>
        <v>1988.063181121069</v>
      </c>
      <c r="W197" s="5">
        <f t="shared" si="50"/>
        <v>1988.063181121069</v>
      </c>
      <c r="X197" s="5">
        <f t="shared" si="50"/>
        <v>1988.063181121069</v>
      </c>
      <c r="Y197" s="5">
        <f t="shared" si="50"/>
        <v>1988.063181121069</v>
      </c>
    </row>
    <row r="198" spans="1:26">
      <c r="E198" s="5"/>
      <c r="F198" s="5"/>
      <c r="G198" s="5"/>
      <c r="H198" s="5"/>
      <c r="I198" s="5"/>
      <c r="J198" s="5"/>
      <c r="K198" s="5"/>
      <c r="L198" s="5"/>
      <c r="M198" s="5"/>
      <c r="N198" s="5"/>
      <c r="O198" s="5"/>
      <c r="P198" s="5"/>
      <c r="Q198" s="5"/>
      <c r="R198" s="5"/>
      <c r="S198" s="5"/>
      <c r="T198" s="5"/>
      <c r="U198" s="5"/>
      <c r="V198" s="5"/>
      <c r="W198" s="5"/>
      <c r="X198" s="5"/>
      <c r="Y198" s="5"/>
    </row>
    <row r="199" spans="1:26" s="51" customFormat="1">
      <c r="B199" s="55" t="s">
        <v>3331</v>
      </c>
      <c r="C199" s="56"/>
      <c r="D199" s="56"/>
      <c r="E199" s="57"/>
      <c r="F199" s="57"/>
      <c r="G199" s="57"/>
      <c r="H199" s="57"/>
      <c r="I199" s="57"/>
      <c r="J199" s="57"/>
      <c r="K199" s="57"/>
      <c r="L199" s="57"/>
      <c r="M199" s="57"/>
      <c r="N199" s="57"/>
      <c r="O199" s="57"/>
      <c r="P199" s="57"/>
      <c r="Q199" s="57"/>
      <c r="R199" s="57"/>
      <c r="S199" s="57"/>
      <c r="T199" s="57"/>
      <c r="U199" s="57"/>
      <c r="V199" s="57"/>
      <c r="W199" s="56"/>
      <c r="X199" s="56"/>
      <c r="Y199" s="56"/>
      <c r="Z199" s="46"/>
    </row>
    <row r="200" spans="1:26">
      <c r="A200" s="17"/>
      <c r="B200" s="17" t="s">
        <v>5502</v>
      </c>
      <c r="E200" s="5"/>
      <c r="F200" s="5"/>
      <c r="G200" s="5"/>
      <c r="H200" s="5"/>
      <c r="I200" s="5"/>
      <c r="J200" s="5"/>
      <c r="K200" s="5"/>
      <c r="L200" s="5"/>
      <c r="M200" s="5"/>
      <c r="N200" s="5"/>
      <c r="O200" s="5"/>
      <c r="P200" s="5"/>
      <c r="Q200" s="5"/>
      <c r="R200" s="5"/>
      <c r="S200" s="5"/>
      <c r="T200" s="5"/>
      <c r="U200" s="5"/>
      <c r="V200" s="5"/>
      <c r="W200" s="5"/>
      <c r="X200" s="5"/>
      <c r="Y200" s="5"/>
    </row>
    <row r="201" spans="1:26">
      <c r="A201" s="17" t="s">
        <v>5190</v>
      </c>
      <c r="B201" s="67">
        <f>Scenarios!$B$71</f>
        <v>0.8</v>
      </c>
      <c r="C201" s="13" t="s">
        <v>0</v>
      </c>
      <c r="E201" s="5">
        <f t="shared" ref="E201:Y201" si="51">E193*8760*$B201/1000</f>
        <v>667.28102506473181</v>
      </c>
      <c r="F201" s="5">
        <f t="shared" si="51"/>
        <v>2202.6936964038364</v>
      </c>
      <c r="G201" s="5">
        <f t="shared" si="51"/>
        <v>2861.2516466069883</v>
      </c>
      <c r="H201" s="5">
        <f t="shared" si="51"/>
        <v>3536.4095150796957</v>
      </c>
      <c r="I201" s="5">
        <f t="shared" si="51"/>
        <v>4215.6171592580149</v>
      </c>
      <c r="J201" s="5">
        <f t="shared" si="51"/>
        <v>4895.2881551629407</v>
      </c>
      <c r="K201" s="5">
        <f t="shared" si="51"/>
        <v>5576.1024834384189</v>
      </c>
      <c r="L201" s="5">
        <f t="shared" si="51"/>
        <v>5849.0824347447297</v>
      </c>
      <c r="M201" s="5">
        <f t="shared" si="51"/>
        <v>6125.4625374151246</v>
      </c>
      <c r="N201" s="5">
        <f t="shared" si="51"/>
        <v>6405.7855942268052</v>
      </c>
      <c r="O201" s="5">
        <f t="shared" si="51"/>
        <v>6690.3404158320309</v>
      </c>
      <c r="P201" s="5">
        <f t="shared" si="51"/>
        <v>7037.5165497328735</v>
      </c>
      <c r="Q201" s="5">
        <f t="shared" si="51"/>
        <v>7103.6294101706389</v>
      </c>
      <c r="R201" s="5">
        <f t="shared" si="51"/>
        <v>7169.7422706084026</v>
      </c>
      <c r="S201" s="5">
        <f t="shared" si="51"/>
        <v>7235.855131046168</v>
      </c>
      <c r="T201" s="5">
        <f t="shared" si="51"/>
        <v>7301.9679914839317</v>
      </c>
      <c r="U201" s="5">
        <f t="shared" si="51"/>
        <v>7368.0808519216971</v>
      </c>
      <c r="V201" s="5">
        <f t="shared" si="51"/>
        <v>7368.0808519216971</v>
      </c>
      <c r="W201" s="5">
        <f t="shared" si="51"/>
        <v>7368.0808519216971</v>
      </c>
      <c r="X201" s="5">
        <f t="shared" si="51"/>
        <v>7368.0808519216971</v>
      </c>
      <c r="Y201" s="5">
        <f t="shared" si="51"/>
        <v>7368.0808519216971</v>
      </c>
    </row>
    <row r="202" spans="1:26">
      <c r="A202" s="17" t="s">
        <v>5190</v>
      </c>
      <c r="B202" s="67">
        <f>Scenarios!$B$71</f>
        <v>0.8</v>
      </c>
      <c r="C202" s="13" t="s">
        <v>1</v>
      </c>
      <c r="E202" s="5">
        <f t="shared" ref="E202:Y202" si="52">E194*8760*$B202/1000</f>
        <v>1588.9971176700506</v>
      </c>
      <c r="F202" s="5">
        <f t="shared" si="52"/>
        <v>4940.8765892935789</v>
      </c>
      <c r="G202" s="5">
        <f t="shared" si="52"/>
        <v>6928.1135889845737</v>
      </c>
      <c r="H202" s="5">
        <f t="shared" si="52"/>
        <v>8933.3910376046751</v>
      </c>
      <c r="I202" s="5">
        <f t="shared" si="52"/>
        <v>10941.928053479898</v>
      </c>
      <c r="J202" s="5">
        <f t="shared" si="52"/>
        <v>12950.292445927882</v>
      </c>
      <c r="K202" s="5">
        <f t="shared" si="52"/>
        <v>14961.057909518076</v>
      </c>
      <c r="L202" s="5">
        <f t="shared" si="52"/>
        <v>15428.812498917738</v>
      </c>
      <c r="M202" s="5">
        <f t="shared" si="52"/>
        <v>15900.188867087469</v>
      </c>
      <c r="N202" s="5">
        <f t="shared" si="52"/>
        <v>16376.135129963259</v>
      </c>
      <c r="O202" s="5">
        <f t="shared" si="52"/>
        <v>16853.351172061783</v>
      </c>
      <c r="P202" s="5">
        <f t="shared" si="52"/>
        <v>17399.662919576556</v>
      </c>
      <c r="Q202" s="5">
        <f t="shared" si="52"/>
        <v>17577.951699381061</v>
      </c>
      <c r="R202" s="5">
        <f t="shared" si="52"/>
        <v>17756.240479185555</v>
      </c>
      <c r="S202" s="5">
        <f t="shared" si="52"/>
        <v>17934.529258990053</v>
      </c>
      <c r="T202" s="5">
        <f t="shared" si="52"/>
        <v>18112.81803879455</v>
      </c>
      <c r="U202" s="5">
        <f t="shared" si="52"/>
        <v>18291.106818599052</v>
      </c>
      <c r="V202" s="5">
        <f t="shared" si="52"/>
        <v>18291.106818599052</v>
      </c>
      <c r="W202" s="5">
        <f t="shared" si="52"/>
        <v>18291.106818599052</v>
      </c>
      <c r="X202" s="5">
        <f t="shared" si="52"/>
        <v>18291.106818599052</v>
      </c>
      <c r="Y202" s="5">
        <f t="shared" si="52"/>
        <v>18291.106818599052</v>
      </c>
    </row>
    <row r="204" spans="1:26">
      <c r="B204" s="238" t="s">
        <v>4385</v>
      </c>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row>
    <row r="205" spans="1:26">
      <c r="E205" s="33">
        <v>1447.7000000000003</v>
      </c>
      <c r="F205" s="33">
        <v>1694.1800000000003</v>
      </c>
      <c r="G205" s="33">
        <v>1940.8000000000002</v>
      </c>
      <c r="H205" s="33">
        <v>2187.3500000000004</v>
      </c>
      <c r="I205" s="33">
        <v>2433.9000000000005</v>
      </c>
      <c r="J205" s="33">
        <v>2680.45</v>
      </c>
      <c r="K205" s="33">
        <v>2927</v>
      </c>
      <c r="L205" s="33">
        <v>3173.55</v>
      </c>
      <c r="M205" s="33">
        <v>3420</v>
      </c>
      <c r="N205" s="33">
        <v>3420</v>
      </c>
      <c r="O205" s="33">
        <v>3420</v>
      </c>
    </row>
    <row r="206" spans="1:26">
      <c r="B206" s="13" t="s">
        <v>5288</v>
      </c>
    </row>
    <row r="207" spans="1:26">
      <c r="B207" s="239" t="s">
        <v>4383</v>
      </c>
    </row>
    <row r="208" spans="1:26">
      <c r="B208" s="3" t="s">
        <v>5287</v>
      </c>
    </row>
    <row r="209" spans="2:32">
      <c r="B209" s="3" t="s">
        <v>5289</v>
      </c>
    </row>
    <row r="210" spans="2:32">
      <c r="B210" s="3"/>
    </row>
    <row r="212" spans="2:32">
      <c r="B212" s="13" t="s">
        <v>4371</v>
      </c>
    </row>
    <row r="213" spans="2:32">
      <c r="B213" s="13" t="s">
        <v>4373</v>
      </c>
      <c r="U213" s="222"/>
      <c r="V213" s="223"/>
      <c r="W213" s="223"/>
      <c r="X213" s="223"/>
      <c r="Y213" s="223"/>
      <c r="Z213" s="224" t="s">
        <v>4310</v>
      </c>
      <c r="AF213"/>
    </row>
    <row r="214" spans="2:32">
      <c r="C214" s="801" t="s">
        <v>3334</v>
      </c>
      <c r="D214" s="223"/>
      <c r="E214" s="223" t="s">
        <v>4693</v>
      </c>
      <c r="F214" s="223"/>
      <c r="G214" s="223"/>
      <c r="H214" s="224" t="s">
        <v>4382</v>
      </c>
      <c r="I214" s="801" t="s">
        <v>5</v>
      </c>
      <c r="J214" s="223"/>
      <c r="K214" s="223" t="s">
        <v>4693</v>
      </c>
      <c r="L214" s="223"/>
      <c r="M214" s="223"/>
      <c r="N214" s="224" t="s">
        <v>4382</v>
      </c>
      <c r="O214" s="801" t="s">
        <v>143</v>
      </c>
      <c r="P214" s="223"/>
      <c r="Q214" s="223" t="s">
        <v>4693</v>
      </c>
      <c r="R214" s="223"/>
      <c r="S214" s="223"/>
      <c r="T214" s="223" t="s">
        <v>4382</v>
      </c>
      <c r="U214" s="802" t="s">
        <v>4310</v>
      </c>
      <c r="V214" s="803"/>
      <c r="W214" s="154"/>
      <c r="X214" s="154"/>
      <c r="Y214" s="154"/>
      <c r="Z214" s="226" t="s">
        <v>4379</v>
      </c>
      <c r="AF214"/>
    </row>
    <row r="215" spans="2:32">
      <c r="C215" s="225"/>
      <c r="D215" s="154"/>
      <c r="E215" s="154" t="s">
        <v>3335</v>
      </c>
      <c r="F215" s="154" t="s">
        <v>5359</v>
      </c>
      <c r="G215" s="154" t="s">
        <v>5359</v>
      </c>
      <c r="H215" s="226" t="s">
        <v>4381</v>
      </c>
      <c r="I215" s="225"/>
      <c r="J215" s="154"/>
      <c r="K215" s="154" t="s">
        <v>3335</v>
      </c>
      <c r="L215" s="154" t="s">
        <v>5359</v>
      </c>
      <c r="M215" s="154" t="s">
        <v>5359</v>
      </c>
      <c r="N215" s="226" t="s">
        <v>4381</v>
      </c>
      <c r="O215" s="225"/>
      <c r="P215" s="154"/>
      <c r="Q215" s="154" t="s">
        <v>3335</v>
      </c>
      <c r="R215" s="154" t="s">
        <v>5359</v>
      </c>
      <c r="S215" s="154" t="s">
        <v>5359</v>
      </c>
      <c r="T215" s="154" t="s">
        <v>4381</v>
      </c>
      <c r="U215" s="225" t="s">
        <v>4305</v>
      </c>
      <c r="V215" s="154"/>
      <c r="W215" s="154"/>
      <c r="X215" s="154"/>
      <c r="Y215" s="154"/>
      <c r="Z215" s="226" t="s">
        <v>4380</v>
      </c>
      <c r="AF215"/>
    </row>
    <row r="216" spans="2:32">
      <c r="C216" s="225" t="s">
        <v>3335</v>
      </c>
      <c r="D216" s="154" t="s">
        <v>3335</v>
      </c>
      <c r="E216" s="154" t="s">
        <v>3336</v>
      </c>
      <c r="F216" s="800" t="s">
        <v>5358</v>
      </c>
      <c r="G216" s="800" t="s">
        <v>5360</v>
      </c>
      <c r="H216" s="226" t="s">
        <v>3336</v>
      </c>
      <c r="I216" s="225" t="s">
        <v>3335</v>
      </c>
      <c r="J216" s="154" t="s">
        <v>3335</v>
      </c>
      <c r="K216" s="154" t="s">
        <v>3336</v>
      </c>
      <c r="L216" s="800" t="s">
        <v>5358</v>
      </c>
      <c r="M216" s="800" t="s">
        <v>5360</v>
      </c>
      <c r="N216" s="226" t="s">
        <v>3336</v>
      </c>
      <c r="O216" s="225" t="s">
        <v>3335</v>
      </c>
      <c r="P216" s="154" t="s">
        <v>3335</v>
      </c>
      <c r="Q216" s="154" t="s">
        <v>3336</v>
      </c>
      <c r="R216" s="800" t="s">
        <v>5358</v>
      </c>
      <c r="S216" s="800" t="s">
        <v>5360</v>
      </c>
      <c r="T216" s="154" t="s">
        <v>3336</v>
      </c>
      <c r="U216" s="225"/>
      <c r="V216" s="154" t="s">
        <v>4306</v>
      </c>
      <c r="W216" s="154"/>
      <c r="X216" s="154" t="s">
        <v>4317</v>
      </c>
      <c r="Y216" s="154"/>
      <c r="Z216" s="226" t="s">
        <v>3336</v>
      </c>
      <c r="AF216"/>
    </row>
    <row r="217" spans="2:32">
      <c r="C217" s="225" t="s">
        <v>3337</v>
      </c>
      <c r="D217" s="154" t="s">
        <v>3338</v>
      </c>
      <c r="E217" s="154" t="s">
        <v>3339</v>
      </c>
      <c r="F217" s="800" t="s">
        <v>4313</v>
      </c>
      <c r="G217" s="800" t="s">
        <v>4313</v>
      </c>
      <c r="H217" s="226" t="s">
        <v>3339</v>
      </c>
      <c r="I217" s="225" t="s">
        <v>3337</v>
      </c>
      <c r="J217" s="154" t="s">
        <v>3338</v>
      </c>
      <c r="K217" s="154" t="s">
        <v>3339</v>
      </c>
      <c r="L217" s="800" t="s">
        <v>4313</v>
      </c>
      <c r="M217" s="800" t="s">
        <v>4313</v>
      </c>
      <c r="N217" s="226" t="s">
        <v>3339</v>
      </c>
      <c r="O217" s="225" t="s">
        <v>3337</v>
      </c>
      <c r="P217" s="154" t="s">
        <v>3338</v>
      </c>
      <c r="Q217" s="154" t="s">
        <v>3339</v>
      </c>
      <c r="R217" s="800" t="s">
        <v>4313</v>
      </c>
      <c r="S217" s="800" t="s">
        <v>4313</v>
      </c>
      <c r="T217" s="154" t="s">
        <v>3339</v>
      </c>
      <c r="U217" s="225" t="s">
        <v>4307</v>
      </c>
      <c r="V217" s="154" t="s">
        <v>4308</v>
      </c>
      <c r="W217" s="154" t="s">
        <v>4309</v>
      </c>
      <c r="X217" s="154" t="s">
        <v>4308</v>
      </c>
      <c r="Y217" s="154" t="s">
        <v>4313</v>
      </c>
      <c r="Z217" s="226" t="s">
        <v>3339</v>
      </c>
      <c r="AF217"/>
    </row>
    <row r="218" spans="2:32">
      <c r="B218" s="13">
        <v>2014</v>
      </c>
      <c r="C218" s="227">
        <v>611.31636083660533</v>
      </c>
      <c r="D218" s="228">
        <v>2046.0239877850345</v>
      </c>
      <c r="E218" s="228">
        <v>1278.1392124126796</v>
      </c>
      <c r="F218" s="804">
        <f>C218/E218</f>
        <v>0.47828621084447753</v>
      </c>
      <c r="G218" s="804">
        <f>1000*D218/(E218*8760)</f>
        <v>0.18273782691194768</v>
      </c>
      <c r="H218" s="725">
        <v>1285.3609793356331</v>
      </c>
      <c r="I218" s="227">
        <v>418.6716877583969</v>
      </c>
      <c r="J218" s="228">
        <v>1460.9050052963942</v>
      </c>
      <c r="K218" s="228">
        <v>855.08846966213548</v>
      </c>
      <c r="L218" s="804">
        <f>I218/K218</f>
        <v>0.48962382561867945</v>
      </c>
      <c r="M218" s="804">
        <f>1000*J218/(K218*8760)</f>
        <v>0.19503242493663317</v>
      </c>
      <c r="N218" s="725">
        <v>857.47845191785689</v>
      </c>
      <c r="O218" s="227">
        <v>108.36619533084414</v>
      </c>
      <c r="P218" s="228">
        <v>383.18127926941577</v>
      </c>
      <c r="Q218" s="228">
        <v>225.04725646891512</v>
      </c>
      <c r="R218" s="804">
        <f>O218/Q218</f>
        <v>0.4815264004154271</v>
      </c>
      <c r="S218" s="804">
        <f>1000*P218/(Q218*8760)</f>
        <v>0.19436875549639707</v>
      </c>
      <c r="T218" s="727">
        <v>240.77212213857013</v>
      </c>
      <c r="U218" s="231">
        <f t="shared" ref="U218:U228" si="53">D218+J218+P218</f>
        <v>3890.1102723508443</v>
      </c>
      <c r="V218" s="232">
        <f t="shared" ref="V218:V228" si="54">E218+K218+Q218</f>
        <v>2358.2749385437305</v>
      </c>
      <c r="W218" s="233">
        <f>1000*U218/(V218*8760)</f>
        <v>0.18830565844997174</v>
      </c>
      <c r="X218" s="232">
        <f t="shared" ref="X218:X228" si="55">C218+I218+O218</f>
        <v>1138.3542439258465</v>
      </c>
      <c r="Y218" s="233">
        <f>X218/V218</f>
        <v>0.48270633136134544</v>
      </c>
      <c r="Z218" s="729">
        <f t="shared" ref="Z218:Z228" si="56">H218+N218+T218</f>
        <v>2383.6115533920602</v>
      </c>
      <c r="AF218"/>
    </row>
    <row r="219" spans="2:32">
      <c r="B219" s="13">
        <f>B218+1</f>
        <v>2015</v>
      </c>
      <c r="C219" s="227">
        <v>646.83048073746772</v>
      </c>
      <c r="D219" s="228">
        <v>2203.3585739740465</v>
      </c>
      <c r="E219" s="228">
        <v>1362.9969912339152</v>
      </c>
      <c r="F219" s="804">
        <f t="shared" ref="F219:F228" si="57">C219/E219</f>
        <v>0.47456486323707503</v>
      </c>
      <c r="G219" s="804">
        <f t="shared" ref="G219:G228" si="58">1000*D219/(E219*8760)</f>
        <v>0.18453815597875664</v>
      </c>
      <c r="H219" s="725">
        <v>1390.8630578614191</v>
      </c>
      <c r="I219" s="227">
        <v>434.3288863211327</v>
      </c>
      <c r="J219" s="228">
        <v>1546.4163672514101</v>
      </c>
      <c r="K219" s="228">
        <v>899.99934982703394</v>
      </c>
      <c r="L219" s="804">
        <f t="shared" ref="L219:L228" si="59">I219/K219</f>
        <v>0.48258800009644903</v>
      </c>
      <c r="M219" s="804">
        <f t="shared" ref="M219:M228" si="60">1000*J219/(K219*8760)</f>
        <v>0.19614630700224248</v>
      </c>
      <c r="N219" s="725">
        <v>924.10305022966361</v>
      </c>
      <c r="O219" s="227">
        <v>120.45974817359749</v>
      </c>
      <c r="P219" s="228">
        <v>441.07388517558553</v>
      </c>
      <c r="Q219" s="228">
        <v>252.81008470150408</v>
      </c>
      <c r="R219" s="804">
        <f t="shared" ref="R219:R228" si="61">O219/Q219</f>
        <v>0.47648316053461937</v>
      </c>
      <c r="S219" s="804">
        <f t="shared" ref="S219:S228" si="62">1000*P219/(Q219*8760)</f>
        <v>0.19916491936486305</v>
      </c>
      <c r="T219" s="727">
        <v>277.45760495358206</v>
      </c>
      <c r="U219" s="231">
        <f t="shared" si="53"/>
        <v>4190.8488264010421</v>
      </c>
      <c r="V219" s="232">
        <f t="shared" si="54"/>
        <v>2515.8064257624528</v>
      </c>
      <c r="W219" s="233">
        <f t="shared" ref="W219:W228" si="63">1000*U219/(V219*8760)</f>
        <v>0.19016065599288032</v>
      </c>
      <c r="X219" s="232">
        <f t="shared" si="55"/>
        <v>1201.6191152321978</v>
      </c>
      <c r="Y219" s="233">
        <f t="shared" ref="Y219:Y228" si="64">X219/V219</f>
        <v>0.47762781068023913</v>
      </c>
      <c r="Z219" s="729">
        <f t="shared" si="56"/>
        <v>2592.423713044665</v>
      </c>
      <c r="AF219"/>
    </row>
    <row r="220" spans="2:32">
      <c r="B220" s="13">
        <f t="shared" ref="B220:B228" si="65">B219+1</f>
        <v>2016</v>
      </c>
      <c r="C220" s="227">
        <v>698.06571599393692</v>
      </c>
      <c r="D220" s="228">
        <v>2391.6917773864584</v>
      </c>
      <c r="E220" s="228">
        <v>1476.4070257774958</v>
      </c>
      <c r="F220" s="804">
        <f t="shared" si="57"/>
        <v>0.47281386758934318</v>
      </c>
      <c r="G220" s="804">
        <f t="shared" si="58"/>
        <v>0.18492473331123513</v>
      </c>
      <c r="H220" s="725">
        <v>1535.0349442050501</v>
      </c>
      <c r="I220" s="227">
        <v>462.16314826718286</v>
      </c>
      <c r="J220" s="228">
        <v>1654.1409558936921</v>
      </c>
      <c r="K220" s="228">
        <v>963.64166112955638</v>
      </c>
      <c r="L220" s="804">
        <f t="shared" si="59"/>
        <v>0.47960063051388513</v>
      </c>
      <c r="M220" s="804">
        <f t="shared" si="60"/>
        <v>0.19595341698098828</v>
      </c>
      <c r="N220" s="725">
        <v>1017.6732130144687</v>
      </c>
      <c r="O220" s="227">
        <v>138.28085565856725</v>
      </c>
      <c r="P220" s="228">
        <v>512.28433267527066</v>
      </c>
      <c r="Q220" s="228">
        <v>290.4623418671847</v>
      </c>
      <c r="R220" s="804">
        <f t="shared" si="61"/>
        <v>0.47607154431673909</v>
      </c>
      <c r="S220" s="804">
        <f t="shared" si="62"/>
        <v>0.20133400521561723</v>
      </c>
      <c r="T220" s="727">
        <v>324.16562457460873</v>
      </c>
      <c r="U220" s="231">
        <f t="shared" si="53"/>
        <v>4558.1170659554209</v>
      </c>
      <c r="V220" s="232">
        <f t="shared" si="54"/>
        <v>2730.5110287742373</v>
      </c>
      <c r="W220" s="233">
        <f t="shared" si="63"/>
        <v>0.19056249651198878</v>
      </c>
      <c r="X220" s="232">
        <f t="shared" si="55"/>
        <v>1298.5097199196871</v>
      </c>
      <c r="Y220" s="233">
        <f t="shared" si="64"/>
        <v>0.47555556679168787</v>
      </c>
      <c r="Z220" s="729">
        <f t="shared" si="56"/>
        <v>2876.8737817941274</v>
      </c>
      <c r="AF220"/>
    </row>
    <row r="221" spans="2:32">
      <c r="B221" s="13">
        <f t="shared" si="65"/>
        <v>2017</v>
      </c>
      <c r="C221" s="227">
        <v>724.56653252422984</v>
      </c>
      <c r="D221" s="228">
        <v>2485.3672695378618</v>
      </c>
      <c r="E221" s="228">
        <v>1540.5888411616243</v>
      </c>
      <c r="F221" s="804">
        <f t="shared" si="57"/>
        <v>0.47031791556915153</v>
      </c>
      <c r="G221" s="804">
        <f t="shared" si="58"/>
        <v>0.18416187191071848</v>
      </c>
      <c r="H221" s="725">
        <v>1609.4048007539145</v>
      </c>
      <c r="I221" s="227">
        <v>477.00521837300005</v>
      </c>
      <c r="J221" s="228">
        <v>1707.7625367430066</v>
      </c>
      <c r="K221" s="228">
        <v>1000.873682371806</v>
      </c>
      <c r="L221" s="804">
        <f t="shared" si="59"/>
        <v>0.47658883111265726</v>
      </c>
      <c r="M221" s="804">
        <f t="shared" si="60"/>
        <v>0.19477988551967182</v>
      </c>
      <c r="N221" s="725">
        <v>1058.8777521781421</v>
      </c>
      <c r="O221" s="227">
        <v>142.14040111824323</v>
      </c>
      <c r="P221" s="228">
        <v>526.18871119737184</v>
      </c>
      <c r="Q221" s="228">
        <v>300.31769099053008</v>
      </c>
      <c r="R221" s="804">
        <f t="shared" si="61"/>
        <v>0.47330012644085406</v>
      </c>
      <c r="S221" s="804">
        <f t="shared" si="62"/>
        <v>0.20001220799370067</v>
      </c>
      <c r="T221" s="727">
        <v>334.98944369929512</v>
      </c>
      <c r="U221" s="231">
        <f t="shared" si="53"/>
        <v>4719.3185174782402</v>
      </c>
      <c r="V221" s="232">
        <f t="shared" si="54"/>
        <v>2841.7802145239602</v>
      </c>
      <c r="W221" s="233">
        <f t="shared" si="63"/>
        <v>0.18957658577053391</v>
      </c>
      <c r="X221" s="232">
        <f t="shared" si="55"/>
        <v>1343.7121520154731</v>
      </c>
      <c r="Y221" s="233">
        <f t="shared" si="64"/>
        <v>0.47284168745631322</v>
      </c>
      <c r="Z221" s="729">
        <f t="shared" si="56"/>
        <v>3003.2719966313516</v>
      </c>
      <c r="AF221"/>
    </row>
    <row r="222" spans="2:32">
      <c r="B222" s="13">
        <f t="shared" si="65"/>
        <v>2018</v>
      </c>
      <c r="C222" s="227">
        <v>756.14071830621572</v>
      </c>
      <c r="D222" s="228">
        <v>2597.5801642002061</v>
      </c>
      <c r="E222" s="228">
        <v>1614.9490936436855</v>
      </c>
      <c r="F222" s="804">
        <f t="shared" si="57"/>
        <v>0.46821334572236795</v>
      </c>
      <c r="G222" s="804">
        <f t="shared" si="58"/>
        <v>0.18361409481679558</v>
      </c>
      <c r="H222" s="725">
        <v>1696.7401469865367</v>
      </c>
      <c r="I222" s="227">
        <v>494.52569186368777</v>
      </c>
      <c r="J222" s="228">
        <v>1771.5200534613209</v>
      </c>
      <c r="K222" s="228">
        <v>1043.4368656879296</v>
      </c>
      <c r="L222" s="804">
        <f t="shared" si="59"/>
        <v>0.47393925605422316</v>
      </c>
      <c r="M222" s="804">
        <f t="shared" si="60"/>
        <v>0.19380982525650564</v>
      </c>
      <c r="N222" s="725">
        <v>1106.5276695335365</v>
      </c>
      <c r="O222" s="227">
        <v>146.70220897300604</v>
      </c>
      <c r="P222" s="228">
        <v>542.73054638496319</v>
      </c>
      <c r="Q222" s="228">
        <v>311.56616233650345</v>
      </c>
      <c r="R222" s="804">
        <f t="shared" si="61"/>
        <v>0.47085411288842721</v>
      </c>
      <c r="S222" s="804">
        <f t="shared" si="62"/>
        <v>0.19885195927615887</v>
      </c>
      <c r="T222" s="727">
        <v>347.12655776038548</v>
      </c>
      <c r="U222" s="231">
        <f t="shared" si="53"/>
        <v>4911.8307640464909</v>
      </c>
      <c r="V222" s="232">
        <f t="shared" si="54"/>
        <v>2969.9521216681187</v>
      </c>
      <c r="W222" s="233">
        <f t="shared" si="63"/>
        <v>0.18879471838744624</v>
      </c>
      <c r="X222" s="232">
        <f t="shared" si="55"/>
        <v>1397.3686191429094</v>
      </c>
      <c r="Y222" s="233">
        <f t="shared" si="64"/>
        <v>0.47050206935930539</v>
      </c>
      <c r="Z222" s="729">
        <f t="shared" si="56"/>
        <v>3150.3943742804586</v>
      </c>
      <c r="AF222"/>
    </row>
    <row r="223" spans="2:32">
      <c r="B223" s="13">
        <f t="shared" si="65"/>
        <v>2019</v>
      </c>
      <c r="C223" s="227">
        <v>793.81821415677814</v>
      </c>
      <c r="D223" s="228">
        <v>2732.636311978611</v>
      </c>
      <c r="E223" s="228">
        <v>1701.5586679979881</v>
      </c>
      <c r="F223" s="804">
        <f t="shared" si="57"/>
        <v>0.4665241517007257</v>
      </c>
      <c r="G223" s="804">
        <f t="shared" si="58"/>
        <v>0.18332884451140949</v>
      </c>
      <c r="H223" s="725">
        <v>1797.6608547828118</v>
      </c>
      <c r="I223" s="227">
        <v>514.21077635247423</v>
      </c>
      <c r="J223" s="228">
        <v>1843.4616419857518</v>
      </c>
      <c r="K223" s="228">
        <v>1090.312309665416</v>
      </c>
      <c r="L223" s="804">
        <f t="shared" si="59"/>
        <v>0.47161787663414534</v>
      </c>
      <c r="M223" s="804">
        <f t="shared" si="60"/>
        <v>0.1930096769936315</v>
      </c>
      <c r="N223" s="725">
        <v>1166.0042723545328</v>
      </c>
      <c r="O223" s="227">
        <v>151.84540038862423</v>
      </c>
      <c r="P223" s="228">
        <v>561.46671473971037</v>
      </c>
      <c r="Q223" s="228">
        <v>323.96801596704307</v>
      </c>
      <c r="R223" s="804">
        <f t="shared" si="61"/>
        <v>0.46870491191967328</v>
      </c>
      <c r="S223" s="804">
        <f t="shared" si="62"/>
        <v>0.19784167161505942</v>
      </c>
      <c r="T223" s="727">
        <v>360.46888734635104</v>
      </c>
      <c r="U223" s="231">
        <f t="shared" si="53"/>
        <v>5137.5646687040735</v>
      </c>
      <c r="V223" s="232">
        <f t="shared" si="54"/>
        <v>3115.838993630447</v>
      </c>
      <c r="W223" s="233">
        <f t="shared" si="63"/>
        <v>0.18822538205946845</v>
      </c>
      <c r="X223" s="232">
        <f t="shared" si="55"/>
        <v>1459.8743908978765</v>
      </c>
      <c r="Y223" s="233">
        <f t="shared" si="64"/>
        <v>0.46853332084302957</v>
      </c>
      <c r="Z223" s="729">
        <f t="shared" si="56"/>
        <v>3324.1340144836959</v>
      </c>
      <c r="AF223"/>
    </row>
    <row r="224" spans="2:32">
      <c r="B224" s="13">
        <f t="shared" si="65"/>
        <v>2020</v>
      </c>
      <c r="C224" s="227">
        <v>839.80392601151971</v>
      </c>
      <c r="D224" s="228">
        <v>2900.7186762324968</v>
      </c>
      <c r="E224" s="228">
        <v>1804.847766219121</v>
      </c>
      <c r="F224" s="804">
        <f t="shared" si="57"/>
        <v>0.4653045767792261</v>
      </c>
      <c r="G224" s="804">
        <f t="shared" si="58"/>
        <v>0.18346825431708497</v>
      </c>
      <c r="H224" s="725">
        <v>1943.0885989066319</v>
      </c>
      <c r="I224" s="227">
        <v>539.05657408151149</v>
      </c>
      <c r="J224" s="228">
        <v>1936.6323815083103</v>
      </c>
      <c r="K224" s="228">
        <v>1147.4991872676469</v>
      </c>
      <c r="L224" s="804">
        <f t="shared" si="59"/>
        <v>0.46976641034934341</v>
      </c>
      <c r="M224" s="804">
        <f t="shared" si="60"/>
        <v>0.19265961870209095</v>
      </c>
      <c r="N224" s="725">
        <v>1260.6656129604487</v>
      </c>
      <c r="O224" s="227">
        <v>164.63571917785754</v>
      </c>
      <c r="P224" s="228">
        <v>611.73603044196432</v>
      </c>
      <c r="Q224" s="228">
        <v>351.65659025973571</v>
      </c>
      <c r="R224" s="804">
        <f t="shared" si="61"/>
        <v>0.46817185782372678</v>
      </c>
      <c r="S224" s="804">
        <f t="shared" si="62"/>
        <v>0.19858260053042046</v>
      </c>
      <c r="T224" s="727">
        <v>396.87489068423872</v>
      </c>
      <c r="U224" s="231">
        <f t="shared" si="53"/>
        <v>5449.0870881827714</v>
      </c>
      <c r="V224" s="232">
        <f t="shared" si="54"/>
        <v>3304.003543746504</v>
      </c>
      <c r="W224" s="233">
        <f t="shared" si="63"/>
        <v>0.18826913978982732</v>
      </c>
      <c r="X224" s="232">
        <f t="shared" si="55"/>
        <v>1543.4962192708886</v>
      </c>
      <c r="Y224" s="233">
        <f t="shared" si="64"/>
        <v>0.46715937160305648</v>
      </c>
      <c r="Z224" s="729">
        <f t="shared" si="56"/>
        <v>3600.6291025513196</v>
      </c>
      <c r="AF224"/>
    </row>
    <row r="225" spans="2:32">
      <c r="B225" s="13">
        <f t="shared" si="65"/>
        <v>2021</v>
      </c>
      <c r="C225" s="227">
        <v>897.66945632478166</v>
      </c>
      <c r="D225" s="228">
        <v>3116.8640968400846</v>
      </c>
      <c r="E225" s="228">
        <v>1932.0056836601173</v>
      </c>
      <c r="F225" s="804">
        <f t="shared" si="57"/>
        <v>0.46463085689488154</v>
      </c>
      <c r="G225" s="804">
        <f t="shared" si="58"/>
        <v>0.18416426346883477</v>
      </c>
      <c r="H225" s="725">
        <v>2118.7828258661225</v>
      </c>
      <c r="I225" s="227">
        <v>575.4331804195557</v>
      </c>
      <c r="J225" s="228">
        <v>2077.479068947031</v>
      </c>
      <c r="K225" s="228">
        <v>1227.7803842973981</v>
      </c>
      <c r="L225" s="804">
        <f t="shared" si="59"/>
        <v>0.46867761350402215</v>
      </c>
      <c r="M225" s="804">
        <f t="shared" si="60"/>
        <v>0.19315762646972073</v>
      </c>
      <c r="N225" s="725">
        <v>1371.726268585755</v>
      </c>
      <c r="O225" s="227">
        <v>182.25597223538654</v>
      </c>
      <c r="P225" s="228">
        <v>681.88964391628701</v>
      </c>
      <c r="Q225" s="228">
        <v>389.06828592015523</v>
      </c>
      <c r="R225" s="804">
        <f t="shared" si="61"/>
        <v>0.46844211885414166</v>
      </c>
      <c r="S225" s="804">
        <f t="shared" si="62"/>
        <v>0.20007100647638543</v>
      </c>
      <c r="T225" s="727">
        <v>440.96277009790026</v>
      </c>
      <c r="U225" s="231">
        <f t="shared" si="53"/>
        <v>5876.2328097034024</v>
      </c>
      <c r="V225" s="232">
        <f t="shared" si="54"/>
        <v>3548.8543538776703</v>
      </c>
      <c r="W225" s="233">
        <f t="shared" si="63"/>
        <v>0.18901954413118338</v>
      </c>
      <c r="X225" s="232">
        <f t="shared" si="55"/>
        <v>1655.3586089797238</v>
      </c>
      <c r="Y225" s="233">
        <f t="shared" si="64"/>
        <v>0.46644873074911891</v>
      </c>
      <c r="Z225" s="729">
        <f t="shared" si="56"/>
        <v>3931.4718645497778</v>
      </c>
      <c r="AF225"/>
    </row>
    <row r="226" spans="2:32">
      <c r="B226" s="13">
        <f t="shared" si="65"/>
        <v>2022</v>
      </c>
      <c r="C226" s="227">
        <v>968.26365634596323</v>
      </c>
      <c r="D226" s="228">
        <v>3384.5747995387264</v>
      </c>
      <c r="E226" s="228">
        <v>2084.8120150954101</v>
      </c>
      <c r="F226" s="804">
        <f t="shared" si="57"/>
        <v>0.46443691293752032</v>
      </c>
      <c r="G226" s="804">
        <f t="shared" si="58"/>
        <v>0.1853246160570651</v>
      </c>
      <c r="H226" s="725">
        <v>2322.2918081530888</v>
      </c>
      <c r="I226" s="227">
        <v>619.83484055849192</v>
      </c>
      <c r="J226" s="228">
        <v>2251.5618148434482</v>
      </c>
      <c r="K226" s="228">
        <v>1324.2486076579894</v>
      </c>
      <c r="L226" s="804">
        <f t="shared" si="59"/>
        <v>0.46806531415177838</v>
      </c>
      <c r="M226" s="804">
        <f t="shared" si="60"/>
        <v>0.1940931657000205</v>
      </c>
      <c r="N226" s="725">
        <v>1499.3419623982338</v>
      </c>
      <c r="O226" s="227">
        <v>203.0188722375546</v>
      </c>
      <c r="P226" s="228">
        <v>764.98513983002829</v>
      </c>
      <c r="Q226" s="228">
        <v>432.87212766361716</v>
      </c>
      <c r="R226" s="804">
        <f t="shared" si="61"/>
        <v>0.46900426075785501</v>
      </c>
      <c r="S226" s="804">
        <f t="shared" si="62"/>
        <v>0.20173872415438582</v>
      </c>
      <c r="T226" s="727">
        <v>490.16097165929921</v>
      </c>
      <c r="U226" s="231">
        <f t="shared" si="53"/>
        <v>6401.1217542122022</v>
      </c>
      <c r="V226" s="232">
        <f t="shared" si="54"/>
        <v>3841.9327504170165</v>
      </c>
      <c r="W226" s="233">
        <f t="shared" si="63"/>
        <v>0.19019636961642133</v>
      </c>
      <c r="X226" s="232">
        <f t="shared" si="55"/>
        <v>1791.1173691420099</v>
      </c>
      <c r="Y226" s="233">
        <f t="shared" si="64"/>
        <v>0.46620216581031926</v>
      </c>
      <c r="Z226" s="729">
        <f t="shared" si="56"/>
        <v>4311.7947422106217</v>
      </c>
      <c r="AF226"/>
    </row>
    <row r="227" spans="2:32">
      <c r="B227" s="13">
        <f t="shared" si="65"/>
        <v>2023</v>
      </c>
      <c r="C227" s="227">
        <v>1051.1973083749913</v>
      </c>
      <c r="D227" s="228">
        <v>3702.0153529902373</v>
      </c>
      <c r="E227" s="228">
        <v>2262.5879984894432</v>
      </c>
      <c r="F227" s="804">
        <f t="shared" si="57"/>
        <v>0.46459952456072218</v>
      </c>
      <c r="G227" s="804">
        <f t="shared" si="58"/>
        <v>0.18677925129657913</v>
      </c>
      <c r="H227" s="725">
        <v>2551.0445890973901</v>
      </c>
      <c r="I227" s="227">
        <v>671.82920306507538</v>
      </c>
      <c r="J227" s="228">
        <v>2457.2025366458433</v>
      </c>
      <c r="K227" s="228">
        <v>1436.1117882105668</v>
      </c>
      <c r="L227" s="804">
        <f t="shared" si="59"/>
        <v>0.46781121677316795</v>
      </c>
      <c r="M227" s="804">
        <f t="shared" si="60"/>
        <v>0.1953208482648692</v>
      </c>
      <c r="N227" s="725">
        <v>1644.2393646903222</v>
      </c>
      <c r="O227" s="227">
        <v>226.13761059986069</v>
      </c>
      <c r="P227" s="228">
        <v>857.80138074326237</v>
      </c>
      <c r="Q227" s="228">
        <v>481.52160458883816</v>
      </c>
      <c r="R227" s="804">
        <f t="shared" si="61"/>
        <v>0.46963128641539387</v>
      </c>
      <c r="S227" s="804">
        <f t="shared" si="62"/>
        <v>0.2033606199911461</v>
      </c>
      <c r="T227" s="727">
        <v>542.77238443011925</v>
      </c>
      <c r="U227" s="231">
        <f t="shared" si="53"/>
        <v>7017.0192703793427</v>
      </c>
      <c r="V227" s="232">
        <f t="shared" si="54"/>
        <v>4180.2213912888483</v>
      </c>
      <c r="W227" s="233">
        <f t="shared" si="63"/>
        <v>0.19162372565829427</v>
      </c>
      <c r="X227" s="232">
        <f t="shared" si="55"/>
        <v>1949.1641220399274</v>
      </c>
      <c r="Y227" s="233">
        <f t="shared" si="64"/>
        <v>0.46628250984547975</v>
      </c>
      <c r="Z227" s="729">
        <f t="shared" si="56"/>
        <v>4738.0563382178316</v>
      </c>
      <c r="AF227"/>
    </row>
    <row r="228" spans="2:32">
      <c r="B228" s="13">
        <f t="shared" si="65"/>
        <v>2024</v>
      </c>
      <c r="C228" s="229">
        <v>1144.4739808620461</v>
      </c>
      <c r="D228" s="230">
        <v>4061.6060961824783</v>
      </c>
      <c r="E228" s="230">
        <v>2461.4389655931795</v>
      </c>
      <c r="F228" s="805">
        <f t="shared" si="57"/>
        <v>0.46496134856881999</v>
      </c>
      <c r="G228" s="805">
        <f t="shared" si="58"/>
        <v>0.18836691481238335</v>
      </c>
      <c r="H228" s="726">
        <v>2803.9239307195412</v>
      </c>
      <c r="I228" s="229">
        <v>731.76465828274331</v>
      </c>
      <c r="J228" s="230">
        <v>2695.9155792391412</v>
      </c>
      <c r="K228" s="230">
        <v>1564.1347908550651</v>
      </c>
      <c r="L228" s="805">
        <f t="shared" si="59"/>
        <v>0.46783989625517486</v>
      </c>
      <c r="M228" s="805">
        <f t="shared" si="60"/>
        <v>0.19675600965069573</v>
      </c>
      <c r="N228" s="726">
        <v>1807.0832599555931</v>
      </c>
      <c r="O228" s="229">
        <v>251.16059624495099</v>
      </c>
      <c r="P228" s="230">
        <v>958.47065463560568</v>
      </c>
      <c r="Q228" s="230">
        <v>534.13296452847976</v>
      </c>
      <c r="R228" s="805">
        <f t="shared" si="61"/>
        <v>0.47022111145427947</v>
      </c>
      <c r="S228" s="805">
        <f t="shared" si="62"/>
        <v>0.20484498347396393</v>
      </c>
      <c r="T228" s="728">
        <v>598.18948313246676</v>
      </c>
      <c r="U228" s="234">
        <f t="shared" si="53"/>
        <v>7715.9923300572254</v>
      </c>
      <c r="V228" s="235">
        <f t="shared" si="54"/>
        <v>4559.7067209767247</v>
      </c>
      <c r="W228" s="236">
        <f t="shared" si="63"/>
        <v>0.19317493342100231</v>
      </c>
      <c r="X228" s="235">
        <f t="shared" si="55"/>
        <v>2127.3992353897406</v>
      </c>
      <c r="Y228" s="236">
        <f t="shared" si="64"/>
        <v>0.46656492743332301</v>
      </c>
      <c r="Z228" s="730">
        <f t="shared" si="56"/>
        <v>5209.1966738076017</v>
      </c>
      <c r="AF228"/>
    </row>
    <row r="229" spans="2:32">
      <c r="F229" s="58">
        <f>AVERAGE(F218:F228)</f>
        <v>0.46860487040039178</v>
      </c>
      <c r="G229" s="58">
        <f>AVERAGE(G218:G228)</f>
        <v>0.18467352976298274</v>
      </c>
      <c r="L229" s="58">
        <f>AVERAGE(L218:L228)</f>
        <v>0.47419262464213874</v>
      </c>
      <c r="M229" s="58">
        <f>AVERAGE(M218:M228)</f>
        <v>0.19461080049791549</v>
      </c>
      <c r="Q229" s="58"/>
      <c r="R229" s="58">
        <f>AVERAGE(R218:R228)</f>
        <v>0.47203735380192152</v>
      </c>
      <c r="S229" s="58">
        <f>AVERAGE(S218:S228)</f>
        <v>0.20001558668982711</v>
      </c>
    </row>
    <row r="230" spans="2:32">
      <c r="F230" s="58"/>
      <c r="G230" s="58"/>
      <c r="L230" s="58"/>
      <c r="M230" s="58"/>
      <c r="Q230" s="58"/>
      <c r="R230" s="58"/>
      <c r="S230" s="58"/>
    </row>
    <row r="231" spans="2:32">
      <c r="B231" s="13" t="s">
        <v>3340</v>
      </c>
    </row>
    <row r="232" spans="2:32">
      <c r="B232" s="164">
        <f>AVERAGE(W218:W228)</f>
        <v>0.189809928162638</v>
      </c>
      <c r="Q232" s="58"/>
    </row>
    <row r="234" spans="2:32">
      <c r="B234" s="13" t="s">
        <v>4316</v>
      </c>
    </row>
    <row r="235" spans="2:32">
      <c r="B235" s="164">
        <f>AVERAGE(Y218:Y228)</f>
        <v>0.47094768108483803</v>
      </c>
      <c r="S235" s="58"/>
    </row>
    <row r="237" spans="2:32">
      <c r="B237" s="13" t="s">
        <v>4337</v>
      </c>
    </row>
    <row r="238" spans="2:32">
      <c r="B238" s="181">
        <v>0.19</v>
      </c>
      <c r="C238" s="13" t="s">
        <v>4338</v>
      </c>
    </row>
    <row r="240" spans="2:32">
      <c r="B240" s="13" t="s">
        <v>4372</v>
      </c>
    </row>
    <row r="241" spans="1:12">
      <c r="B241" s="181">
        <v>0.56000000000000005</v>
      </c>
      <c r="C241" s="13" t="s">
        <v>4339</v>
      </c>
    </row>
    <row r="244" spans="1:12">
      <c r="B244" s="13" t="s">
        <v>5410</v>
      </c>
    </row>
    <row r="245" spans="1:12">
      <c r="B245" s="239" t="s">
        <v>5352</v>
      </c>
    </row>
    <row r="246" spans="1:12">
      <c r="B246" s="13" t="s">
        <v>5290</v>
      </c>
    </row>
    <row r="247" spans="1:12">
      <c r="B247" s="239" t="s">
        <v>5291</v>
      </c>
    </row>
    <row r="248" spans="1:12">
      <c r="B248" s="724">
        <v>2014</v>
      </c>
      <c r="C248" s="724">
        <v>2015</v>
      </c>
      <c r="D248" s="724">
        <v>2016</v>
      </c>
      <c r="E248" s="724">
        <v>2017</v>
      </c>
      <c r="F248" s="724">
        <v>2018</v>
      </c>
      <c r="G248" s="724">
        <v>2019</v>
      </c>
      <c r="H248" s="724">
        <v>2020</v>
      </c>
      <c r="I248" s="724">
        <v>2021</v>
      </c>
      <c r="J248" s="724">
        <v>2022</v>
      </c>
      <c r="K248" s="724">
        <v>2023</v>
      </c>
      <c r="L248" s="724">
        <v>2024</v>
      </c>
    </row>
    <row r="249" spans="1:12">
      <c r="B249" s="852">
        <f>SUM(B251:B253)</f>
        <v>2067.3390036230303</v>
      </c>
      <c r="C249" s="853">
        <f t="shared" ref="C249:L249" si="66">SUM(C251:C253)</f>
        <v>2518.8749242126451</v>
      </c>
      <c r="D249" s="853">
        <f t="shared" si="66"/>
        <v>3022.6628009958376</v>
      </c>
      <c r="E249" s="853">
        <f t="shared" si="66"/>
        <v>3580.3168423448105</v>
      </c>
      <c r="F249" s="853">
        <f t="shared" si="66"/>
        <v>4193.4512566744952</v>
      </c>
      <c r="G249" s="853">
        <f t="shared" si="66"/>
        <v>4863.6802523516417</v>
      </c>
      <c r="H249" s="854">
        <f t="shared" si="66"/>
        <v>5573.2788643456788</v>
      </c>
      <c r="I249" s="32">
        <f t="shared" si="66"/>
        <v>6028.2870000000003</v>
      </c>
      <c r="J249" s="32">
        <f t="shared" si="66"/>
        <v>6613.2240000000002</v>
      </c>
      <c r="K249" s="32">
        <f t="shared" si="66"/>
        <v>7198.1610000000001</v>
      </c>
      <c r="L249" s="32">
        <f t="shared" si="66"/>
        <v>7783.098</v>
      </c>
    </row>
    <row r="250" spans="1:12">
      <c r="B250" s="225" t="s">
        <v>5292</v>
      </c>
      <c r="C250" s="154"/>
      <c r="D250" s="154"/>
      <c r="E250" s="154"/>
      <c r="F250" s="154"/>
      <c r="G250" s="154"/>
      <c r="H250" s="226"/>
    </row>
    <row r="251" spans="1:12">
      <c r="A251" s="213" t="s">
        <v>3334</v>
      </c>
      <c r="B251" s="227">
        <v>1108.1042934142099</v>
      </c>
      <c r="C251" s="228">
        <v>1308.1347418077639</v>
      </c>
      <c r="D251" s="228">
        <v>1525.3424153689666</v>
      </c>
      <c r="E251" s="228">
        <v>1760.1500397888826</v>
      </c>
      <c r="F251" s="228">
        <v>2012.9803407507061</v>
      </c>
      <c r="G251" s="228">
        <v>2284.2560439494364</v>
      </c>
      <c r="H251" s="855">
        <v>2565.8400272947711</v>
      </c>
      <c r="I251" s="33">
        <v>2768.2200000000003</v>
      </c>
      <c r="J251" s="33">
        <v>3011.54</v>
      </c>
      <c r="K251" s="33">
        <v>3254.8599999999997</v>
      </c>
      <c r="L251" s="33">
        <v>3498.1800000000003</v>
      </c>
    </row>
    <row r="252" spans="1:12">
      <c r="A252" s="213" t="s">
        <v>5</v>
      </c>
      <c r="B252" s="227">
        <v>704.06010107253678</v>
      </c>
      <c r="C252" s="228">
        <v>897.93908079969697</v>
      </c>
      <c r="D252" s="228">
        <v>1121.964459664654</v>
      </c>
      <c r="E252" s="228">
        <v>1377.8238122074399</v>
      </c>
      <c r="F252" s="228">
        <v>1667.204712998122</v>
      </c>
      <c r="G252" s="228">
        <v>1991.7947365636937</v>
      </c>
      <c r="H252" s="855">
        <v>2350.3647499788235</v>
      </c>
      <c r="I252" s="33">
        <v>2540.5</v>
      </c>
      <c r="J252" s="33">
        <v>2814.5</v>
      </c>
      <c r="K252" s="33">
        <v>3088.5</v>
      </c>
      <c r="L252" s="33">
        <v>3362.5</v>
      </c>
    </row>
    <row r="253" spans="1:12">
      <c r="A253" s="213" t="s">
        <v>143</v>
      </c>
      <c r="B253" s="229">
        <v>255.17460913628341</v>
      </c>
      <c r="C253" s="230">
        <v>312.80110160518439</v>
      </c>
      <c r="D253" s="230">
        <v>375.3559259622171</v>
      </c>
      <c r="E253" s="230">
        <v>442.34299034848806</v>
      </c>
      <c r="F253" s="230">
        <v>513.26620292566713</v>
      </c>
      <c r="G253" s="230">
        <v>587.62947183851145</v>
      </c>
      <c r="H253" s="856">
        <v>657.07408707208413</v>
      </c>
      <c r="I253" s="33">
        <v>719.56700000000012</v>
      </c>
      <c r="J253" s="33">
        <v>787.18400000000008</v>
      </c>
      <c r="K253" s="33">
        <v>854.80100000000004</v>
      </c>
      <c r="L253" s="33">
        <v>922.41800000000001</v>
      </c>
    </row>
    <row r="254" spans="1:12">
      <c r="B254" s="5"/>
      <c r="C254" s="5"/>
      <c r="D254" s="5"/>
      <c r="E254" s="5"/>
      <c r="F254" s="5"/>
      <c r="G254" s="5"/>
      <c r="H254" s="5"/>
      <c r="I254" s="5" t="s">
        <v>5440</v>
      </c>
      <c r="J254" s="5"/>
      <c r="K254" s="5"/>
      <c r="L254" s="5"/>
    </row>
  </sheetData>
  <hyperlinks>
    <hyperlink ref="B207" r:id="rId1"/>
    <hyperlink ref="B247" r:id="rId2"/>
    <hyperlink ref="B245" r:id="rId3"/>
  </hyperlinks>
  <pageMargins left="0.7" right="0.7" top="0.75" bottom="0.75" header="0.3" footer="0.3"/>
  <pageSetup orientation="portrait"/>
  <legacy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1:AG116"/>
  <sheetViews>
    <sheetView tabSelected="1" zoomScale="80" zoomScaleNormal="80" zoomScalePageLayoutView="80" workbookViewId="0">
      <pane ySplit="2" topLeftCell="A3" activePane="bottomLeft" state="frozen"/>
      <selection pane="bottomLeft" activeCell="A2" sqref="A2"/>
    </sheetView>
  </sheetViews>
  <sheetFormatPr defaultColWidth="8.85546875" defaultRowHeight="15"/>
  <cols>
    <col min="3" max="3" width="16.85546875" customWidth="1"/>
    <col min="4" max="4" width="40.140625" customWidth="1"/>
    <col min="5" max="25" width="12.42578125" bestFit="1" customWidth="1"/>
    <col min="26" max="26" width="8.85546875" style="8"/>
  </cols>
  <sheetData>
    <row r="1" spans="1:26">
      <c r="A1" s="886" t="s">
        <v>5541</v>
      </c>
      <c r="B1" s="873"/>
      <c r="C1" s="873"/>
      <c r="D1" s="873"/>
      <c r="E1" s="873"/>
      <c r="F1" s="873"/>
      <c r="G1" s="873"/>
      <c r="H1" s="873"/>
      <c r="I1" s="873"/>
      <c r="J1" s="873"/>
      <c r="K1" s="873"/>
      <c r="L1" s="873"/>
      <c r="M1" s="873"/>
      <c r="N1" s="873"/>
      <c r="O1" s="873"/>
      <c r="P1" s="873"/>
      <c r="Q1" s="873"/>
      <c r="R1" s="873"/>
      <c r="S1" s="873"/>
      <c r="T1" s="873"/>
      <c r="U1" s="873"/>
      <c r="V1" s="873"/>
      <c r="W1" s="873"/>
      <c r="X1" s="873"/>
      <c r="Y1" s="873"/>
    </row>
    <row r="2" spans="1:26" s="7" customFormat="1">
      <c r="E2" s="7">
        <v>2014</v>
      </c>
      <c r="F2" s="7">
        <f>E2+1</f>
        <v>2015</v>
      </c>
      <c r="G2" s="7">
        <f t="shared" ref="G2:Y2" si="0">F2+1</f>
        <v>2016</v>
      </c>
      <c r="H2" s="7">
        <f t="shared" si="0"/>
        <v>2017</v>
      </c>
      <c r="I2" s="7">
        <f t="shared" si="0"/>
        <v>2018</v>
      </c>
      <c r="J2" s="7">
        <f t="shared" si="0"/>
        <v>2019</v>
      </c>
      <c r="K2" s="7">
        <f t="shared" si="0"/>
        <v>2020</v>
      </c>
      <c r="L2" s="7">
        <f t="shared" si="0"/>
        <v>2021</v>
      </c>
      <c r="M2" s="7">
        <f t="shared" si="0"/>
        <v>2022</v>
      </c>
      <c r="N2" s="7">
        <f t="shared" si="0"/>
        <v>2023</v>
      </c>
      <c r="O2" s="7">
        <f t="shared" si="0"/>
        <v>2024</v>
      </c>
      <c r="P2" s="7">
        <f t="shared" si="0"/>
        <v>2025</v>
      </c>
      <c r="Q2" s="7">
        <f t="shared" si="0"/>
        <v>2026</v>
      </c>
      <c r="R2" s="7">
        <f t="shared" si="0"/>
        <v>2027</v>
      </c>
      <c r="S2" s="7">
        <f t="shared" si="0"/>
        <v>2028</v>
      </c>
      <c r="T2" s="7">
        <f t="shared" si="0"/>
        <v>2029</v>
      </c>
      <c r="U2" s="7">
        <f t="shared" si="0"/>
        <v>2030</v>
      </c>
      <c r="V2" s="7">
        <f t="shared" si="0"/>
        <v>2031</v>
      </c>
      <c r="W2" s="7">
        <f t="shared" si="0"/>
        <v>2032</v>
      </c>
      <c r="X2" s="7">
        <f t="shared" si="0"/>
        <v>2033</v>
      </c>
      <c r="Y2" s="7">
        <f t="shared" si="0"/>
        <v>2034</v>
      </c>
      <c r="Z2" s="8"/>
    </row>
    <row r="3" spans="1:26" s="31" customFormat="1">
      <c r="B3" s="40" t="s">
        <v>5278</v>
      </c>
      <c r="C3" s="15"/>
      <c r="D3" s="15"/>
      <c r="E3" s="15"/>
      <c r="F3" s="15"/>
      <c r="G3" s="15"/>
      <c r="H3" s="15"/>
      <c r="I3" s="15"/>
      <c r="J3" s="15"/>
      <c r="K3" s="15"/>
      <c r="L3" s="15"/>
      <c r="M3" s="15"/>
      <c r="N3" s="15"/>
      <c r="O3" s="15"/>
      <c r="P3" s="15"/>
      <c r="Q3" s="15"/>
      <c r="R3" s="15"/>
      <c r="S3" s="15"/>
      <c r="T3" s="15"/>
      <c r="U3" s="15"/>
      <c r="V3" s="15"/>
      <c r="W3" s="15"/>
      <c r="X3" s="15"/>
      <c r="Y3" s="15"/>
      <c r="Z3" s="8"/>
    </row>
    <row r="4" spans="1:26" s="19" customFormat="1">
      <c r="B4" s="17" t="s">
        <v>4386</v>
      </c>
      <c r="E4" s="5"/>
      <c r="F4" s="5"/>
      <c r="G4" s="5"/>
      <c r="H4" s="5"/>
      <c r="I4" s="5"/>
      <c r="J4" s="5"/>
      <c r="K4" s="5"/>
      <c r="L4" s="5"/>
      <c r="M4" s="5"/>
      <c r="N4" s="5"/>
      <c r="O4" s="5"/>
      <c r="P4" s="5"/>
      <c r="Q4" s="5"/>
      <c r="R4" s="5"/>
      <c r="S4" s="5"/>
      <c r="T4" s="5"/>
      <c r="U4" s="5"/>
      <c r="V4" s="5"/>
      <c r="W4" s="5"/>
      <c r="X4" s="5"/>
      <c r="Y4" s="5"/>
      <c r="Z4" s="8"/>
    </row>
    <row r="5" spans="1:26" s="7" customFormat="1">
      <c r="B5" s="17"/>
      <c r="D5" s="7" t="s">
        <v>4357</v>
      </c>
      <c r="E5" s="33">
        <v>118</v>
      </c>
      <c r="F5" s="33">
        <v>123</v>
      </c>
      <c r="G5" s="33">
        <v>124</v>
      </c>
      <c r="H5" s="33">
        <v>124</v>
      </c>
      <c r="I5" s="33">
        <v>124</v>
      </c>
      <c r="J5" s="33">
        <v>125</v>
      </c>
      <c r="K5" s="33">
        <v>125</v>
      </c>
      <c r="L5" s="33">
        <v>125</v>
      </c>
      <c r="M5" s="33">
        <v>126</v>
      </c>
      <c r="N5" s="33">
        <v>127</v>
      </c>
      <c r="O5" s="32">
        <f>N5</f>
        <v>127</v>
      </c>
      <c r="P5" s="32" t="s">
        <v>5309</v>
      </c>
      <c r="Q5" s="32"/>
      <c r="R5" s="32"/>
      <c r="S5" s="32"/>
      <c r="T5" s="32"/>
      <c r="U5" s="32"/>
      <c r="V5" s="32"/>
      <c r="W5" s="32"/>
      <c r="X5" s="32"/>
      <c r="Y5" s="32"/>
      <c r="Z5" s="8"/>
    </row>
    <row r="6" spans="1:26" s="19" customFormat="1">
      <c r="B6" s="17"/>
      <c r="D6" s="19" t="s">
        <v>4358</v>
      </c>
      <c r="E6" s="33">
        <v>563</v>
      </c>
      <c r="F6" s="33">
        <v>568</v>
      </c>
      <c r="G6" s="33">
        <v>569</v>
      </c>
      <c r="H6" s="33">
        <v>571</v>
      </c>
      <c r="I6" s="33">
        <v>572</v>
      </c>
      <c r="J6" s="33">
        <v>573</v>
      </c>
      <c r="K6" s="33">
        <v>575</v>
      </c>
      <c r="L6" s="33">
        <v>575</v>
      </c>
      <c r="M6" s="33">
        <v>577</v>
      </c>
      <c r="N6" s="33">
        <v>578</v>
      </c>
      <c r="O6" s="32">
        <f t="shared" ref="O6:O8" si="1">N6</f>
        <v>578</v>
      </c>
      <c r="P6" s="32" t="s">
        <v>5309</v>
      </c>
      <c r="Q6" s="32"/>
      <c r="R6" s="32"/>
      <c r="S6" s="32"/>
      <c r="T6" s="32"/>
      <c r="U6" s="32"/>
      <c r="V6" s="32"/>
      <c r="W6" s="32"/>
      <c r="X6" s="32"/>
      <c r="Y6" s="32"/>
      <c r="Z6" s="8"/>
    </row>
    <row r="7" spans="1:26" s="7" customFormat="1">
      <c r="D7" s="7" t="s">
        <v>5</v>
      </c>
      <c r="E7" s="33">
        <v>1232.7</v>
      </c>
      <c r="F7" s="33">
        <v>1259.5</v>
      </c>
      <c r="G7" s="33">
        <v>1263.5</v>
      </c>
      <c r="H7" s="33">
        <v>1264.5</v>
      </c>
      <c r="I7" s="33">
        <v>1264.5</v>
      </c>
      <c r="J7" s="33">
        <v>1264.5</v>
      </c>
      <c r="K7" s="33">
        <v>1264.5</v>
      </c>
      <c r="L7" s="33">
        <v>1264.5</v>
      </c>
      <c r="M7" s="33">
        <v>1264.5</v>
      </c>
      <c r="N7" s="33">
        <v>1264.5</v>
      </c>
      <c r="O7" s="32">
        <f t="shared" si="1"/>
        <v>1264.5</v>
      </c>
      <c r="P7" s="32" t="s">
        <v>5353</v>
      </c>
      <c r="Q7" s="32"/>
      <c r="R7" s="32"/>
      <c r="S7" s="32"/>
      <c r="T7" s="32"/>
      <c r="U7" s="32"/>
      <c r="V7" s="32"/>
      <c r="W7" s="32"/>
      <c r="X7" s="32"/>
      <c r="Y7" s="32"/>
      <c r="Z7" s="8"/>
    </row>
    <row r="8" spans="1:26" s="7" customFormat="1">
      <c r="D8" s="7" t="s">
        <v>143</v>
      </c>
      <c r="E8" s="33">
        <v>38.576601009686279</v>
      </c>
      <c r="F8" s="33">
        <v>38.576601009686279</v>
      </c>
      <c r="G8" s="33">
        <v>38.576601009686279</v>
      </c>
      <c r="H8" s="33">
        <v>38.576601009686279</v>
      </c>
      <c r="I8" s="33">
        <v>38.576601009686279</v>
      </c>
      <c r="J8" s="33">
        <v>38.576601009686279</v>
      </c>
      <c r="K8" s="33">
        <v>38.576601009686279</v>
      </c>
      <c r="L8" s="33">
        <v>38.576601009686279</v>
      </c>
      <c r="M8" s="33">
        <v>38.576601009686279</v>
      </c>
      <c r="N8" s="33">
        <v>38.576601009686279</v>
      </c>
      <c r="O8" s="32">
        <f t="shared" si="1"/>
        <v>38.576601009686279</v>
      </c>
      <c r="P8" s="32" t="s">
        <v>4388</v>
      </c>
      <c r="Q8" s="32"/>
      <c r="R8" s="32"/>
      <c r="S8" s="32"/>
      <c r="T8" s="32"/>
      <c r="U8" s="32"/>
      <c r="V8" s="32"/>
      <c r="W8" s="32"/>
      <c r="X8" s="32"/>
      <c r="Y8" s="32"/>
      <c r="Z8" s="8"/>
    </row>
    <row r="9" spans="1:26" s="19" customFormat="1">
      <c r="D9" s="19" t="s">
        <v>5511</v>
      </c>
      <c r="E9" s="32">
        <f>E5*'Demand Individual Assumptions'!$E$139</f>
        <v>129.446</v>
      </c>
      <c r="F9" s="32">
        <f>F5*'Demand Individual Assumptions'!$E$139</f>
        <v>134.93099999999998</v>
      </c>
      <c r="G9" s="32">
        <f>G5*'Demand Individual Assumptions'!$E$139</f>
        <v>136.02799999999999</v>
      </c>
      <c r="H9" s="32">
        <f>H5*'Demand Individual Assumptions'!$E$139</f>
        <v>136.02799999999999</v>
      </c>
      <c r="I9" s="32">
        <f>I5*'Demand Individual Assumptions'!$E$139</f>
        <v>136.02799999999999</v>
      </c>
      <c r="J9" s="32">
        <f>J5*'Demand Individual Assumptions'!$E$139</f>
        <v>137.125</v>
      </c>
      <c r="K9" s="32">
        <f>K5*'Demand Individual Assumptions'!$E$139</f>
        <v>137.125</v>
      </c>
      <c r="L9" s="32">
        <f>L5*'Demand Individual Assumptions'!$E$139</f>
        <v>137.125</v>
      </c>
      <c r="M9" s="32">
        <f>M5*'Demand Individual Assumptions'!$E$139</f>
        <v>138.22200000000001</v>
      </c>
      <c r="N9" s="32">
        <f>N5*'Demand Individual Assumptions'!$E$139</f>
        <v>139.31899999999999</v>
      </c>
      <c r="O9" s="32">
        <f>O5*'Demand Individual Assumptions'!$E$139</f>
        <v>139.31899999999999</v>
      </c>
      <c r="P9" s="32"/>
      <c r="Q9" s="32"/>
      <c r="R9" s="32"/>
      <c r="S9" s="32"/>
      <c r="T9" s="32"/>
      <c r="U9" s="32"/>
      <c r="V9" s="32"/>
      <c r="W9" s="32"/>
      <c r="X9" s="32"/>
      <c r="Y9" s="32"/>
      <c r="Z9" s="8"/>
    </row>
    <row r="10" spans="1:26" s="19" customFormat="1">
      <c r="D10" s="19" t="s">
        <v>5512</v>
      </c>
      <c r="E10" s="32">
        <f>E6*'Demand Individual Assumptions'!$E$139</f>
        <v>617.61099999999999</v>
      </c>
      <c r="F10" s="32">
        <f>F6*'Demand Individual Assumptions'!$E$139</f>
        <v>623.096</v>
      </c>
      <c r="G10" s="32">
        <f>G6*'Demand Individual Assumptions'!$E$139</f>
        <v>624.19299999999998</v>
      </c>
      <c r="H10" s="32">
        <f>H6*'Demand Individual Assumptions'!$E$139</f>
        <v>626.38699999999994</v>
      </c>
      <c r="I10" s="32">
        <f>I6*'Demand Individual Assumptions'!$E$139</f>
        <v>627.48400000000004</v>
      </c>
      <c r="J10" s="32">
        <f>J6*'Demand Individual Assumptions'!$E$139</f>
        <v>628.58100000000002</v>
      </c>
      <c r="K10" s="32">
        <f>K6*'Demand Individual Assumptions'!$E$139</f>
        <v>630.77499999999998</v>
      </c>
      <c r="L10" s="32">
        <f>L6*'Demand Individual Assumptions'!$E$139</f>
        <v>630.77499999999998</v>
      </c>
      <c r="M10" s="32">
        <f>M6*'Demand Individual Assumptions'!$E$139</f>
        <v>632.96899999999994</v>
      </c>
      <c r="N10" s="32">
        <f>N6*'Demand Individual Assumptions'!$E$139</f>
        <v>634.06600000000003</v>
      </c>
      <c r="O10" s="32">
        <f>O6*'Demand Individual Assumptions'!$E$139</f>
        <v>634.06600000000003</v>
      </c>
      <c r="P10" s="32"/>
      <c r="Q10" s="32"/>
      <c r="R10" s="32"/>
      <c r="S10" s="32"/>
      <c r="T10" s="32"/>
      <c r="U10" s="32"/>
      <c r="V10" s="32"/>
      <c r="W10" s="32"/>
      <c r="X10" s="32"/>
      <c r="Y10" s="32"/>
      <c r="Z10" s="8"/>
    </row>
    <row r="11" spans="1:26" s="19" customFormat="1">
      <c r="D11" s="19" t="s">
        <v>5513</v>
      </c>
      <c r="E11" s="32">
        <f>E7*'Demand Individual Assumptions'!$F$139</f>
        <v>1326.3852000000002</v>
      </c>
      <c r="F11" s="32">
        <f>F7*'Demand Individual Assumptions'!$F$139</f>
        <v>1355.222</v>
      </c>
      <c r="G11" s="32">
        <f>G7*'Demand Individual Assumptions'!$F$139</f>
        <v>1359.5260000000001</v>
      </c>
      <c r="H11" s="32">
        <f>H7*'Demand Individual Assumptions'!$F$139</f>
        <v>1360.6020000000001</v>
      </c>
      <c r="I11" s="32">
        <f>I7*'Demand Individual Assumptions'!$F$139</f>
        <v>1360.6020000000001</v>
      </c>
      <c r="J11" s="32">
        <f>J7*'Demand Individual Assumptions'!$F$139</f>
        <v>1360.6020000000001</v>
      </c>
      <c r="K11" s="32">
        <f>K7*'Demand Individual Assumptions'!$F$139</f>
        <v>1360.6020000000001</v>
      </c>
      <c r="L11" s="32">
        <f>L7*'Demand Individual Assumptions'!$F$139</f>
        <v>1360.6020000000001</v>
      </c>
      <c r="M11" s="32">
        <f>M7*'Demand Individual Assumptions'!$F$139</f>
        <v>1360.6020000000001</v>
      </c>
      <c r="N11" s="32">
        <f>N7*'Demand Individual Assumptions'!$F$139</f>
        <v>1360.6020000000001</v>
      </c>
      <c r="O11" s="32">
        <f>O7*'Demand Individual Assumptions'!$F$139</f>
        <v>1360.6020000000001</v>
      </c>
      <c r="P11" s="32"/>
      <c r="Q11" s="32"/>
      <c r="R11" s="32"/>
      <c r="S11" s="32"/>
      <c r="T11" s="32"/>
      <c r="U11" s="32"/>
      <c r="V11" s="32"/>
      <c r="W11" s="32"/>
      <c r="X11" s="32"/>
      <c r="Y11" s="32"/>
      <c r="Z11" s="8"/>
    </row>
    <row r="12" spans="1:26" s="19" customFormat="1">
      <c r="D12" s="19" t="s">
        <v>5514</v>
      </c>
      <c r="E12" s="32">
        <f>E8*'Demand Individual Assumptions'!$G$139</f>
        <v>42.279954706616167</v>
      </c>
      <c r="F12" s="32">
        <f>F8*'Demand Individual Assumptions'!$G$139</f>
        <v>42.279954706616167</v>
      </c>
      <c r="G12" s="32">
        <f>G8*'Demand Individual Assumptions'!$G$139</f>
        <v>42.279954706616167</v>
      </c>
      <c r="H12" s="32">
        <f>H8*'Demand Individual Assumptions'!$G$139</f>
        <v>42.279954706616167</v>
      </c>
      <c r="I12" s="32">
        <f>I8*'Demand Individual Assumptions'!$G$139</f>
        <v>42.279954706616167</v>
      </c>
      <c r="J12" s="32">
        <f>J8*'Demand Individual Assumptions'!$G$139</f>
        <v>42.279954706616167</v>
      </c>
      <c r="K12" s="32">
        <f>K8*'Demand Individual Assumptions'!$G$139</f>
        <v>42.279954706616167</v>
      </c>
      <c r="L12" s="32">
        <f>L8*'Demand Individual Assumptions'!$G$139</f>
        <v>42.279954706616167</v>
      </c>
      <c r="M12" s="32">
        <f>M8*'Demand Individual Assumptions'!$G$139</f>
        <v>42.279954706616167</v>
      </c>
      <c r="N12" s="32">
        <f>N8*'Demand Individual Assumptions'!$G$139</f>
        <v>42.279954706616167</v>
      </c>
      <c r="O12" s="32">
        <f>O8*'Demand Individual Assumptions'!$G$139</f>
        <v>42.279954706616167</v>
      </c>
      <c r="P12" s="32"/>
      <c r="Q12" s="32"/>
      <c r="R12" s="32"/>
      <c r="S12" s="32"/>
      <c r="T12" s="32"/>
      <c r="U12" s="32"/>
      <c r="V12" s="32"/>
      <c r="W12" s="32"/>
      <c r="X12" s="32"/>
      <c r="Y12" s="32"/>
      <c r="Z12" s="8"/>
    </row>
    <row r="13" spans="1:26" s="19" customFormat="1">
      <c r="N13" s="5"/>
      <c r="O13" s="5"/>
      <c r="P13" s="5"/>
      <c r="Q13" s="5"/>
      <c r="R13" s="5"/>
      <c r="S13" s="5"/>
      <c r="T13" s="5"/>
      <c r="U13" s="5"/>
      <c r="V13" s="5"/>
      <c r="W13" s="5"/>
      <c r="X13" s="5"/>
      <c r="Y13" s="5"/>
      <c r="Z13" s="8"/>
    </row>
    <row r="14" spans="1:26" s="19" customFormat="1">
      <c r="C14" s="19" t="s">
        <v>4387</v>
      </c>
      <c r="E14" s="36">
        <f>SUM(E9:E12)</f>
        <v>2115.7221547066165</v>
      </c>
      <c r="F14" s="36">
        <f t="shared" ref="F14:O14" si="2">SUM(F9:F12)</f>
        <v>2155.5289547066159</v>
      </c>
      <c r="G14" s="36">
        <f t="shared" si="2"/>
        <v>2162.0269547066164</v>
      </c>
      <c r="H14" s="36">
        <f t="shared" si="2"/>
        <v>2165.2969547066159</v>
      </c>
      <c r="I14" s="36">
        <f t="shared" si="2"/>
        <v>2166.3939547066161</v>
      </c>
      <c r="J14" s="36">
        <f t="shared" si="2"/>
        <v>2168.5879547066161</v>
      </c>
      <c r="K14" s="36">
        <f t="shared" si="2"/>
        <v>2170.781954706616</v>
      </c>
      <c r="L14" s="36">
        <f t="shared" si="2"/>
        <v>2170.781954706616</v>
      </c>
      <c r="M14" s="36">
        <f t="shared" si="2"/>
        <v>2174.0729547066162</v>
      </c>
      <c r="N14" s="36">
        <f t="shared" si="2"/>
        <v>2176.2669547066162</v>
      </c>
      <c r="O14" s="36">
        <f t="shared" si="2"/>
        <v>2176.2669547066162</v>
      </c>
      <c r="P14" s="5">
        <f>O14</f>
        <v>2176.2669547066162</v>
      </c>
      <c r="Q14" s="5">
        <f t="shared" ref="Q14:Y15" si="3">P14</f>
        <v>2176.2669547066162</v>
      </c>
      <c r="R14" s="5">
        <f t="shared" si="3"/>
        <v>2176.2669547066162</v>
      </c>
      <c r="S14" s="5">
        <f t="shared" si="3"/>
        <v>2176.2669547066162</v>
      </c>
      <c r="T14" s="5">
        <f t="shared" si="3"/>
        <v>2176.2669547066162</v>
      </c>
      <c r="U14" s="5">
        <f t="shared" si="3"/>
        <v>2176.2669547066162</v>
      </c>
      <c r="V14" s="5">
        <f t="shared" si="3"/>
        <v>2176.2669547066162</v>
      </c>
      <c r="W14" s="5">
        <f t="shared" si="3"/>
        <v>2176.2669547066162</v>
      </c>
      <c r="X14" s="5">
        <f t="shared" si="3"/>
        <v>2176.2669547066162</v>
      </c>
      <c r="Y14" s="5">
        <f t="shared" si="3"/>
        <v>2176.2669547066162</v>
      </c>
      <c r="Z14" s="8"/>
    </row>
    <row r="15" spans="1:26" s="19" customFormat="1">
      <c r="C15" s="19" t="s">
        <v>5310</v>
      </c>
      <c r="E15" s="36">
        <f>$E$14+(E$2-$E$2)*($L$15-$E$14)/($L$2-$E$2)</f>
        <v>2115.7221547066165</v>
      </c>
      <c r="F15" s="36">
        <f t="shared" ref="F15:K15" si="4">$E$14+(F$2-$E$2)*($L$15-$E$14)/($L$2-$E$2)</f>
        <v>2177.2203967806859</v>
      </c>
      <c r="G15" s="36">
        <f t="shared" si="4"/>
        <v>2238.7186388547557</v>
      </c>
      <c r="H15" s="36">
        <f t="shared" si="4"/>
        <v>2300.216880928825</v>
      </c>
      <c r="I15" s="36">
        <f t="shared" si="4"/>
        <v>2361.7151230028949</v>
      </c>
      <c r="J15" s="36">
        <f t="shared" si="4"/>
        <v>2423.2133650769642</v>
      </c>
      <c r="K15" s="36">
        <f t="shared" si="4"/>
        <v>2484.7116071510341</v>
      </c>
      <c r="L15" s="36">
        <f>0.05*L17</f>
        <v>2546.2098492251034</v>
      </c>
      <c r="M15" s="36">
        <f>0.06*M17</f>
        <v>3062.9485296604921</v>
      </c>
      <c r="N15" s="36">
        <f>0.06*N17</f>
        <v>3063.2582314202114</v>
      </c>
      <c r="O15" s="5">
        <f>0.07*O17</f>
        <v>3570.1852007202674</v>
      </c>
      <c r="P15" s="5">
        <f>0.07*P17</f>
        <v>3581.8962157428859</v>
      </c>
      <c r="Q15" s="5">
        <f>0.08*Q17</f>
        <v>4107.0235949071675</v>
      </c>
      <c r="R15" s="5">
        <f>0.08*R17</f>
        <v>4120.4955612938138</v>
      </c>
      <c r="S15" s="5">
        <f>0.09*S17</f>
        <v>4650.7631836247128</v>
      </c>
      <c r="T15" s="5">
        <f>0.09*T17</f>
        <v>4666.0187388544755</v>
      </c>
      <c r="U15" s="5">
        <f>0.1*U17</f>
        <v>5201.4714841734985</v>
      </c>
      <c r="V15" s="5">
        <f t="shared" si="3"/>
        <v>5201.4714841734985</v>
      </c>
      <c r="W15" s="5">
        <f t="shared" si="3"/>
        <v>5201.4714841734985</v>
      </c>
      <c r="X15" s="5">
        <f t="shared" si="3"/>
        <v>5201.4714841734985</v>
      </c>
      <c r="Y15" s="5">
        <f t="shared" si="3"/>
        <v>5201.4714841734985</v>
      </c>
      <c r="Z15" s="8"/>
    </row>
    <row r="16" spans="1:26" s="19" customFormat="1">
      <c r="E16" s="36"/>
      <c r="F16" s="36"/>
      <c r="G16" s="36"/>
      <c r="H16" s="36"/>
      <c r="I16" s="36"/>
      <c r="J16" s="36"/>
      <c r="K16" s="731"/>
      <c r="L16" s="36"/>
      <c r="M16" s="36"/>
      <c r="N16" s="36"/>
      <c r="O16" s="5"/>
      <c r="P16" s="5"/>
      <c r="Q16" s="5"/>
      <c r="R16" s="5"/>
      <c r="S16" s="5"/>
      <c r="T16" s="5"/>
      <c r="U16" s="5"/>
      <c r="V16" s="5"/>
      <c r="W16" s="5"/>
      <c r="X16" s="5"/>
      <c r="Y16" s="5"/>
      <c r="Z16" s="8"/>
    </row>
    <row r="17" spans="1:33" s="19" customFormat="1">
      <c r="C17" s="218" t="s">
        <v>5398</v>
      </c>
      <c r="D17" s="19" t="s">
        <v>5399</v>
      </c>
      <c r="E17" s="36">
        <f>Assumptions!C14</f>
        <v>49359.434773256035</v>
      </c>
      <c r="F17" s="36">
        <f>Assumptions!D14</f>
        <v>49849.107126767711</v>
      </c>
      <c r="G17" s="36">
        <f>Assumptions!E14</f>
        <v>49913.266066928103</v>
      </c>
      <c r="H17" s="36">
        <f>Assumptions!F14</f>
        <v>50041.594551341412</v>
      </c>
      <c r="I17" s="36">
        <f>Assumptions!G14</f>
        <v>50238.54482716677</v>
      </c>
      <c r="J17" s="36">
        <f>Assumptions!H14</f>
        <v>50477.469391382299</v>
      </c>
      <c r="K17" s="36">
        <f>Assumptions!I14</f>
        <v>50744.666141867827</v>
      </c>
      <c r="L17" s="36">
        <f>Assumptions!J14</f>
        <v>50924.196984502065</v>
      </c>
      <c r="M17" s="36">
        <f>Assumptions!K14</f>
        <v>51049.142161008203</v>
      </c>
      <c r="N17" s="36">
        <f>Assumptions!L14</f>
        <v>51054.303857003528</v>
      </c>
      <c r="O17" s="36">
        <f>Assumptions!M14</f>
        <v>51002.645724575246</v>
      </c>
      <c r="P17" s="36">
        <f>O17*(1+$O$18)</f>
        <v>51169.945939184079</v>
      </c>
      <c r="Q17" s="36">
        <f t="shared" ref="Q17:Y17" si="5">P17*(1+$O$18)</f>
        <v>51337.794936339589</v>
      </c>
      <c r="R17" s="36">
        <f t="shared" si="5"/>
        <v>51506.194516172669</v>
      </c>
      <c r="S17" s="36">
        <f t="shared" si="5"/>
        <v>51675.146484719036</v>
      </c>
      <c r="T17" s="36">
        <f t="shared" si="5"/>
        <v>51844.652653938618</v>
      </c>
      <c r="U17" s="36">
        <f t="shared" si="5"/>
        <v>52014.714841734982</v>
      </c>
      <c r="V17" s="36">
        <f t="shared" si="5"/>
        <v>52185.334871974832</v>
      </c>
      <c r="W17" s="36">
        <f t="shared" si="5"/>
        <v>52356.514574507564</v>
      </c>
      <c r="X17" s="36">
        <f t="shared" si="5"/>
        <v>52528.255785184898</v>
      </c>
      <c r="Y17" s="36">
        <f t="shared" si="5"/>
        <v>52700.560345880556</v>
      </c>
      <c r="Z17" s="8"/>
    </row>
    <row r="18" spans="1:33" s="19" customFormat="1">
      <c r="E18" s="36"/>
      <c r="F18" s="36"/>
      <c r="G18" s="36"/>
      <c r="H18" s="36"/>
      <c r="I18" s="36"/>
      <c r="J18" s="36"/>
      <c r="K18" s="36"/>
      <c r="L18" s="36"/>
      <c r="M18" s="36"/>
      <c r="N18" s="36"/>
      <c r="O18" s="839">
        <f>((O17/E17)^(1/10)-1)</f>
        <v>3.280226196740621E-3</v>
      </c>
      <c r="P18" s="5"/>
      <c r="Q18" s="5"/>
      <c r="R18" s="5"/>
      <c r="S18" s="5"/>
      <c r="T18" s="5"/>
      <c r="U18" s="5"/>
      <c r="V18" s="5"/>
      <c r="W18" s="5"/>
      <c r="X18" s="5"/>
      <c r="Y18" s="5"/>
      <c r="Z18" s="8"/>
    </row>
    <row r="19" spans="1:33">
      <c r="N19" s="5"/>
      <c r="O19" s="5"/>
      <c r="P19" s="5"/>
      <c r="Q19" s="5"/>
      <c r="R19" s="5"/>
      <c r="S19" s="5"/>
      <c r="T19" s="5"/>
      <c r="U19" s="5"/>
      <c r="V19" s="5"/>
      <c r="W19" s="5"/>
      <c r="X19" s="5"/>
      <c r="Y19" s="5"/>
    </row>
    <row r="20" spans="1:33" s="31" customFormat="1">
      <c r="B20" s="42" t="s">
        <v>5281</v>
      </c>
      <c r="C20" s="43"/>
      <c r="D20" s="43"/>
      <c r="E20" s="44"/>
      <c r="F20" s="44"/>
      <c r="G20" s="44"/>
      <c r="H20" s="44"/>
      <c r="I20" s="44"/>
      <c r="J20" s="44"/>
      <c r="K20" s="44"/>
      <c r="L20" s="44"/>
      <c r="M20" s="44"/>
      <c r="N20" s="44"/>
      <c r="O20" s="44"/>
      <c r="P20" s="44"/>
      <c r="Q20" s="44"/>
      <c r="R20" s="44"/>
      <c r="S20" s="44"/>
      <c r="T20" s="44"/>
      <c r="U20" s="44"/>
      <c r="V20" s="44"/>
      <c r="W20" s="44"/>
      <c r="X20" s="44"/>
      <c r="Y20" s="44"/>
      <c r="Z20" s="8"/>
    </row>
    <row r="21" spans="1:33" s="19" customFormat="1">
      <c r="B21" s="17" t="s">
        <v>4392</v>
      </c>
      <c r="E21" s="5"/>
      <c r="F21" s="5"/>
      <c r="G21" s="5"/>
      <c r="H21" s="5"/>
      <c r="I21" s="5"/>
      <c r="J21" s="5"/>
      <c r="K21" s="5"/>
      <c r="L21" s="5"/>
      <c r="M21" s="5"/>
      <c r="N21" s="5"/>
      <c r="O21" s="5"/>
      <c r="P21" s="5"/>
      <c r="Q21" s="5"/>
      <c r="R21" s="5"/>
      <c r="S21" s="5"/>
      <c r="T21" s="5"/>
      <c r="U21" s="5"/>
      <c r="V21" s="5"/>
      <c r="W21" s="5"/>
      <c r="X21" s="5"/>
      <c r="Y21" s="5"/>
      <c r="Z21" s="8"/>
      <c r="AC21" s="31"/>
    </row>
    <row r="22" spans="1:33" s="19" customFormat="1">
      <c r="B22" s="218" t="s">
        <v>4365</v>
      </c>
      <c r="C22" s="19" t="s">
        <v>0</v>
      </c>
      <c r="D22" s="19" t="s">
        <v>4389</v>
      </c>
      <c r="E22" s="33">
        <v>37.44</v>
      </c>
      <c r="F22" s="33">
        <v>104</v>
      </c>
      <c r="G22" s="33">
        <v>119.4</v>
      </c>
      <c r="H22" s="33">
        <v>134.80000000000001</v>
      </c>
      <c r="I22" s="33">
        <v>150.19999999999999</v>
      </c>
      <c r="J22" s="33">
        <v>165.6</v>
      </c>
      <c r="K22" s="33">
        <v>181</v>
      </c>
      <c r="L22" s="33">
        <v>187</v>
      </c>
      <c r="M22" s="33">
        <v>193</v>
      </c>
      <c r="N22" s="33">
        <v>199</v>
      </c>
      <c r="O22" s="33">
        <v>205</v>
      </c>
      <c r="P22" s="33">
        <v>211</v>
      </c>
      <c r="Q22" s="33">
        <v>211.60000000000002</v>
      </c>
      <c r="R22" s="33">
        <v>212.2</v>
      </c>
      <c r="S22" s="33">
        <v>212.8</v>
      </c>
      <c r="T22" s="33">
        <v>213.39999999999998</v>
      </c>
      <c r="U22" s="33">
        <v>214</v>
      </c>
      <c r="V22" s="32"/>
      <c r="W22" s="32"/>
      <c r="X22" s="32"/>
      <c r="Y22" s="32"/>
      <c r="Z22" s="8"/>
      <c r="AC22" s="721"/>
      <c r="AE22" s="722"/>
      <c r="AG22" s="722"/>
    </row>
    <row r="23" spans="1:33" s="19" customFormat="1">
      <c r="B23" s="218" t="s">
        <v>4365</v>
      </c>
      <c r="C23" s="19" t="s">
        <v>1</v>
      </c>
      <c r="D23" s="19" t="s">
        <v>4390</v>
      </c>
      <c r="E23" s="33">
        <v>262.48</v>
      </c>
      <c r="F23" s="33">
        <v>702</v>
      </c>
      <c r="G23" s="33">
        <v>946.6</v>
      </c>
      <c r="H23" s="33">
        <v>1191.2</v>
      </c>
      <c r="I23" s="33">
        <v>1435.8</v>
      </c>
      <c r="J23" s="33">
        <v>1680.4</v>
      </c>
      <c r="K23" s="33">
        <v>1925</v>
      </c>
      <c r="L23" s="33">
        <v>2023.3999999999999</v>
      </c>
      <c r="M23" s="33">
        <v>2121.7999999999997</v>
      </c>
      <c r="N23" s="33">
        <v>2220.1999999999998</v>
      </c>
      <c r="O23" s="33">
        <v>2318.6000000000004</v>
      </c>
      <c r="P23" s="33">
        <v>2417</v>
      </c>
      <c r="Q23" s="33">
        <v>2425</v>
      </c>
      <c r="R23" s="33">
        <v>2433</v>
      </c>
      <c r="S23" s="33">
        <v>2441</v>
      </c>
      <c r="T23" s="33">
        <v>2449</v>
      </c>
      <c r="U23" s="33">
        <v>2457</v>
      </c>
      <c r="V23" s="32"/>
      <c r="W23" s="32"/>
      <c r="X23" s="32"/>
      <c r="Y23" s="32"/>
      <c r="Z23" s="8"/>
      <c r="AC23" s="722"/>
      <c r="AE23" s="722"/>
      <c r="AG23" s="722"/>
    </row>
    <row r="24" spans="1:33" s="19" customFormat="1">
      <c r="B24" s="213" t="s">
        <v>5090</v>
      </c>
      <c r="C24" s="19" t="s">
        <v>0</v>
      </c>
      <c r="E24" s="32">
        <f>E22*Scenarios!$B$73</f>
        <v>29.951999999999998</v>
      </c>
      <c r="F24" s="32">
        <f>F22*Scenarios!$B$73</f>
        <v>83.2</v>
      </c>
      <c r="G24" s="32">
        <f>G22*Scenarios!$B$73</f>
        <v>95.52000000000001</v>
      </c>
      <c r="H24" s="32">
        <f>H22*Scenarios!$B$73</f>
        <v>107.84000000000002</v>
      </c>
      <c r="I24" s="32">
        <f>I22*Scenarios!$B$73</f>
        <v>120.16</v>
      </c>
      <c r="J24" s="32">
        <f>J22*Scenarios!$B$73</f>
        <v>132.47999999999999</v>
      </c>
      <c r="K24" s="32">
        <f>K22*Scenarios!$B$73</f>
        <v>144.80000000000001</v>
      </c>
      <c r="L24" s="32">
        <f>L22*Scenarios!$B$73</f>
        <v>149.6</v>
      </c>
      <c r="M24" s="32">
        <f>M22*Scenarios!$B$73</f>
        <v>154.4</v>
      </c>
      <c r="N24" s="32">
        <f>N22*Scenarios!$B$73</f>
        <v>159.20000000000002</v>
      </c>
      <c r="O24" s="32">
        <f>O22*Scenarios!$B$73</f>
        <v>164</v>
      </c>
      <c r="P24" s="32">
        <f>P22*Scenarios!$B$73</f>
        <v>168.8</v>
      </c>
      <c r="Q24" s="32">
        <f>Q22*Scenarios!$B$73</f>
        <v>169.28000000000003</v>
      </c>
      <c r="R24" s="32">
        <f>R22*Scenarios!$B$73</f>
        <v>169.76</v>
      </c>
      <c r="S24" s="32">
        <f>S22*Scenarios!$B$73</f>
        <v>170.24</v>
      </c>
      <c r="T24" s="32">
        <f>T22*Scenarios!$B$73</f>
        <v>170.72</v>
      </c>
      <c r="U24" s="32">
        <f>U22*Scenarios!$B$73</f>
        <v>171.20000000000002</v>
      </c>
      <c r="V24" s="32">
        <f>U24</f>
        <v>171.20000000000002</v>
      </c>
      <c r="W24" s="32">
        <f t="shared" ref="W24:Y24" si="6">V24</f>
        <v>171.20000000000002</v>
      </c>
      <c r="X24" s="32">
        <f t="shared" si="6"/>
        <v>171.20000000000002</v>
      </c>
      <c r="Y24" s="32">
        <f t="shared" si="6"/>
        <v>171.20000000000002</v>
      </c>
      <c r="Z24" s="8"/>
      <c r="AC24" s="722"/>
      <c r="AD24" s="722"/>
      <c r="AE24" s="722"/>
      <c r="AG24" s="722"/>
    </row>
    <row r="25" spans="1:33" s="19" customFormat="1">
      <c r="B25" s="213" t="s">
        <v>5090</v>
      </c>
      <c r="C25" s="19" t="s">
        <v>1</v>
      </c>
      <c r="E25" s="32">
        <f>E23*Scenarios!$B$73</f>
        <v>209.98400000000004</v>
      </c>
      <c r="F25" s="32">
        <f>F23*Scenarios!$B$73</f>
        <v>561.6</v>
      </c>
      <c r="G25" s="32">
        <f>G23*Scenarios!$B$73</f>
        <v>757.28000000000009</v>
      </c>
      <c r="H25" s="32">
        <f>H23*Scenarios!$B$73</f>
        <v>952.96</v>
      </c>
      <c r="I25" s="32">
        <f>I23*Scenarios!$B$73</f>
        <v>1148.6400000000001</v>
      </c>
      <c r="J25" s="32">
        <f>J23*Scenarios!$B$73</f>
        <v>1344.3200000000002</v>
      </c>
      <c r="K25" s="32">
        <f>K23*Scenarios!$B$73</f>
        <v>1540</v>
      </c>
      <c r="L25" s="32">
        <f>L23*Scenarios!$B$73</f>
        <v>1618.72</v>
      </c>
      <c r="M25" s="32">
        <f>M23*Scenarios!$B$73</f>
        <v>1697.4399999999998</v>
      </c>
      <c r="N25" s="32">
        <f>N23*Scenarios!$B$73</f>
        <v>1776.1599999999999</v>
      </c>
      <c r="O25" s="32">
        <f>O23*Scenarios!$B$73</f>
        <v>1854.8800000000003</v>
      </c>
      <c r="P25" s="32">
        <f>P23*Scenarios!$B$73</f>
        <v>1933.6000000000001</v>
      </c>
      <c r="Q25" s="32">
        <f>Q23*Scenarios!$B$73</f>
        <v>1940</v>
      </c>
      <c r="R25" s="32">
        <f>R23*Scenarios!$B$73</f>
        <v>1946.4</v>
      </c>
      <c r="S25" s="32">
        <f>S23*Scenarios!$B$73</f>
        <v>1952.8000000000002</v>
      </c>
      <c r="T25" s="32">
        <f>T23*Scenarios!$B$73</f>
        <v>1959.2</v>
      </c>
      <c r="U25" s="32">
        <f>U23*Scenarios!$B$73</f>
        <v>1965.6000000000001</v>
      </c>
      <c r="V25" s="32">
        <f>U25</f>
        <v>1965.6000000000001</v>
      </c>
      <c r="W25" s="32">
        <f t="shared" ref="W25:Y25" si="7">V25</f>
        <v>1965.6000000000001</v>
      </c>
      <c r="X25" s="32">
        <f t="shared" si="7"/>
        <v>1965.6000000000001</v>
      </c>
      <c r="Y25" s="32">
        <f t="shared" si="7"/>
        <v>1965.6000000000001</v>
      </c>
      <c r="Z25" s="8"/>
      <c r="AC25" s="722"/>
      <c r="AD25" s="722"/>
      <c r="AE25" s="722"/>
      <c r="AG25" s="722"/>
    </row>
    <row r="26" spans="1:33" s="13" customFormat="1">
      <c r="B26" s="213"/>
      <c r="C26" s="13" t="s">
        <v>5192</v>
      </c>
      <c r="E26" s="32"/>
      <c r="F26" s="32"/>
      <c r="G26" s="32"/>
      <c r="H26" s="32"/>
      <c r="I26" s="32"/>
      <c r="J26" s="32"/>
      <c r="K26" s="32"/>
      <c r="L26" s="32"/>
      <c r="M26" s="32"/>
      <c r="N26" s="32"/>
      <c r="O26" s="32"/>
      <c r="P26" s="32"/>
      <c r="Q26" s="32"/>
      <c r="R26" s="32"/>
      <c r="S26" s="32"/>
      <c r="T26" s="32"/>
      <c r="U26" s="32"/>
      <c r="V26" s="5"/>
      <c r="W26" s="32"/>
      <c r="X26" s="5"/>
      <c r="Y26" s="32"/>
      <c r="Z26" s="46"/>
      <c r="AB26" s="19"/>
      <c r="AC26" s="723"/>
      <c r="AE26" s="722"/>
      <c r="AG26" s="722"/>
    </row>
    <row r="27" spans="1:33">
      <c r="B27" s="17" t="s">
        <v>4315</v>
      </c>
      <c r="AB27" s="19"/>
      <c r="AC27" s="722"/>
      <c r="AE27" s="722"/>
      <c r="AF27" s="13"/>
      <c r="AG27" s="722"/>
    </row>
    <row r="28" spans="1:33">
      <c r="A28" s="17" t="s">
        <v>5189</v>
      </c>
      <c r="B28" s="173">
        <f>Scenarios!$B$70</f>
        <v>0.7</v>
      </c>
      <c r="C28" s="7" t="s">
        <v>0</v>
      </c>
      <c r="E28" s="5">
        <f>E24*$B28</f>
        <v>20.966399999999997</v>
      </c>
      <c r="F28" s="5">
        <f t="shared" ref="F28:Y28" si="8">F24*$B28</f>
        <v>58.239999999999995</v>
      </c>
      <c r="G28" s="5">
        <f t="shared" si="8"/>
        <v>66.864000000000004</v>
      </c>
      <c r="H28" s="5">
        <f t="shared" si="8"/>
        <v>75.488000000000014</v>
      </c>
      <c r="I28" s="5">
        <f t="shared" si="8"/>
        <v>84.111999999999995</v>
      </c>
      <c r="J28" s="5">
        <f t="shared" si="8"/>
        <v>92.73599999999999</v>
      </c>
      <c r="K28" s="5">
        <f t="shared" si="8"/>
        <v>101.36</v>
      </c>
      <c r="L28" s="5">
        <f t="shared" si="8"/>
        <v>104.71999999999998</v>
      </c>
      <c r="M28" s="5">
        <f t="shared" si="8"/>
        <v>108.08</v>
      </c>
      <c r="N28" s="5">
        <f t="shared" si="8"/>
        <v>111.44000000000001</v>
      </c>
      <c r="O28" s="5">
        <f t="shared" si="8"/>
        <v>114.8</v>
      </c>
      <c r="P28" s="5">
        <f t="shared" si="8"/>
        <v>118.16</v>
      </c>
      <c r="Q28" s="5">
        <f t="shared" si="8"/>
        <v>118.49600000000001</v>
      </c>
      <c r="R28" s="5">
        <f t="shared" si="8"/>
        <v>118.83199999999998</v>
      </c>
      <c r="S28" s="5">
        <f t="shared" si="8"/>
        <v>119.16799999999999</v>
      </c>
      <c r="T28" s="5">
        <f t="shared" si="8"/>
        <v>119.50399999999999</v>
      </c>
      <c r="U28" s="5">
        <f t="shared" si="8"/>
        <v>119.84</v>
      </c>
      <c r="V28" s="5">
        <f t="shared" si="8"/>
        <v>119.84</v>
      </c>
      <c r="W28" s="5">
        <f t="shared" si="8"/>
        <v>119.84</v>
      </c>
      <c r="X28" s="5">
        <f t="shared" si="8"/>
        <v>119.84</v>
      </c>
      <c r="Y28" s="5">
        <f t="shared" si="8"/>
        <v>119.84</v>
      </c>
    </row>
    <row r="29" spans="1:33">
      <c r="A29" s="17" t="s">
        <v>5189</v>
      </c>
      <c r="B29" s="173">
        <f>Scenarios!$B$70</f>
        <v>0.7</v>
      </c>
      <c r="C29" s="7" t="s">
        <v>1</v>
      </c>
      <c r="E29" s="5">
        <f>E25*$B29</f>
        <v>146.98880000000003</v>
      </c>
      <c r="F29" s="5">
        <f t="shared" ref="F29:Y29" si="9">F25*$B29</f>
        <v>393.12</v>
      </c>
      <c r="G29" s="5">
        <f t="shared" si="9"/>
        <v>530.096</v>
      </c>
      <c r="H29" s="5">
        <f t="shared" si="9"/>
        <v>667.072</v>
      </c>
      <c r="I29" s="5">
        <f t="shared" si="9"/>
        <v>804.048</v>
      </c>
      <c r="J29" s="5">
        <f t="shared" si="9"/>
        <v>941.024</v>
      </c>
      <c r="K29" s="5">
        <f t="shared" si="9"/>
        <v>1078</v>
      </c>
      <c r="L29" s="5">
        <f t="shared" si="9"/>
        <v>1133.104</v>
      </c>
      <c r="M29" s="5">
        <f t="shared" si="9"/>
        <v>1188.2079999999999</v>
      </c>
      <c r="N29" s="5">
        <f t="shared" si="9"/>
        <v>1243.3119999999999</v>
      </c>
      <c r="O29" s="5">
        <f t="shared" si="9"/>
        <v>1298.4160000000002</v>
      </c>
      <c r="P29" s="5">
        <f t="shared" si="9"/>
        <v>1353.52</v>
      </c>
      <c r="Q29" s="5">
        <f t="shared" si="9"/>
        <v>1358</v>
      </c>
      <c r="R29" s="5">
        <f t="shared" si="9"/>
        <v>1362.48</v>
      </c>
      <c r="S29" s="5">
        <f t="shared" si="9"/>
        <v>1366.96</v>
      </c>
      <c r="T29" s="5">
        <f t="shared" si="9"/>
        <v>1371.44</v>
      </c>
      <c r="U29" s="5">
        <f t="shared" si="9"/>
        <v>1375.92</v>
      </c>
      <c r="V29" s="5">
        <f t="shared" si="9"/>
        <v>1375.92</v>
      </c>
      <c r="W29" s="5">
        <f t="shared" si="9"/>
        <v>1375.92</v>
      </c>
      <c r="X29" s="5">
        <f t="shared" si="9"/>
        <v>1375.92</v>
      </c>
      <c r="Y29" s="5">
        <f t="shared" si="9"/>
        <v>1375.92</v>
      </c>
      <c r="AE29" s="722"/>
    </row>
    <row r="30" spans="1:33" s="19" customFormat="1">
      <c r="A30" s="17"/>
      <c r="B30" s="173"/>
      <c r="E30" s="5"/>
      <c r="F30" s="5"/>
      <c r="G30" s="5"/>
      <c r="H30" s="5"/>
      <c r="I30" s="5"/>
      <c r="J30" s="5"/>
      <c r="K30" s="5"/>
      <c r="L30" s="5"/>
      <c r="M30" s="5"/>
      <c r="N30" s="5"/>
      <c r="O30" s="5"/>
      <c r="P30" s="5"/>
      <c r="Q30" s="5"/>
      <c r="R30" s="5"/>
      <c r="S30" s="5"/>
      <c r="T30" s="5"/>
      <c r="U30" s="5"/>
      <c r="V30" s="5"/>
      <c r="W30" s="5"/>
      <c r="X30" s="5"/>
      <c r="Y30" s="5"/>
      <c r="Z30" s="8"/>
      <c r="AE30" s="722"/>
    </row>
    <row r="31" spans="1:33" s="7" customFormat="1">
      <c r="F31" s="5"/>
      <c r="G31" s="5"/>
      <c r="H31" s="5"/>
      <c r="I31" s="5"/>
      <c r="J31" s="5"/>
      <c r="K31" s="5"/>
      <c r="L31" s="5"/>
      <c r="M31" s="5"/>
      <c r="N31" s="5"/>
      <c r="O31" s="5"/>
      <c r="P31" s="5"/>
      <c r="Q31" s="5"/>
      <c r="R31" s="5"/>
      <c r="S31" s="5"/>
      <c r="T31" s="5"/>
      <c r="U31" s="5"/>
      <c r="V31" s="5"/>
      <c r="W31" s="5"/>
      <c r="X31" s="5"/>
      <c r="Y31" s="5"/>
      <c r="Z31" s="8"/>
      <c r="AC31" s="722"/>
      <c r="AE31" s="722"/>
    </row>
    <row r="32" spans="1:33" s="31" customFormat="1">
      <c r="B32" s="629" t="s">
        <v>5420</v>
      </c>
      <c r="C32" s="630"/>
      <c r="D32" s="630"/>
      <c r="E32" s="631"/>
      <c r="F32" s="631"/>
      <c r="G32" s="631"/>
      <c r="H32" s="631"/>
      <c r="I32" s="631"/>
      <c r="J32" s="631"/>
      <c r="K32" s="631"/>
      <c r="L32" s="631"/>
      <c r="M32" s="631"/>
      <c r="N32" s="631"/>
      <c r="O32" s="631"/>
      <c r="P32" s="631"/>
      <c r="Q32" s="631"/>
      <c r="R32" s="631"/>
      <c r="S32" s="631"/>
      <c r="T32" s="631"/>
      <c r="U32" s="631"/>
      <c r="V32" s="631"/>
      <c r="W32" s="631"/>
      <c r="X32" s="631"/>
      <c r="Y32" s="631"/>
      <c r="Z32" s="8"/>
      <c r="AC32" s="721"/>
      <c r="AD32" s="721"/>
      <c r="AE32" s="722"/>
    </row>
    <row r="33" spans="1:33" s="19" customFormat="1">
      <c r="B33" s="17" t="s">
        <v>5447</v>
      </c>
      <c r="E33" s="5"/>
      <c r="F33" s="5"/>
      <c r="G33" s="5"/>
      <c r="H33" s="5"/>
      <c r="I33" s="5"/>
      <c r="J33" s="5"/>
      <c r="K33" s="5"/>
      <c r="L33" s="5"/>
      <c r="M33" s="5"/>
      <c r="N33" s="5"/>
      <c r="O33" s="5"/>
      <c r="P33" s="5"/>
      <c r="Q33" s="5"/>
      <c r="R33" s="5"/>
      <c r="S33" s="5"/>
      <c r="T33" s="5"/>
      <c r="U33" s="5"/>
      <c r="V33" s="5"/>
      <c r="W33" s="5"/>
      <c r="X33" s="5"/>
      <c r="Y33" s="5"/>
      <c r="Z33" s="8"/>
      <c r="AC33" s="31"/>
    </row>
    <row r="34" spans="1:33">
      <c r="A34" s="17"/>
      <c r="B34" s="68"/>
      <c r="C34" s="7" t="s">
        <v>0</v>
      </c>
      <c r="D34" t="s">
        <v>5400</v>
      </c>
      <c r="E34" s="33">
        <v>0</v>
      </c>
      <c r="F34" s="33">
        <v>0</v>
      </c>
      <c r="G34" s="33">
        <v>0</v>
      </c>
      <c r="H34" s="32">
        <f>($O34/($O$2-$G$2))*(H$2-$G$2)</f>
        <v>114.0625</v>
      </c>
      <c r="I34" s="32">
        <f t="shared" ref="I34:N34" si="10">($O34/($O$2-$G$2))*(I$2-$G$2)</f>
        <v>228.125</v>
      </c>
      <c r="J34" s="32">
        <f t="shared" si="10"/>
        <v>342.1875</v>
      </c>
      <c r="K34" s="32">
        <f t="shared" si="10"/>
        <v>456.25</v>
      </c>
      <c r="L34" s="32">
        <f t="shared" si="10"/>
        <v>570.3125</v>
      </c>
      <c r="M34" s="32">
        <f t="shared" si="10"/>
        <v>684.375</v>
      </c>
      <c r="N34" s="32">
        <f t="shared" si="10"/>
        <v>798.4375</v>
      </c>
      <c r="O34" s="33">
        <f>700+425/2</f>
        <v>912.5</v>
      </c>
      <c r="P34" s="32">
        <f t="shared" ref="P34:Y34" si="11">O34</f>
        <v>912.5</v>
      </c>
      <c r="Q34" s="32">
        <f t="shared" si="11"/>
        <v>912.5</v>
      </c>
      <c r="R34" s="32">
        <f t="shared" si="11"/>
        <v>912.5</v>
      </c>
      <c r="S34" s="32">
        <f t="shared" si="11"/>
        <v>912.5</v>
      </c>
      <c r="T34" s="32">
        <f t="shared" si="11"/>
        <v>912.5</v>
      </c>
      <c r="U34" s="32">
        <f t="shared" si="11"/>
        <v>912.5</v>
      </c>
      <c r="V34" s="32">
        <f t="shared" si="11"/>
        <v>912.5</v>
      </c>
      <c r="W34" s="32">
        <f t="shared" si="11"/>
        <v>912.5</v>
      </c>
      <c r="X34" s="32">
        <f t="shared" si="11"/>
        <v>912.5</v>
      </c>
      <c r="Y34" s="32">
        <f t="shared" si="11"/>
        <v>912.5</v>
      </c>
    </row>
    <row r="35" spans="1:33" s="19" customFormat="1">
      <c r="A35" s="17"/>
      <c r="B35" s="68"/>
      <c r="C35" s="19" t="s">
        <v>7</v>
      </c>
      <c r="D35" s="19" t="s">
        <v>5193</v>
      </c>
      <c r="E35" s="33">
        <v>0</v>
      </c>
      <c r="F35" s="33">
        <v>0</v>
      </c>
      <c r="G35" s="33">
        <v>0</v>
      </c>
      <c r="H35" s="32">
        <f t="shared" ref="H35:N36" si="12">($O35/($O$2-$G$2))*(H$2-$G$2)</f>
        <v>140.625</v>
      </c>
      <c r="I35" s="32">
        <f t="shared" si="12"/>
        <v>281.25</v>
      </c>
      <c r="J35" s="32">
        <f t="shared" si="12"/>
        <v>421.875</v>
      </c>
      <c r="K35" s="32">
        <f t="shared" si="12"/>
        <v>562.5</v>
      </c>
      <c r="L35" s="32">
        <f t="shared" si="12"/>
        <v>703.125</v>
      </c>
      <c r="M35" s="32">
        <f t="shared" si="12"/>
        <v>843.75</v>
      </c>
      <c r="N35" s="32">
        <f t="shared" si="12"/>
        <v>984.375</v>
      </c>
      <c r="O35" s="33">
        <f>700+425</f>
        <v>1125</v>
      </c>
      <c r="P35" s="32">
        <f t="shared" ref="P35:Y35" si="13">O35</f>
        <v>1125</v>
      </c>
      <c r="Q35" s="32">
        <f t="shared" si="13"/>
        <v>1125</v>
      </c>
      <c r="R35" s="32">
        <f t="shared" si="13"/>
        <v>1125</v>
      </c>
      <c r="S35" s="32">
        <f t="shared" si="13"/>
        <v>1125</v>
      </c>
      <c r="T35" s="32">
        <f t="shared" si="13"/>
        <v>1125</v>
      </c>
      <c r="U35" s="32">
        <f t="shared" si="13"/>
        <v>1125</v>
      </c>
      <c r="V35" s="32">
        <f t="shared" si="13"/>
        <v>1125</v>
      </c>
      <c r="W35" s="32">
        <f t="shared" si="13"/>
        <v>1125</v>
      </c>
      <c r="X35" s="32">
        <f t="shared" si="13"/>
        <v>1125</v>
      </c>
      <c r="Y35" s="32">
        <f t="shared" si="13"/>
        <v>1125</v>
      </c>
      <c r="Z35" s="8"/>
      <c r="AC35" s="722"/>
      <c r="AE35" s="722"/>
      <c r="AG35" s="722"/>
    </row>
    <row r="36" spans="1:33">
      <c r="A36" s="17"/>
      <c r="B36" s="68"/>
      <c r="C36" s="7" t="s">
        <v>1</v>
      </c>
      <c r="D36" t="s">
        <v>5089</v>
      </c>
      <c r="E36" s="33">
        <v>0</v>
      </c>
      <c r="F36" s="33">
        <v>0</v>
      </c>
      <c r="G36" s="33">
        <v>0</v>
      </c>
      <c r="H36" s="32">
        <f t="shared" si="12"/>
        <v>165.625</v>
      </c>
      <c r="I36" s="32">
        <f t="shared" si="12"/>
        <v>331.25</v>
      </c>
      <c r="J36" s="32">
        <f t="shared" si="12"/>
        <v>496.875</v>
      </c>
      <c r="K36" s="32">
        <f t="shared" si="12"/>
        <v>662.5</v>
      </c>
      <c r="L36" s="32">
        <f t="shared" si="12"/>
        <v>828.125</v>
      </c>
      <c r="M36" s="32">
        <f t="shared" si="12"/>
        <v>993.75</v>
      </c>
      <c r="N36" s="32">
        <f t="shared" si="12"/>
        <v>1159.375</v>
      </c>
      <c r="O36" s="33">
        <f>700+425+200</f>
        <v>1325</v>
      </c>
      <c r="P36" s="32">
        <f t="shared" ref="P36:Y36" si="14">O36</f>
        <v>1325</v>
      </c>
      <c r="Q36" s="32">
        <f t="shared" si="14"/>
        <v>1325</v>
      </c>
      <c r="R36" s="32">
        <f t="shared" si="14"/>
        <v>1325</v>
      </c>
      <c r="S36" s="32">
        <f t="shared" si="14"/>
        <v>1325</v>
      </c>
      <c r="T36" s="32">
        <f t="shared" si="14"/>
        <v>1325</v>
      </c>
      <c r="U36" s="32">
        <f t="shared" si="14"/>
        <v>1325</v>
      </c>
      <c r="V36" s="32">
        <f t="shared" si="14"/>
        <v>1325</v>
      </c>
      <c r="W36" s="32">
        <f t="shared" si="14"/>
        <v>1325</v>
      </c>
      <c r="X36" s="32">
        <f t="shared" si="14"/>
        <v>1325</v>
      </c>
      <c r="Y36" s="32">
        <f t="shared" si="14"/>
        <v>1325</v>
      </c>
      <c r="AC36" s="722"/>
      <c r="AE36" s="722"/>
      <c r="AF36" s="19"/>
      <c r="AG36" s="722"/>
    </row>
    <row r="37" spans="1:33" s="19" customFormat="1">
      <c r="A37" s="17"/>
      <c r="B37" s="738" t="s">
        <v>5311</v>
      </c>
      <c r="E37" s="32"/>
      <c r="F37" s="32"/>
      <c r="G37" s="32"/>
      <c r="H37" s="32"/>
      <c r="I37" s="32"/>
      <c r="J37" s="32"/>
      <c r="K37" s="32"/>
      <c r="L37" s="32"/>
      <c r="M37" s="32"/>
      <c r="N37" s="32"/>
      <c r="O37" s="32"/>
      <c r="P37" s="32"/>
      <c r="Q37" s="32"/>
      <c r="R37" s="32"/>
      <c r="S37" s="32"/>
      <c r="T37" s="32"/>
      <c r="U37" s="32"/>
      <c r="V37" s="32"/>
      <c r="W37" s="32"/>
      <c r="X37" s="32"/>
      <c r="Y37" s="32"/>
      <c r="Z37" s="8"/>
      <c r="AC37" s="722"/>
      <c r="AE37" s="722"/>
      <c r="AG37" s="722"/>
    </row>
    <row r="38" spans="1:33" s="19" customFormat="1">
      <c r="A38" s="17"/>
      <c r="B38" s="68"/>
      <c r="C38" s="19" t="s">
        <v>5312</v>
      </c>
      <c r="E38" s="33">
        <v>0</v>
      </c>
      <c r="F38" s="33">
        <v>0</v>
      </c>
      <c r="G38" s="33">
        <v>0</v>
      </c>
      <c r="H38" s="33">
        <v>0</v>
      </c>
      <c r="I38" s="33">
        <v>1000</v>
      </c>
      <c r="J38" s="33">
        <v>1000</v>
      </c>
      <c r="K38" s="33">
        <v>1000</v>
      </c>
      <c r="L38" s="33">
        <v>1000</v>
      </c>
      <c r="M38" s="33">
        <v>1000</v>
      </c>
      <c r="N38" s="33">
        <v>1000</v>
      </c>
      <c r="O38" s="33">
        <v>1000</v>
      </c>
      <c r="P38" s="32">
        <f>O38</f>
        <v>1000</v>
      </c>
      <c r="Q38" s="32">
        <f t="shared" ref="Q38:Y38" si="15">P38</f>
        <v>1000</v>
      </c>
      <c r="R38" s="32">
        <f t="shared" si="15"/>
        <v>1000</v>
      </c>
      <c r="S38" s="32">
        <f t="shared" si="15"/>
        <v>1000</v>
      </c>
      <c r="T38" s="32">
        <f t="shared" si="15"/>
        <v>1000</v>
      </c>
      <c r="U38" s="32">
        <f t="shared" si="15"/>
        <v>1000</v>
      </c>
      <c r="V38" s="32">
        <f t="shared" si="15"/>
        <v>1000</v>
      </c>
      <c r="W38" s="32">
        <f t="shared" si="15"/>
        <v>1000</v>
      </c>
      <c r="X38" s="32">
        <f t="shared" si="15"/>
        <v>1000</v>
      </c>
      <c r="Y38" s="32">
        <f t="shared" si="15"/>
        <v>1000</v>
      </c>
      <c r="Z38" s="8"/>
      <c r="AC38" s="722"/>
      <c r="AE38" s="722"/>
      <c r="AG38" s="722"/>
    </row>
    <row r="39" spans="1:33" s="7" customFormat="1">
      <c r="C39" s="7" t="s">
        <v>5313</v>
      </c>
      <c r="E39" s="33">
        <v>0</v>
      </c>
      <c r="F39" s="33">
        <v>0</v>
      </c>
      <c r="G39" s="33">
        <v>0</v>
      </c>
      <c r="H39" s="33">
        <v>50</v>
      </c>
      <c r="I39" s="33">
        <v>100</v>
      </c>
      <c r="J39" s="33">
        <v>200</v>
      </c>
      <c r="K39" s="33">
        <v>400</v>
      </c>
      <c r="L39" s="33">
        <v>500</v>
      </c>
      <c r="M39" s="33">
        <v>500</v>
      </c>
      <c r="N39" s="33">
        <v>500</v>
      </c>
      <c r="O39" s="33">
        <v>500</v>
      </c>
      <c r="P39" s="5">
        <f>O39</f>
        <v>500</v>
      </c>
      <c r="Q39" s="5">
        <f t="shared" ref="Q39:Y39" si="16">P39</f>
        <v>500</v>
      </c>
      <c r="R39" s="5">
        <f t="shared" si="16"/>
        <v>500</v>
      </c>
      <c r="S39" s="5">
        <f t="shared" si="16"/>
        <v>500</v>
      </c>
      <c r="T39" s="5">
        <f t="shared" si="16"/>
        <v>500</v>
      </c>
      <c r="U39" s="5">
        <f t="shared" si="16"/>
        <v>500</v>
      </c>
      <c r="V39" s="5">
        <f t="shared" si="16"/>
        <v>500</v>
      </c>
      <c r="W39" s="5">
        <f t="shared" si="16"/>
        <v>500</v>
      </c>
      <c r="X39" s="5">
        <f t="shared" si="16"/>
        <v>500</v>
      </c>
      <c r="Y39" s="5">
        <f t="shared" si="16"/>
        <v>500</v>
      </c>
      <c r="Z39" s="8"/>
    </row>
    <row r="40" spans="1:33" s="19" customFormat="1">
      <c r="E40" s="5"/>
      <c r="F40" s="5"/>
      <c r="G40" s="5"/>
      <c r="H40" s="5"/>
      <c r="I40" s="5"/>
      <c r="J40" s="5"/>
      <c r="K40" s="5"/>
      <c r="L40" s="5"/>
      <c r="M40" s="5"/>
      <c r="N40" s="5"/>
      <c r="O40" s="5"/>
      <c r="P40" s="5"/>
      <c r="Q40" s="5"/>
      <c r="R40" s="5"/>
      <c r="S40" s="5"/>
      <c r="T40" s="5"/>
      <c r="U40" s="5"/>
      <c r="V40" s="5"/>
      <c r="W40" s="5"/>
      <c r="X40" s="5"/>
      <c r="Y40" s="5"/>
      <c r="Z40" s="8"/>
    </row>
    <row r="41" spans="1:33">
      <c r="E41" s="5"/>
      <c r="F41" s="5"/>
      <c r="G41" s="5"/>
      <c r="H41" s="5"/>
      <c r="I41" s="5"/>
      <c r="J41" s="5"/>
      <c r="K41" s="5"/>
      <c r="L41" s="5"/>
      <c r="M41" s="5"/>
      <c r="N41" s="5"/>
      <c r="O41" s="5"/>
      <c r="P41" s="5"/>
      <c r="Q41" s="5"/>
      <c r="R41" s="5"/>
      <c r="S41" s="5"/>
      <c r="T41" s="5"/>
      <c r="U41" s="5"/>
      <c r="V41" s="5"/>
      <c r="W41" s="5"/>
      <c r="X41" s="5"/>
      <c r="Y41" s="5"/>
    </row>
    <row r="42" spans="1:33">
      <c r="B42" s="52" t="s">
        <v>4246</v>
      </c>
      <c r="C42" s="60"/>
      <c r="D42" s="60"/>
      <c r="E42" s="54"/>
      <c r="F42" s="54"/>
      <c r="G42" s="54"/>
      <c r="H42" s="54"/>
      <c r="I42" s="54"/>
      <c r="J42" s="54"/>
      <c r="K42" s="54"/>
      <c r="L42" s="54"/>
      <c r="M42" s="54"/>
      <c r="N42" s="54"/>
      <c r="O42" s="54"/>
      <c r="P42" s="54"/>
      <c r="Q42" s="54"/>
      <c r="R42" s="54"/>
      <c r="S42" s="54"/>
      <c r="T42" s="54"/>
      <c r="U42" s="54"/>
      <c r="V42" s="54"/>
      <c r="W42" s="54"/>
      <c r="X42" s="54"/>
      <c r="Y42" s="54"/>
      <c r="AA42" s="13"/>
      <c r="AB42" s="19"/>
      <c r="AC42" s="723"/>
      <c r="AD42" s="13"/>
      <c r="AE42" s="722"/>
      <c r="AF42" s="13"/>
      <c r="AG42" s="722"/>
    </row>
    <row r="43" spans="1:33" s="19" customFormat="1">
      <c r="B43" s="17" t="s">
        <v>4393</v>
      </c>
      <c r="E43" s="5"/>
      <c r="F43" s="5"/>
      <c r="G43" s="5"/>
      <c r="H43" s="5"/>
      <c r="I43" s="5"/>
      <c r="J43" s="5"/>
      <c r="K43" s="5"/>
      <c r="L43" s="5"/>
      <c r="M43" s="5"/>
      <c r="N43" s="5"/>
      <c r="O43" s="5"/>
      <c r="P43" s="5"/>
      <c r="Q43" s="5"/>
      <c r="R43" s="5"/>
      <c r="S43" s="5"/>
      <c r="T43" s="5"/>
      <c r="U43" s="5"/>
      <c r="V43" s="5"/>
      <c r="W43" s="5"/>
      <c r="X43" s="5"/>
      <c r="Y43" s="5"/>
      <c r="Z43" s="8"/>
      <c r="AC43" s="722"/>
      <c r="AE43" s="722"/>
      <c r="AF43" s="13"/>
      <c r="AG43" s="722"/>
    </row>
    <row r="44" spans="1:33">
      <c r="C44" t="s">
        <v>4322</v>
      </c>
      <c r="E44" s="33">
        <v>17486</v>
      </c>
      <c r="F44" s="33">
        <v>17486</v>
      </c>
      <c r="G44" s="33">
        <v>17486</v>
      </c>
      <c r="H44" s="33">
        <v>17486</v>
      </c>
      <c r="I44" s="33">
        <v>17486</v>
      </c>
      <c r="J44" s="33">
        <v>17486</v>
      </c>
      <c r="K44" s="33">
        <v>17486</v>
      </c>
      <c r="L44" s="33">
        <v>17486</v>
      </c>
      <c r="M44" s="33">
        <v>17486</v>
      </c>
      <c r="N44" s="33">
        <v>17486</v>
      </c>
      <c r="O44" s="33">
        <v>17486</v>
      </c>
      <c r="P44" s="33">
        <v>17486</v>
      </c>
      <c r="Q44" s="33">
        <v>17486</v>
      </c>
      <c r="R44" s="33">
        <v>17486</v>
      </c>
      <c r="S44" s="33">
        <v>17486</v>
      </c>
      <c r="T44" s="33">
        <v>17486</v>
      </c>
      <c r="U44" s="33">
        <v>17486</v>
      </c>
      <c r="V44" s="33">
        <v>17486</v>
      </c>
      <c r="W44" s="33">
        <v>17486</v>
      </c>
      <c r="X44" s="33">
        <v>17486</v>
      </c>
      <c r="Y44" s="33">
        <v>17486</v>
      </c>
    </row>
    <row r="45" spans="1:33" s="19" customFormat="1">
      <c r="C45" s="19" t="s">
        <v>4323</v>
      </c>
      <c r="E45" s="33">
        <v>13396</v>
      </c>
      <c r="F45" s="33">
        <v>13396</v>
      </c>
      <c r="G45" s="33">
        <v>13396</v>
      </c>
      <c r="H45" s="33">
        <v>13396</v>
      </c>
      <c r="I45" s="33">
        <v>13396</v>
      </c>
      <c r="J45" s="33">
        <v>13396</v>
      </c>
      <c r="K45" s="33">
        <v>13396</v>
      </c>
      <c r="L45" s="33">
        <v>13396</v>
      </c>
      <c r="M45" s="33">
        <v>13396</v>
      </c>
      <c r="N45" s="33">
        <v>13396</v>
      </c>
      <c r="O45" s="33">
        <v>13396</v>
      </c>
      <c r="P45" s="33">
        <v>13396</v>
      </c>
      <c r="Q45" s="33">
        <v>13396</v>
      </c>
      <c r="R45" s="33">
        <v>13396</v>
      </c>
      <c r="S45" s="33">
        <v>13396</v>
      </c>
      <c r="T45" s="33">
        <v>13396</v>
      </c>
      <c r="U45" s="33">
        <v>13396</v>
      </c>
      <c r="V45" s="33">
        <v>13396</v>
      </c>
      <c r="W45" s="33">
        <v>13396</v>
      </c>
      <c r="X45" s="33">
        <v>13396</v>
      </c>
      <c r="Y45" s="33">
        <v>13396</v>
      </c>
      <c r="Z45" s="8"/>
    </row>
    <row r="46" spans="1:33">
      <c r="A46" s="31"/>
      <c r="C46" t="s">
        <v>4321</v>
      </c>
      <c r="E46" s="33">
        <v>10350</v>
      </c>
      <c r="F46" s="33">
        <v>10350</v>
      </c>
      <c r="G46" s="33">
        <v>10350</v>
      </c>
      <c r="H46" s="33">
        <v>10350</v>
      </c>
      <c r="I46" s="33">
        <v>10350</v>
      </c>
      <c r="J46" s="33">
        <v>10350</v>
      </c>
      <c r="K46" s="33">
        <v>10350</v>
      </c>
      <c r="L46" s="33">
        <v>10350</v>
      </c>
      <c r="M46" s="33">
        <v>10350</v>
      </c>
      <c r="N46" s="33">
        <v>10350</v>
      </c>
      <c r="O46" s="33">
        <v>10350</v>
      </c>
      <c r="P46" s="33">
        <v>10350</v>
      </c>
      <c r="Q46" s="33">
        <v>10350</v>
      </c>
      <c r="R46" s="33">
        <v>10350</v>
      </c>
      <c r="S46" s="33">
        <v>10350</v>
      </c>
      <c r="T46" s="33">
        <v>10350</v>
      </c>
      <c r="U46" s="33">
        <v>10350</v>
      </c>
      <c r="V46" s="33">
        <v>10350</v>
      </c>
      <c r="W46" s="33">
        <v>10350</v>
      </c>
      <c r="X46" s="33">
        <v>10350</v>
      </c>
      <c r="Y46" s="33">
        <v>10350</v>
      </c>
    </row>
    <row r="47" spans="1:33" s="19" customFormat="1">
      <c r="B47" s="34" t="s">
        <v>4394</v>
      </c>
      <c r="E47" s="5"/>
      <c r="F47" s="5"/>
      <c r="G47" s="5"/>
      <c r="H47" s="5"/>
      <c r="I47" s="5"/>
      <c r="J47" s="5"/>
      <c r="K47" s="5"/>
      <c r="L47" s="5"/>
      <c r="M47" s="5"/>
      <c r="N47" s="5"/>
      <c r="O47" s="5"/>
      <c r="P47" s="5"/>
      <c r="Q47" s="5"/>
      <c r="R47" s="5"/>
      <c r="S47" s="5"/>
      <c r="T47" s="5"/>
      <c r="U47" s="5"/>
      <c r="V47" s="5"/>
      <c r="W47" s="5"/>
      <c r="X47" s="5"/>
      <c r="Y47" s="5"/>
      <c r="Z47" s="8"/>
    </row>
    <row r="48" spans="1:33" s="19" customFormat="1">
      <c r="F48" s="5"/>
      <c r="G48" s="5"/>
      <c r="H48" s="5"/>
      <c r="I48" s="5"/>
      <c r="J48" s="5"/>
      <c r="K48" s="5"/>
      <c r="L48" s="5"/>
      <c r="M48" s="5"/>
      <c r="N48" s="5"/>
      <c r="O48" s="5"/>
      <c r="P48" s="5"/>
      <c r="Q48" s="5"/>
      <c r="R48" s="5"/>
      <c r="S48" s="5"/>
      <c r="T48" s="5"/>
      <c r="U48" s="5"/>
      <c r="V48" s="5"/>
      <c r="W48" s="5"/>
      <c r="X48" s="5"/>
      <c r="Y48" s="5"/>
      <c r="Z48" s="8"/>
    </row>
    <row r="49" spans="2:26">
      <c r="E49" s="5"/>
      <c r="F49" s="5"/>
      <c r="G49" s="5"/>
      <c r="H49" s="5"/>
      <c r="I49" s="5"/>
      <c r="J49" s="5"/>
      <c r="K49" s="5"/>
      <c r="L49" s="5"/>
      <c r="M49" s="5"/>
      <c r="N49" s="5"/>
      <c r="O49" s="5"/>
      <c r="P49" s="5"/>
      <c r="Q49" s="5"/>
      <c r="R49" s="5"/>
      <c r="S49" s="5"/>
      <c r="T49" s="5"/>
      <c r="U49" s="5"/>
      <c r="V49" s="5"/>
      <c r="W49" s="5"/>
      <c r="X49" s="5"/>
      <c r="Y49" s="5"/>
    </row>
    <row r="50" spans="2:26" s="31" customFormat="1">
      <c r="B50" s="55" t="s">
        <v>5197</v>
      </c>
      <c r="C50" s="59"/>
      <c r="D50" s="59"/>
      <c r="E50" s="57"/>
      <c r="F50" s="57"/>
      <c r="G50" s="57"/>
      <c r="H50" s="57"/>
      <c r="I50" s="57"/>
      <c r="J50" s="57"/>
      <c r="K50" s="57"/>
      <c r="L50" s="57"/>
      <c r="M50" s="57"/>
      <c r="N50" s="57"/>
      <c r="O50" s="57"/>
      <c r="P50" s="57"/>
      <c r="Q50" s="57"/>
      <c r="R50" s="57"/>
      <c r="S50" s="57"/>
      <c r="T50" s="57"/>
      <c r="U50" s="57"/>
      <c r="V50" s="57"/>
      <c r="W50" s="57"/>
      <c r="X50" s="57"/>
      <c r="Y50" s="57"/>
      <c r="Z50" s="8"/>
    </row>
    <row r="51" spans="2:26" s="7" customFormat="1">
      <c r="B51" s="17" t="s">
        <v>5091</v>
      </c>
      <c r="E51" s="5"/>
      <c r="F51" s="5"/>
      <c r="G51" s="5"/>
      <c r="H51" s="5"/>
      <c r="I51" s="5"/>
      <c r="J51" s="5"/>
      <c r="K51" s="5"/>
      <c r="L51" s="5"/>
      <c r="M51" s="5"/>
      <c r="N51" s="5"/>
      <c r="O51" s="5"/>
      <c r="P51" s="5"/>
      <c r="Q51" s="5"/>
      <c r="R51" s="5"/>
      <c r="S51" s="5"/>
      <c r="T51" s="5"/>
      <c r="U51" s="5"/>
      <c r="V51" s="5"/>
      <c r="W51" s="5"/>
      <c r="X51" s="5"/>
      <c r="Y51" s="5"/>
      <c r="Z51" s="8"/>
    </row>
    <row r="52" spans="2:26" s="19" customFormat="1">
      <c r="B52" s="17"/>
      <c r="C52" s="19" t="s">
        <v>4247</v>
      </c>
      <c r="E52" s="5">
        <f t="shared" ref="E52:Y52" si="17">SUM(E53:E64)</f>
        <v>50661.948441263798</v>
      </c>
      <c r="F52" s="5">
        <f t="shared" si="17"/>
        <v>50661.948441263798</v>
      </c>
      <c r="G52" s="5">
        <f t="shared" si="17"/>
        <v>50661.948441263798</v>
      </c>
      <c r="H52" s="5">
        <f t="shared" si="17"/>
        <v>50661.948441263798</v>
      </c>
      <c r="I52" s="5">
        <f t="shared" si="17"/>
        <v>50661.948441263798</v>
      </c>
      <c r="J52" s="5">
        <f t="shared" si="17"/>
        <v>50661.948441263798</v>
      </c>
      <c r="K52" s="5">
        <f t="shared" si="17"/>
        <v>50661.948441263798</v>
      </c>
      <c r="L52" s="5">
        <f t="shared" si="17"/>
        <v>50661.948441263798</v>
      </c>
      <c r="M52" s="5">
        <f t="shared" si="17"/>
        <v>50661.948441263798</v>
      </c>
      <c r="N52" s="5">
        <f t="shared" si="17"/>
        <v>50661.948441263798</v>
      </c>
      <c r="O52" s="5">
        <f t="shared" si="17"/>
        <v>50661.948441263798</v>
      </c>
      <c r="P52" s="5">
        <f t="shared" si="17"/>
        <v>50661.948441263798</v>
      </c>
      <c r="Q52" s="5">
        <f t="shared" si="17"/>
        <v>50661.948441263798</v>
      </c>
      <c r="R52" s="5">
        <f t="shared" si="17"/>
        <v>50661.948441263798</v>
      </c>
      <c r="S52" s="5">
        <f t="shared" si="17"/>
        <v>50661.948441263798</v>
      </c>
      <c r="T52" s="5">
        <f t="shared" si="17"/>
        <v>50661.948441263798</v>
      </c>
      <c r="U52" s="5">
        <f t="shared" si="17"/>
        <v>50661.948441263798</v>
      </c>
      <c r="V52" s="5">
        <f t="shared" si="17"/>
        <v>50661.948441263798</v>
      </c>
      <c r="W52" s="5">
        <f t="shared" si="17"/>
        <v>50661.948441263798</v>
      </c>
      <c r="X52" s="5">
        <f t="shared" si="17"/>
        <v>50661.948441263798</v>
      </c>
      <c r="Y52" s="5">
        <f t="shared" si="17"/>
        <v>50661.948441263798</v>
      </c>
      <c r="Z52" s="8"/>
    </row>
    <row r="53" spans="2:26" s="7" customFormat="1">
      <c r="B53" s="4"/>
      <c r="D53" s="7" t="s">
        <v>4808</v>
      </c>
      <c r="E53" s="5">
        <f>SUMIFS('Final 2014 NQC List'!$K$2:$K$743,'Final 2014 NQC List'!$X$2:$X$743,"OTC",'Final 2014 NQC List'!$V$2:$V$743,"&lt;&gt;NUCLEAR")</f>
        <v>11684.75</v>
      </c>
      <c r="F53" s="5">
        <f>E53</f>
        <v>11684.75</v>
      </c>
      <c r="G53" s="5">
        <f t="shared" ref="G53:Y60" si="18">F53</f>
        <v>11684.75</v>
      </c>
      <c r="H53" s="5">
        <f t="shared" si="18"/>
        <v>11684.75</v>
      </c>
      <c r="I53" s="5">
        <f t="shared" si="18"/>
        <v>11684.75</v>
      </c>
      <c r="J53" s="5">
        <f t="shared" si="18"/>
        <v>11684.75</v>
      </c>
      <c r="K53" s="5">
        <f t="shared" si="18"/>
        <v>11684.75</v>
      </c>
      <c r="L53" s="5">
        <f t="shared" si="18"/>
        <v>11684.75</v>
      </c>
      <c r="M53" s="5">
        <f t="shared" si="18"/>
        <v>11684.75</v>
      </c>
      <c r="N53" s="5">
        <f t="shared" si="18"/>
        <v>11684.75</v>
      </c>
      <c r="O53" s="5">
        <f t="shared" si="18"/>
        <v>11684.75</v>
      </c>
      <c r="P53" s="5">
        <f t="shared" si="18"/>
        <v>11684.75</v>
      </c>
      <c r="Q53" s="5">
        <f t="shared" si="18"/>
        <v>11684.75</v>
      </c>
      <c r="R53" s="5">
        <f t="shared" si="18"/>
        <v>11684.75</v>
      </c>
      <c r="S53" s="5">
        <f t="shared" si="18"/>
        <v>11684.75</v>
      </c>
      <c r="T53" s="5">
        <f t="shared" si="18"/>
        <v>11684.75</v>
      </c>
      <c r="U53" s="5">
        <f t="shared" si="18"/>
        <v>11684.75</v>
      </c>
      <c r="V53" s="5">
        <f t="shared" si="18"/>
        <v>11684.75</v>
      </c>
      <c r="W53" s="5">
        <f t="shared" si="18"/>
        <v>11684.75</v>
      </c>
      <c r="X53" s="5">
        <f t="shared" si="18"/>
        <v>11684.75</v>
      </c>
      <c r="Y53" s="5">
        <f t="shared" si="18"/>
        <v>11684.75</v>
      </c>
      <c r="Z53" s="8"/>
    </row>
    <row r="54" spans="2:26" s="19" customFormat="1">
      <c r="B54" s="4"/>
      <c r="D54" s="18" t="s">
        <v>4254</v>
      </c>
      <c r="E54" s="5">
        <f>SUMIFS('Final 2014 NQC List'!$K$2:$K$743,'Final 2014 NQC List'!$V$2:$V$743,"NUCLEAR")</f>
        <v>2240</v>
      </c>
      <c r="F54" s="5">
        <f>E54</f>
        <v>2240</v>
      </c>
      <c r="G54" s="5">
        <f t="shared" si="18"/>
        <v>2240</v>
      </c>
      <c r="H54" s="5">
        <f t="shared" si="18"/>
        <v>2240</v>
      </c>
      <c r="I54" s="5">
        <f t="shared" si="18"/>
        <v>2240</v>
      </c>
      <c r="J54" s="5">
        <f t="shared" si="18"/>
        <v>2240</v>
      </c>
      <c r="K54" s="5">
        <f t="shared" si="18"/>
        <v>2240</v>
      </c>
      <c r="L54" s="5">
        <f t="shared" si="18"/>
        <v>2240</v>
      </c>
      <c r="M54" s="5">
        <f t="shared" si="18"/>
        <v>2240</v>
      </c>
      <c r="N54" s="5">
        <f t="shared" si="18"/>
        <v>2240</v>
      </c>
      <c r="O54" s="5">
        <f t="shared" si="18"/>
        <v>2240</v>
      </c>
      <c r="P54" s="5">
        <f t="shared" si="18"/>
        <v>2240</v>
      </c>
      <c r="Q54" s="5">
        <f t="shared" si="18"/>
        <v>2240</v>
      </c>
      <c r="R54" s="5">
        <f t="shared" si="18"/>
        <v>2240</v>
      </c>
      <c r="S54" s="5">
        <f t="shared" si="18"/>
        <v>2240</v>
      </c>
      <c r="T54" s="5">
        <f t="shared" si="18"/>
        <v>2240</v>
      </c>
      <c r="U54" s="5">
        <f t="shared" si="18"/>
        <v>2240</v>
      </c>
      <c r="V54" s="5">
        <f t="shared" si="18"/>
        <v>2240</v>
      </c>
      <c r="W54" s="5">
        <f t="shared" si="18"/>
        <v>2240</v>
      </c>
      <c r="X54" s="5">
        <f t="shared" si="18"/>
        <v>2240</v>
      </c>
      <c r="Y54" s="5">
        <f t="shared" si="18"/>
        <v>2240</v>
      </c>
      <c r="Z54" s="8"/>
    </row>
    <row r="55" spans="2:26" s="19" customFormat="1">
      <c r="B55" s="4"/>
      <c r="D55" s="18" t="s">
        <v>4800</v>
      </c>
      <c r="E55" s="5">
        <f>SUMIFS('Final 2014 NQC List'!$K$2:$K$743,'Final 2014 NQC List'!$V$2:$V$743,"HYDRO")</f>
        <v>7485.329359855391</v>
      </c>
      <c r="F55" s="5">
        <f>E55</f>
        <v>7485.329359855391</v>
      </c>
      <c r="G55" s="5">
        <f t="shared" ref="G55:Y55" si="19">F55</f>
        <v>7485.329359855391</v>
      </c>
      <c r="H55" s="5">
        <f t="shared" si="19"/>
        <v>7485.329359855391</v>
      </c>
      <c r="I55" s="5">
        <f t="shared" si="19"/>
        <v>7485.329359855391</v>
      </c>
      <c r="J55" s="5">
        <f t="shared" si="19"/>
        <v>7485.329359855391</v>
      </c>
      <c r="K55" s="5">
        <f t="shared" si="19"/>
        <v>7485.329359855391</v>
      </c>
      <c r="L55" s="5">
        <f t="shared" si="19"/>
        <v>7485.329359855391</v>
      </c>
      <c r="M55" s="5">
        <f t="shared" si="19"/>
        <v>7485.329359855391</v>
      </c>
      <c r="N55" s="5">
        <f t="shared" si="19"/>
        <v>7485.329359855391</v>
      </c>
      <c r="O55" s="5">
        <f t="shared" si="19"/>
        <v>7485.329359855391</v>
      </c>
      <c r="P55" s="5">
        <f t="shared" si="19"/>
        <v>7485.329359855391</v>
      </c>
      <c r="Q55" s="5">
        <f t="shared" si="19"/>
        <v>7485.329359855391</v>
      </c>
      <c r="R55" s="5">
        <f t="shared" si="19"/>
        <v>7485.329359855391</v>
      </c>
      <c r="S55" s="5">
        <f t="shared" si="19"/>
        <v>7485.329359855391</v>
      </c>
      <c r="T55" s="5">
        <f t="shared" si="19"/>
        <v>7485.329359855391</v>
      </c>
      <c r="U55" s="5">
        <f t="shared" si="19"/>
        <v>7485.329359855391</v>
      </c>
      <c r="V55" s="5">
        <f t="shared" si="19"/>
        <v>7485.329359855391</v>
      </c>
      <c r="W55" s="5">
        <f t="shared" si="19"/>
        <v>7485.329359855391</v>
      </c>
      <c r="X55" s="5">
        <f t="shared" si="19"/>
        <v>7485.329359855391</v>
      </c>
      <c r="Y55" s="5">
        <f t="shared" si="19"/>
        <v>7485.329359855391</v>
      </c>
      <c r="Z55" s="8"/>
    </row>
    <row r="56" spans="2:26" s="7" customFormat="1">
      <c r="B56" s="4"/>
      <c r="D56" s="7" t="s">
        <v>3386</v>
      </c>
      <c r="E56" s="5">
        <f>SUMIFS('Final 2014 NQC List'!$K$2:$K$743,'Final 2014 NQC List'!$V$2:$V$743,"SOLAR",'Final 2014 NQC List'!$Z$2:$Z$743,"&lt;&gt;TRUE")</f>
        <v>740.94169979161313</v>
      </c>
      <c r="F56" s="5">
        <f>E56</f>
        <v>740.94169979161313</v>
      </c>
      <c r="G56" s="5">
        <f t="shared" ref="G56:Y56" si="20">F56</f>
        <v>740.94169979161313</v>
      </c>
      <c r="H56" s="5">
        <f t="shared" si="20"/>
        <v>740.94169979161313</v>
      </c>
      <c r="I56" s="5">
        <f t="shared" si="20"/>
        <v>740.94169979161313</v>
      </c>
      <c r="J56" s="5">
        <f t="shared" si="20"/>
        <v>740.94169979161313</v>
      </c>
      <c r="K56" s="5">
        <f t="shared" si="20"/>
        <v>740.94169979161313</v>
      </c>
      <c r="L56" s="5">
        <f t="shared" si="20"/>
        <v>740.94169979161313</v>
      </c>
      <c r="M56" s="5">
        <f t="shared" si="20"/>
        <v>740.94169979161313</v>
      </c>
      <c r="N56" s="5">
        <f t="shared" si="20"/>
        <v>740.94169979161313</v>
      </c>
      <c r="O56" s="5">
        <f t="shared" si="20"/>
        <v>740.94169979161313</v>
      </c>
      <c r="P56" s="5">
        <f t="shared" si="20"/>
        <v>740.94169979161313</v>
      </c>
      <c r="Q56" s="5">
        <f t="shared" si="20"/>
        <v>740.94169979161313</v>
      </c>
      <c r="R56" s="5">
        <f t="shared" si="20"/>
        <v>740.94169979161313</v>
      </c>
      <c r="S56" s="5">
        <f t="shared" si="20"/>
        <v>740.94169979161313</v>
      </c>
      <c r="T56" s="5">
        <f t="shared" si="20"/>
        <v>740.94169979161313</v>
      </c>
      <c r="U56" s="5">
        <f t="shared" si="20"/>
        <v>740.94169979161313</v>
      </c>
      <c r="V56" s="5">
        <f t="shared" si="20"/>
        <v>740.94169979161313</v>
      </c>
      <c r="W56" s="5">
        <f t="shared" si="20"/>
        <v>740.94169979161313</v>
      </c>
      <c r="X56" s="5">
        <f t="shared" si="20"/>
        <v>740.94169979161313</v>
      </c>
      <c r="Y56" s="5">
        <f t="shared" si="20"/>
        <v>740.94169979161313</v>
      </c>
      <c r="Z56" s="8"/>
    </row>
    <row r="57" spans="2:26" s="7" customFormat="1">
      <c r="B57" s="4"/>
      <c r="D57" s="7" t="s">
        <v>3332</v>
      </c>
      <c r="E57" s="5">
        <f>SUMIFS('Final 2014 NQC List'!$K$2:$K$743,'Final 2014 NQC List'!$V$2:$V$743,"WIND",'Final 2014 NQC List'!$Z$2:$Z$743,"&lt;&gt;TRUE")</f>
        <v>797.95941743593005</v>
      </c>
      <c r="F57" s="5">
        <f t="shared" ref="F57:U60" si="21">E57</f>
        <v>797.95941743593005</v>
      </c>
      <c r="G57" s="5">
        <f t="shared" si="21"/>
        <v>797.95941743593005</v>
      </c>
      <c r="H57" s="5">
        <f t="shared" si="21"/>
        <v>797.95941743593005</v>
      </c>
      <c r="I57" s="5">
        <f t="shared" si="21"/>
        <v>797.95941743593005</v>
      </c>
      <c r="J57" s="5">
        <f t="shared" si="21"/>
        <v>797.95941743593005</v>
      </c>
      <c r="K57" s="5">
        <f t="shared" si="21"/>
        <v>797.95941743593005</v>
      </c>
      <c r="L57" s="5">
        <f t="shared" si="21"/>
        <v>797.95941743593005</v>
      </c>
      <c r="M57" s="5">
        <f t="shared" si="21"/>
        <v>797.95941743593005</v>
      </c>
      <c r="N57" s="5">
        <f t="shared" si="21"/>
        <v>797.95941743593005</v>
      </c>
      <c r="O57" s="5">
        <f t="shared" si="21"/>
        <v>797.95941743593005</v>
      </c>
      <c r="P57" s="5">
        <f t="shared" si="21"/>
        <v>797.95941743593005</v>
      </c>
      <c r="Q57" s="5">
        <f t="shared" si="21"/>
        <v>797.95941743593005</v>
      </c>
      <c r="R57" s="5">
        <f t="shared" si="21"/>
        <v>797.95941743593005</v>
      </c>
      <c r="S57" s="5">
        <f t="shared" si="21"/>
        <v>797.95941743593005</v>
      </c>
      <c r="T57" s="5">
        <f t="shared" si="21"/>
        <v>797.95941743593005</v>
      </c>
      <c r="U57" s="5">
        <f t="shared" si="21"/>
        <v>797.95941743593005</v>
      </c>
      <c r="V57" s="5">
        <f t="shared" si="18"/>
        <v>797.95941743593005</v>
      </c>
      <c r="W57" s="5">
        <f t="shared" si="18"/>
        <v>797.95941743593005</v>
      </c>
      <c r="X57" s="5">
        <f t="shared" si="18"/>
        <v>797.95941743593005</v>
      </c>
      <c r="Y57" s="5">
        <f t="shared" si="18"/>
        <v>797.95941743593005</v>
      </c>
      <c r="Z57" s="8"/>
    </row>
    <row r="58" spans="2:26" s="19" customFormat="1">
      <c r="B58" s="4"/>
      <c r="D58" s="19" t="s">
        <v>4803</v>
      </c>
      <c r="E58" s="5">
        <f>SUMIFS('Final 2014 NQC List'!$K$2:$K$743,'Final 2014 NQC List'!$V$2:$V$743,"GEOTHERMAL",'Final 2014 NQC List'!$Z$2:$Z$743,"&lt;&gt;TRUE")</f>
        <v>1062.8917367741935</v>
      </c>
      <c r="F58" s="5">
        <f t="shared" ref="F58" si="22">E58</f>
        <v>1062.8917367741935</v>
      </c>
      <c r="G58" s="5">
        <f t="shared" si="21"/>
        <v>1062.8917367741935</v>
      </c>
      <c r="H58" s="5">
        <f t="shared" si="21"/>
        <v>1062.8917367741935</v>
      </c>
      <c r="I58" s="5">
        <f t="shared" si="21"/>
        <v>1062.8917367741935</v>
      </c>
      <c r="J58" s="5">
        <f t="shared" si="21"/>
        <v>1062.8917367741935</v>
      </c>
      <c r="K58" s="5">
        <f t="shared" si="21"/>
        <v>1062.8917367741935</v>
      </c>
      <c r="L58" s="5">
        <f t="shared" si="21"/>
        <v>1062.8917367741935</v>
      </c>
      <c r="M58" s="5">
        <f t="shared" si="21"/>
        <v>1062.8917367741935</v>
      </c>
      <c r="N58" s="5">
        <f t="shared" si="21"/>
        <v>1062.8917367741935</v>
      </c>
      <c r="O58" s="5">
        <f t="shared" si="21"/>
        <v>1062.8917367741935</v>
      </c>
      <c r="P58" s="5">
        <f t="shared" si="21"/>
        <v>1062.8917367741935</v>
      </c>
      <c r="Q58" s="5">
        <f t="shared" si="21"/>
        <v>1062.8917367741935</v>
      </c>
      <c r="R58" s="5">
        <f t="shared" si="21"/>
        <v>1062.8917367741935</v>
      </c>
      <c r="S58" s="5">
        <f t="shared" si="21"/>
        <v>1062.8917367741935</v>
      </c>
      <c r="T58" s="5">
        <f t="shared" si="21"/>
        <v>1062.8917367741935</v>
      </c>
      <c r="U58" s="5">
        <f t="shared" si="21"/>
        <v>1062.8917367741935</v>
      </c>
      <c r="V58" s="5">
        <f t="shared" ref="V58" si="23">U58</f>
        <v>1062.8917367741935</v>
      </c>
      <c r="W58" s="5">
        <f t="shared" ref="W58" si="24">V58</f>
        <v>1062.8917367741935</v>
      </c>
      <c r="X58" s="5">
        <f t="shared" ref="X58" si="25">W58</f>
        <v>1062.8917367741935</v>
      </c>
      <c r="Y58" s="5">
        <f t="shared" ref="Y58" si="26">X58</f>
        <v>1062.8917367741935</v>
      </c>
      <c r="Z58" s="8"/>
    </row>
    <row r="59" spans="2:26" s="7" customFormat="1">
      <c r="B59" s="4"/>
      <c r="D59" s="7" t="s">
        <v>4804</v>
      </c>
      <c r="E59" s="5">
        <f>SUMIFS('Final 2014 NQC List'!$K$2:$K$743,'Final 2014 NQC List'!$V$2:$V$743,"BIOMASS",'Final 2014 NQC List'!$Z$2:$Z$743,"&lt;&gt;TRUE")</f>
        <v>609.8678809550629</v>
      </c>
      <c r="F59" s="5">
        <f t="shared" si="21"/>
        <v>609.8678809550629</v>
      </c>
      <c r="G59" s="5">
        <f t="shared" si="18"/>
        <v>609.8678809550629</v>
      </c>
      <c r="H59" s="5">
        <f t="shared" si="18"/>
        <v>609.8678809550629</v>
      </c>
      <c r="I59" s="5">
        <f t="shared" si="18"/>
        <v>609.8678809550629</v>
      </c>
      <c r="J59" s="5">
        <f t="shared" si="18"/>
        <v>609.8678809550629</v>
      </c>
      <c r="K59" s="5">
        <f t="shared" si="18"/>
        <v>609.8678809550629</v>
      </c>
      <c r="L59" s="5">
        <f t="shared" si="18"/>
        <v>609.8678809550629</v>
      </c>
      <c r="M59" s="5">
        <f t="shared" si="18"/>
        <v>609.8678809550629</v>
      </c>
      <c r="N59" s="5">
        <f t="shared" si="18"/>
        <v>609.8678809550629</v>
      </c>
      <c r="O59" s="5">
        <f t="shared" si="18"/>
        <v>609.8678809550629</v>
      </c>
      <c r="P59" s="5">
        <f t="shared" si="18"/>
        <v>609.8678809550629</v>
      </c>
      <c r="Q59" s="5">
        <f t="shared" si="18"/>
        <v>609.8678809550629</v>
      </c>
      <c r="R59" s="5">
        <f t="shared" si="18"/>
        <v>609.8678809550629</v>
      </c>
      <c r="S59" s="5">
        <f t="shared" si="18"/>
        <v>609.8678809550629</v>
      </c>
      <c r="T59" s="5">
        <f t="shared" si="18"/>
        <v>609.8678809550629</v>
      </c>
      <c r="U59" s="5">
        <f t="shared" si="18"/>
        <v>609.8678809550629</v>
      </c>
      <c r="V59" s="5">
        <f t="shared" si="18"/>
        <v>609.8678809550629</v>
      </c>
      <c r="W59" s="5">
        <f t="shared" si="18"/>
        <v>609.8678809550629</v>
      </c>
      <c r="X59" s="5">
        <f t="shared" si="18"/>
        <v>609.8678809550629</v>
      </c>
      <c r="Y59" s="5">
        <f t="shared" si="18"/>
        <v>609.8678809550629</v>
      </c>
      <c r="Z59" s="8"/>
    </row>
    <row r="60" spans="2:26" s="7" customFormat="1">
      <c r="B60" s="4"/>
      <c r="D60" s="7" t="s">
        <v>4801</v>
      </c>
      <c r="E60" s="5">
        <f>SUMIFS('Final 2014 NQC List'!$K$2:$K$743,'Final 2014 NQC List'!$V$2:$V$743,"COGENERATION")</f>
        <v>4915.239999999998</v>
      </c>
      <c r="F60" s="5">
        <f t="shared" si="21"/>
        <v>4915.239999999998</v>
      </c>
      <c r="G60" s="5">
        <f t="shared" si="18"/>
        <v>4915.239999999998</v>
      </c>
      <c r="H60" s="5">
        <f t="shared" si="18"/>
        <v>4915.239999999998</v>
      </c>
      <c r="I60" s="5">
        <f t="shared" si="18"/>
        <v>4915.239999999998</v>
      </c>
      <c r="J60" s="5">
        <f t="shared" si="18"/>
        <v>4915.239999999998</v>
      </c>
      <c r="K60" s="5">
        <f t="shared" si="18"/>
        <v>4915.239999999998</v>
      </c>
      <c r="L60" s="5">
        <f t="shared" si="18"/>
        <v>4915.239999999998</v>
      </c>
      <c r="M60" s="5">
        <f t="shared" si="18"/>
        <v>4915.239999999998</v>
      </c>
      <c r="N60" s="5">
        <f t="shared" si="18"/>
        <v>4915.239999999998</v>
      </c>
      <c r="O60" s="5">
        <f t="shared" si="18"/>
        <v>4915.239999999998</v>
      </c>
      <c r="P60" s="5">
        <f t="shared" si="18"/>
        <v>4915.239999999998</v>
      </c>
      <c r="Q60" s="5">
        <f t="shared" si="18"/>
        <v>4915.239999999998</v>
      </c>
      <c r="R60" s="5">
        <f t="shared" si="18"/>
        <v>4915.239999999998</v>
      </c>
      <c r="S60" s="5">
        <f t="shared" si="18"/>
        <v>4915.239999999998</v>
      </c>
      <c r="T60" s="5">
        <f t="shared" si="18"/>
        <v>4915.239999999998</v>
      </c>
      <c r="U60" s="5">
        <f t="shared" si="18"/>
        <v>4915.239999999998</v>
      </c>
      <c r="V60" s="5">
        <f t="shared" si="18"/>
        <v>4915.239999999998</v>
      </c>
      <c r="W60" s="5">
        <f t="shared" si="18"/>
        <v>4915.239999999998</v>
      </c>
      <c r="X60" s="5">
        <f t="shared" si="18"/>
        <v>4915.239999999998</v>
      </c>
      <c r="Y60" s="5">
        <f t="shared" si="18"/>
        <v>4915.239999999998</v>
      </c>
      <c r="Z60" s="8"/>
    </row>
    <row r="61" spans="2:26" s="19" customFormat="1">
      <c r="B61" s="4"/>
      <c r="D61" s="19" t="s">
        <v>4802</v>
      </c>
      <c r="E61" s="5">
        <f>SUMIFS('Final 2014 NQC List'!$K$2:$K$743,'Final 2014 NQC List'!$V$2:$V$743,"PUMP")</f>
        <v>600.6</v>
      </c>
      <c r="F61" s="5">
        <f t="shared" ref="F61:F63" si="27">E61</f>
        <v>600.6</v>
      </c>
      <c r="G61" s="5">
        <f t="shared" ref="G61:G63" si="28">F61</f>
        <v>600.6</v>
      </c>
      <c r="H61" s="5">
        <f t="shared" ref="H61:H63" si="29">G61</f>
        <v>600.6</v>
      </c>
      <c r="I61" s="5">
        <f t="shared" ref="I61:I63" si="30">H61</f>
        <v>600.6</v>
      </c>
      <c r="J61" s="5">
        <f t="shared" ref="J61:J63" si="31">I61</f>
        <v>600.6</v>
      </c>
      <c r="K61" s="5">
        <f t="shared" ref="K61:K63" si="32">J61</f>
        <v>600.6</v>
      </c>
      <c r="L61" s="5">
        <f t="shared" ref="L61:L63" si="33">K61</f>
        <v>600.6</v>
      </c>
      <c r="M61" s="5">
        <f t="shared" ref="M61:M63" si="34">L61</f>
        <v>600.6</v>
      </c>
      <c r="N61" s="5">
        <f t="shared" ref="N61:N63" si="35">M61</f>
        <v>600.6</v>
      </c>
      <c r="O61" s="5">
        <f t="shared" ref="O61:O63" si="36">N61</f>
        <v>600.6</v>
      </c>
      <c r="P61" s="5">
        <f t="shared" ref="P61:P63" si="37">O61</f>
        <v>600.6</v>
      </c>
      <c r="Q61" s="5">
        <f t="shared" ref="Q61:Q63" si="38">P61</f>
        <v>600.6</v>
      </c>
      <c r="R61" s="5">
        <f t="shared" ref="R61:R63" si="39">Q61</f>
        <v>600.6</v>
      </c>
      <c r="S61" s="5">
        <f t="shared" ref="S61:S63" si="40">R61</f>
        <v>600.6</v>
      </c>
      <c r="T61" s="5">
        <f t="shared" ref="T61:T63" si="41">S61</f>
        <v>600.6</v>
      </c>
      <c r="U61" s="5">
        <f t="shared" ref="U61:U63" si="42">T61</f>
        <v>600.6</v>
      </c>
      <c r="V61" s="5">
        <f t="shared" ref="V61:V63" si="43">U61</f>
        <v>600.6</v>
      </c>
      <c r="W61" s="5">
        <f t="shared" ref="W61:W63" si="44">V61</f>
        <v>600.6</v>
      </c>
      <c r="X61" s="5">
        <f t="shared" ref="X61:X63" si="45">W61</f>
        <v>600.6</v>
      </c>
      <c r="Y61" s="5">
        <f t="shared" ref="Y61:Y63" si="46">X61</f>
        <v>600.6</v>
      </c>
      <c r="Z61" s="8"/>
    </row>
    <row r="62" spans="2:26" s="19" customFormat="1">
      <c r="B62" s="4"/>
      <c r="D62" s="19" t="s">
        <v>4805</v>
      </c>
      <c r="E62" s="5">
        <f>SUMIFS('Final 2014 NQC List'!$K$2:$K$743,'Final 2014 NQC List'!$X$2:$X$743,"&lt;&gt;OTC",'Final 2014 NQC List'!$V$2:$V$743,"PEAKER")</f>
        <v>5356.9499999999989</v>
      </c>
      <c r="F62" s="5">
        <f t="shared" ref="F62" si="47">E62</f>
        <v>5356.9499999999989</v>
      </c>
      <c r="G62" s="5">
        <f t="shared" ref="G62" si="48">F62</f>
        <v>5356.9499999999989</v>
      </c>
      <c r="H62" s="5">
        <f t="shared" ref="H62" si="49">G62</f>
        <v>5356.9499999999989</v>
      </c>
      <c r="I62" s="5">
        <f t="shared" ref="I62" si="50">H62</f>
        <v>5356.9499999999989</v>
      </c>
      <c r="J62" s="5">
        <f t="shared" ref="J62" si="51">I62</f>
        <v>5356.9499999999989</v>
      </c>
      <c r="K62" s="5">
        <f t="shared" ref="K62" si="52">J62</f>
        <v>5356.9499999999989</v>
      </c>
      <c r="L62" s="5">
        <f t="shared" ref="L62" si="53">K62</f>
        <v>5356.9499999999989</v>
      </c>
      <c r="M62" s="5">
        <f t="shared" ref="M62" si="54">L62</f>
        <v>5356.9499999999989</v>
      </c>
      <c r="N62" s="5">
        <f t="shared" ref="N62" si="55">M62</f>
        <v>5356.9499999999989</v>
      </c>
      <c r="O62" s="5">
        <f t="shared" ref="O62" si="56">N62</f>
        <v>5356.9499999999989</v>
      </c>
      <c r="P62" s="5">
        <f t="shared" ref="P62" si="57">O62</f>
        <v>5356.9499999999989</v>
      </c>
      <c r="Q62" s="5">
        <f t="shared" ref="Q62" si="58">P62</f>
        <v>5356.9499999999989</v>
      </c>
      <c r="R62" s="5">
        <f t="shared" ref="R62" si="59">Q62</f>
        <v>5356.9499999999989</v>
      </c>
      <c r="S62" s="5">
        <f t="shared" ref="S62" si="60">R62</f>
        <v>5356.9499999999989</v>
      </c>
      <c r="T62" s="5">
        <f t="shared" ref="T62" si="61">S62</f>
        <v>5356.9499999999989</v>
      </c>
      <c r="U62" s="5">
        <f t="shared" ref="U62" si="62">T62</f>
        <v>5356.9499999999989</v>
      </c>
      <c r="V62" s="5">
        <f t="shared" ref="V62" si="63">U62</f>
        <v>5356.9499999999989</v>
      </c>
      <c r="W62" s="5">
        <f t="shared" ref="W62" si="64">V62</f>
        <v>5356.9499999999989</v>
      </c>
      <c r="X62" s="5">
        <f t="shared" ref="X62" si="65">W62</f>
        <v>5356.9499999999989</v>
      </c>
      <c r="Y62" s="5">
        <f t="shared" ref="Y62" si="66">X62</f>
        <v>5356.9499999999989</v>
      </c>
      <c r="Z62" s="8"/>
    </row>
    <row r="63" spans="2:26" s="19" customFormat="1">
      <c r="B63" s="4"/>
      <c r="D63" s="19" t="s">
        <v>4806</v>
      </c>
      <c r="E63" s="5">
        <f>SUMIFS('Final 2014 NQC List'!$K$2:$K$743,'Final 2014 NQC List'!$X$2:$X$743,"&lt;&gt;OTC",'Final 2014 NQC List'!$V$2:$V$743,"THERMAL")</f>
        <v>15046.768346451616</v>
      </c>
      <c r="F63" s="5">
        <f t="shared" si="27"/>
        <v>15046.768346451616</v>
      </c>
      <c r="G63" s="5">
        <f t="shared" si="28"/>
        <v>15046.768346451616</v>
      </c>
      <c r="H63" s="5">
        <f t="shared" si="29"/>
        <v>15046.768346451616</v>
      </c>
      <c r="I63" s="5">
        <f t="shared" si="30"/>
        <v>15046.768346451616</v>
      </c>
      <c r="J63" s="5">
        <f t="shared" si="31"/>
        <v>15046.768346451616</v>
      </c>
      <c r="K63" s="5">
        <f t="shared" si="32"/>
        <v>15046.768346451616</v>
      </c>
      <c r="L63" s="5">
        <f t="shared" si="33"/>
        <v>15046.768346451616</v>
      </c>
      <c r="M63" s="5">
        <f t="shared" si="34"/>
        <v>15046.768346451616</v>
      </c>
      <c r="N63" s="5">
        <f t="shared" si="35"/>
        <v>15046.768346451616</v>
      </c>
      <c r="O63" s="5">
        <f t="shared" si="36"/>
        <v>15046.768346451616</v>
      </c>
      <c r="P63" s="5">
        <f t="shared" si="37"/>
        <v>15046.768346451616</v>
      </c>
      <c r="Q63" s="5">
        <f t="shared" si="38"/>
        <v>15046.768346451616</v>
      </c>
      <c r="R63" s="5">
        <f t="shared" si="39"/>
        <v>15046.768346451616</v>
      </c>
      <c r="S63" s="5">
        <f t="shared" si="40"/>
        <v>15046.768346451616</v>
      </c>
      <c r="T63" s="5">
        <f t="shared" si="41"/>
        <v>15046.768346451616</v>
      </c>
      <c r="U63" s="5">
        <f t="shared" si="42"/>
        <v>15046.768346451616</v>
      </c>
      <c r="V63" s="5">
        <f t="shared" si="43"/>
        <v>15046.768346451616</v>
      </c>
      <c r="W63" s="5">
        <f t="shared" si="44"/>
        <v>15046.768346451616</v>
      </c>
      <c r="X63" s="5">
        <f t="shared" si="45"/>
        <v>15046.768346451616</v>
      </c>
      <c r="Y63" s="5">
        <f t="shared" si="46"/>
        <v>15046.768346451616</v>
      </c>
      <c r="Z63" s="8"/>
    </row>
    <row r="64" spans="2:26" s="19" customFormat="1">
      <c r="B64" s="4"/>
      <c r="D64" s="19" t="s">
        <v>4807</v>
      </c>
      <c r="E64" s="5">
        <f>SUMIFS('Final 2014 NQC List'!$K$2:$K$743,'Final 2014 NQC List'!$V$2:$V$743,"VARIOUS")+SUMIFS('Final 2014 NQC List'!$K$2:$K$743,'Final 2014 NQC List'!$V$2:$V$743,"UNKNOWN")</f>
        <v>120.65000000000003</v>
      </c>
      <c r="F64" s="5">
        <f t="shared" ref="F64" si="67">E64</f>
        <v>120.65000000000003</v>
      </c>
      <c r="G64" s="5">
        <f t="shared" ref="G64" si="68">F64</f>
        <v>120.65000000000003</v>
      </c>
      <c r="H64" s="5">
        <f t="shared" ref="H64" si="69">G64</f>
        <v>120.65000000000003</v>
      </c>
      <c r="I64" s="5">
        <f t="shared" ref="I64" si="70">H64</f>
        <v>120.65000000000003</v>
      </c>
      <c r="J64" s="5">
        <f t="shared" ref="J64" si="71">I64</f>
        <v>120.65000000000003</v>
      </c>
      <c r="K64" s="5">
        <f t="shared" ref="K64" si="72">J64</f>
        <v>120.65000000000003</v>
      </c>
      <c r="L64" s="5">
        <f t="shared" ref="L64" si="73">K64</f>
        <v>120.65000000000003</v>
      </c>
      <c r="M64" s="5">
        <f t="shared" ref="M64" si="74">L64</f>
        <v>120.65000000000003</v>
      </c>
      <c r="N64" s="5">
        <f t="shared" ref="N64" si="75">M64</f>
        <v>120.65000000000003</v>
      </c>
      <c r="O64" s="5">
        <f t="shared" ref="O64" si="76">N64</f>
        <v>120.65000000000003</v>
      </c>
      <c r="P64" s="5">
        <f t="shared" ref="P64" si="77">O64</f>
        <v>120.65000000000003</v>
      </c>
      <c r="Q64" s="5">
        <f t="shared" ref="Q64" si="78">P64</f>
        <v>120.65000000000003</v>
      </c>
      <c r="R64" s="5">
        <f t="shared" ref="R64" si="79">Q64</f>
        <v>120.65000000000003</v>
      </c>
      <c r="S64" s="5">
        <f t="shared" ref="S64" si="80">R64</f>
        <v>120.65000000000003</v>
      </c>
      <c r="T64" s="5">
        <f t="shared" ref="T64" si="81">S64</f>
        <v>120.65000000000003</v>
      </c>
      <c r="U64" s="5">
        <f t="shared" ref="U64" si="82">T64</f>
        <v>120.65000000000003</v>
      </c>
      <c r="V64" s="5">
        <f t="shared" ref="V64" si="83">U64</f>
        <v>120.65000000000003</v>
      </c>
      <c r="W64" s="5">
        <f t="shared" ref="W64" si="84">V64</f>
        <v>120.65000000000003</v>
      </c>
      <c r="X64" s="5">
        <f t="shared" ref="X64" si="85">W64</f>
        <v>120.65000000000003</v>
      </c>
      <c r="Y64" s="5">
        <f t="shared" ref="Y64" si="86">X64</f>
        <v>120.65000000000003</v>
      </c>
      <c r="Z64" s="8"/>
    </row>
    <row r="65" spans="1:26" s="7" customFormat="1">
      <c r="D65" s="14"/>
      <c r="F65" s="5"/>
      <c r="G65" s="5"/>
      <c r="H65" s="5"/>
      <c r="I65" s="5"/>
      <c r="J65" s="5"/>
      <c r="K65" s="5"/>
      <c r="L65" s="5"/>
      <c r="M65" s="5"/>
      <c r="N65" s="5"/>
      <c r="O65" s="5"/>
      <c r="P65" s="5"/>
      <c r="Q65" s="5"/>
      <c r="R65" s="5"/>
      <c r="S65" s="5"/>
      <c r="T65" s="5"/>
      <c r="U65" s="5"/>
      <c r="V65" s="5"/>
      <c r="W65" s="5"/>
      <c r="X65" s="5"/>
      <c r="Y65" s="5"/>
      <c r="Z65" s="8"/>
    </row>
    <row r="66" spans="1:26" s="7" customFormat="1">
      <c r="D66" s="14"/>
      <c r="E66" s="5"/>
      <c r="F66" s="5"/>
      <c r="G66" s="5"/>
      <c r="H66" s="5"/>
      <c r="I66" s="5"/>
      <c r="J66" s="5"/>
      <c r="K66" s="5"/>
      <c r="L66" s="5"/>
      <c r="M66" s="5"/>
      <c r="N66" s="5"/>
      <c r="O66" s="5"/>
      <c r="P66" s="5"/>
      <c r="Q66" s="5"/>
      <c r="R66" s="5"/>
      <c r="S66" s="5"/>
      <c r="T66" s="5"/>
      <c r="U66" s="5"/>
      <c r="V66" s="5"/>
      <c r="W66" s="5"/>
      <c r="X66" s="5"/>
      <c r="Y66" s="5"/>
      <c r="Z66" s="8"/>
    </row>
    <row r="67" spans="1:26" s="31" customFormat="1">
      <c r="B67" s="61" t="s">
        <v>4244</v>
      </c>
      <c r="C67" s="62"/>
      <c r="D67" s="62"/>
      <c r="E67" s="62"/>
      <c r="F67" s="62"/>
      <c r="G67" s="62"/>
      <c r="H67" s="62"/>
      <c r="I67" s="62"/>
      <c r="J67" s="62"/>
      <c r="K67" s="62"/>
      <c r="L67" s="62"/>
      <c r="M67" s="62"/>
      <c r="N67" s="62"/>
      <c r="O67" s="62"/>
      <c r="P67" s="62"/>
      <c r="Q67" s="62"/>
      <c r="R67" s="62"/>
      <c r="S67" s="62"/>
      <c r="T67" s="62"/>
      <c r="U67" s="62"/>
      <c r="V67" s="62"/>
      <c r="W67" s="62"/>
      <c r="X67" s="62"/>
      <c r="Y67" s="62"/>
      <c r="Z67" s="8"/>
    </row>
    <row r="68" spans="1:26" s="19" customFormat="1">
      <c r="B68" s="30" t="s">
        <v>5415</v>
      </c>
      <c r="Z68" s="8"/>
    </row>
    <row r="69" spans="1:26" s="19" customFormat="1">
      <c r="B69" s="30" t="s">
        <v>5439</v>
      </c>
      <c r="Z69" s="8"/>
    </row>
    <row r="70" spans="1:26" s="19" customFormat="1">
      <c r="B70" s="30" t="s">
        <v>5417</v>
      </c>
      <c r="Z70" s="8"/>
    </row>
    <row r="71" spans="1:26" s="19" customFormat="1">
      <c r="B71" s="30"/>
      <c r="C71" s="19" t="s">
        <v>5180</v>
      </c>
      <c r="E71" s="5">
        <f>SUMIF('CEC Siting Cases'!$L$99:$L$118,E2,'CEC Siting Cases'!$E$99:$E$118)</f>
        <v>0</v>
      </c>
      <c r="F71" s="5">
        <f>SUMIF('CEC Siting Cases'!$L$99:$L$118,F2,'CEC Siting Cases'!$E$99:$E$118)+E71</f>
        <v>0</v>
      </c>
      <c r="G71" s="5">
        <f>SUMIF('CEC Siting Cases'!$L$99:$L$118,G2,'CEC Siting Cases'!$E$99:$E$118)+F71</f>
        <v>300</v>
      </c>
      <c r="H71" s="5">
        <f>SUMIF('CEC Siting Cases'!$L$99:$L$118,H2,'CEC Siting Cases'!$E$99:$E$118)+G71</f>
        <v>300</v>
      </c>
      <c r="I71" s="5">
        <f>SUMIF('CEC Siting Cases'!$L$99:$L$118,I2,'CEC Siting Cases'!$E$99:$E$118)+H71</f>
        <v>300</v>
      </c>
      <c r="J71" s="5">
        <f>SUMIF('CEC Siting Cases'!$L$99:$L$118,J2,'CEC Siting Cases'!$E$99:$E$118)+I71</f>
        <v>300</v>
      </c>
      <c r="K71" s="5">
        <f>SUMIF('CEC Siting Cases'!$L$99:$L$118,K2,'CEC Siting Cases'!$E$99:$E$118)+J71</f>
        <v>300</v>
      </c>
      <c r="L71" s="5">
        <f>SUMIF('CEC Siting Cases'!$L$99:$L$118,L2,'CEC Siting Cases'!$E$99:$E$118)+K71</f>
        <v>300</v>
      </c>
      <c r="M71" s="5">
        <f>SUMIF('CEC Siting Cases'!$L$99:$L$118,M2,'CEC Siting Cases'!$E$99:$E$118)+L71</f>
        <v>300</v>
      </c>
      <c r="N71" s="5">
        <f>SUMIF('CEC Siting Cases'!$L$99:$L$118,N2,'CEC Siting Cases'!$E$99:$E$118)+M71</f>
        <v>300</v>
      </c>
      <c r="O71" s="5">
        <f>SUMIF('CEC Siting Cases'!$L$99:$L$118,O2,'CEC Siting Cases'!$E$99:$E$118)+N71</f>
        <v>300</v>
      </c>
      <c r="P71" s="5">
        <f>SUMIF('CEC Siting Cases'!$L$99:$L$118,P2,'CEC Siting Cases'!$E$99:$E$118)+O71</f>
        <v>300</v>
      </c>
      <c r="Q71" s="5">
        <f>SUMIF('CEC Siting Cases'!$L$99:$L$118,Q2,'CEC Siting Cases'!$E$99:$E$118)+P71</f>
        <v>300</v>
      </c>
      <c r="R71" s="5">
        <f>SUMIF('CEC Siting Cases'!$L$99:$L$118,R2,'CEC Siting Cases'!$E$99:$E$118)+Q71</f>
        <v>300</v>
      </c>
      <c r="S71" s="5">
        <f>SUMIF('CEC Siting Cases'!$L$99:$L$118,S2,'CEC Siting Cases'!$E$99:$E$118)+R71</f>
        <v>300</v>
      </c>
      <c r="T71" s="5">
        <f>SUMIF('CEC Siting Cases'!$L$99:$L$118,T2,'CEC Siting Cases'!$E$99:$E$118)+S71</f>
        <v>300</v>
      </c>
      <c r="U71" s="5">
        <f>SUMIF('CEC Siting Cases'!$L$99:$L$118,U2,'CEC Siting Cases'!$E$99:$E$118)+T71</f>
        <v>300</v>
      </c>
      <c r="V71" s="5">
        <f>SUMIF('CEC Siting Cases'!$L$99:$L$118,V2,'CEC Siting Cases'!$E$99:$E$118)+U71</f>
        <v>300</v>
      </c>
      <c r="W71" s="5">
        <f>SUMIF('CEC Siting Cases'!$L$99:$L$118,W2,'CEC Siting Cases'!$E$99:$E$118)+V71</f>
        <v>300</v>
      </c>
      <c r="X71" s="5">
        <f>SUMIF('CEC Siting Cases'!$L$99:$L$118,X2,'CEC Siting Cases'!$E$99:$E$118)+W71</f>
        <v>300</v>
      </c>
      <c r="Y71" s="5">
        <f>SUMIF('CEC Siting Cases'!$L$99:$L$118,Y2,'CEC Siting Cases'!$E$99:$E$118)+X71</f>
        <v>300</v>
      </c>
      <c r="Z71" s="8"/>
    </row>
    <row r="72" spans="1:26" s="19" customFormat="1">
      <c r="B72" s="30"/>
      <c r="C72" s="19" t="s">
        <v>5181</v>
      </c>
      <c r="E72" s="5">
        <f>SUMIF('CEC Other Projects'!$AI$2:$AI$9,E2,'CEC Other Projects'!$AG$2:$AG$9)</f>
        <v>1.9</v>
      </c>
      <c r="F72" s="5">
        <f>SUMIF('CEC Other Projects'!$AI$2:$AI$9,F2,'CEC Other Projects'!$AG$2:$AG$9)+E72</f>
        <v>1.9</v>
      </c>
      <c r="G72" s="5">
        <f>SUMIF('CEC Other Projects'!$AI$2:$AI$9,G2,'CEC Other Projects'!$AG$2:$AG$9)+F72</f>
        <v>15.9</v>
      </c>
      <c r="H72" s="5">
        <f>SUMIF('CEC Other Projects'!$AI$2:$AI$9,H2,'CEC Other Projects'!$AG$2:$AG$9)+G72</f>
        <v>15.9</v>
      </c>
      <c r="I72" s="5">
        <f>SUMIF('CEC Other Projects'!$AI$2:$AI$9,I2,'CEC Other Projects'!$AG$2:$AG$9)+H72</f>
        <v>15.9</v>
      </c>
      <c r="J72" s="5">
        <f>SUMIF('CEC Other Projects'!$AI$2:$AI$9,J2,'CEC Other Projects'!$AG$2:$AG$9)+I72</f>
        <v>15.9</v>
      </c>
      <c r="K72" s="5">
        <f>SUMIF('CEC Other Projects'!$AI$2:$AI$9,K2,'CEC Other Projects'!$AG$2:$AG$9)+J72</f>
        <v>15.9</v>
      </c>
      <c r="L72" s="5">
        <f>SUMIF('CEC Other Projects'!$AI$2:$AI$9,L2,'CEC Other Projects'!$AG$2:$AG$9)+K72</f>
        <v>15.9</v>
      </c>
      <c r="M72" s="5">
        <f>SUMIF('CEC Other Projects'!$AI$2:$AI$9,M2,'CEC Other Projects'!$AG$2:$AG$9)+L72</f>
        <v>15.9</v>
      </c>
      <c r="N72" s="5">
        <f>SUMIF('CEC Other Projects'!$AI$2:$AI$9,N2,'CEC Other Projects'!$AG$2:$AG$9)+M72</f>
        <v>15.9</v>
      </c>
      <c r="O72" s="5">
        <f>SUMIF('CEC Other Projects'!$AI$2:$AI$9,O2,'CEC Other Projects'!$AG$2:$AG$9)+N72</f>
        <v>15.9</v>
      </c>
      <c r="P72" s="5">
        <f>SUMIF('CEC Other Projects'!$AI$2:$AI$9,P2,'CEC Other Projects'!$AG$2:$AG$9)+O72</f>
        <v>15.9</v>
      </c>
      <c r="Q72" s="5">
        <f>SUMIF('CEC Other Projects'!$AI$2:$AI$9,Q2,'CEC Other Projects'!$AG$2:$AG$9)+P72</f>
        <v>15.9</v>
      </c>
      <c r="R72" s="5">
        <f>SUMIF('CEC Other Projects'!$AI$2:$AI$9,R2,'CEC Other Projects'!$AG$2:$AG$9)+Q72</f>
        <v>15.9</v>
      </c>
      <c r="S72" s="5">
        <f>SUMIF('CEC Other Projects'!$AI$2:$AI$9,S2,'CEC Other Projects'!$AG$2:$AG$9)+R72</f>
        <v>15.9</v>
      </c>
      <c r="T72" s="5">
        <f>SUMIF('CEC Other Projects'!$AI$2:$AI$9,T2,'CEC Other Projects'!$AG$2:$AG$9)+S72</f>
        <v>15.9</v>
      </c>
      <c r="U72" s="5">
        <f>SUMIF('CEC Other Projects'!$AI$2:$AI$9,U2,'CEC Other Projects'!$AG$2:$AG$9)+T72</f>
        <v>15.9</v>
      </c>
      <c r="V72" s="5">
        <f>SUMIF('CEC Other Projects'!$AI$2:$AI$9,V2,'CEC Other Projects'!$AG$2:$AG$9)+U72</f>
        <v>15.9</v>
      </c>
      <c r="W72" s="5">
        <f>SUMIF('CEC Other Projects'!$AI$2:$AI$9,W2,'CEC Other Projects'!$AG$2:$AG$9)+V72</f>
        <v>15.9</v>
      </c>
      <c r="X72" s="5">
        <f>SUMIF('CEC Other Projects'!$AI$2:$AI$9,X2,'CEC Other Projects'!$AG$2:$AG$9)+W72</f>
        <v>15.9</v>
      </c>
      <c r="Y72" s="5">
        <f>SUMIF('CEC Other Projects'!$AI$2:$AI$9,Y2,'CEC Other Projects'!$AG$2:$AG$9)+X72</f>
        <v>15.9</v>
      </c>
      <c r="Z72" s="8"/>
    </row>
    <row r="73" spans="1:26" s="19" customFormat="1">
      <c r="B73" s="30"/>
      <c r="C73" s="51" t="s">
        <v>5354</v>
      </c>
      <c r="D73" s="51"/>
      <c r="E73" s="798">
        <f>48.71-35.5</f>
        <v>13.21</v>
      </c>
      <c r="F73" s="798">
        <f t="shared" ref="F73:Y73" si="87">48.71-35.5</f>
        <v>13.21</v>
      </c>
      <c r="G73" s="798">
        <f t="shared" si="87"/>
        <v>13.21</v>
      </c>
      <c r="H73" s="798">
        <f t="shared" si="87"/>
        <v>13.21</v>
      </c>
      <c r="I73" s="798">
        <f t="shared" si="87"/>
        <v>13.21</v>
      </c>
      <c r="J73" s="798">
        <f t="shared" si="87"/>
        <v>13.21</v>
      </c>
      <c r="K73" s="798">
        <f t="shared" si="87"/>
        <v>13.21</v>
      </c>
      <c r="L73" s="798">
        <f t="shared" si="87"/>
        <v>13.21</v>
      </c>
      <c r="M73" s="798">
        <f t="shared" si="87"/>
        <v>13.21</v>
      </c>
      <c r="N73" s="798">
        <f t="shared" si="87"/>
        <v>13.21</v>
      </c>
      <c r="O73" s="798">
        <f t="shared" si="87"/>
        <v>13.21</v>
      </c>
      <c r="P73" s="798">
        <f t="shared" si="87"/>
        <v>13.21</v>
      </c>
      <c r="Q73" s="798">
        <f t="shared" si="87"/>
        <v>13.21</v>
      </c>
      <c r="R73" s="798">
        <f t="shared" si="87"/>
        <v>13.21</v>
      </c>
      <c r="S73" s="798">
        <f t="shared" si="87"/>
        <v>13.21</v>
      </c>
      <c r="T73" s="798">
        <f t="shared" si="87"/>
        <v>13.21</v>
      </c>
      <c r="U73" s="798">
        <f t="shared" si="87"/>
        <v>13.21</v>
      </c>
      <c r="V73" s="798">
        <f t="shared" si="87"/>
        <v>13.21</v>
      </c>
      <c r="W73" s="798">
        <f t="shared" si="87"/>
        <v>13.21</v>
      </c>
      <c r="X73" s="798">
        <f t="shared" si="87"/>
        <v>13.21</v>
      </c>
      <c r="Y73" s="798">
        <f t="shared" si="87"/>
        <v>13.21</v>
      </c>
      <c r="Z73" s="8"/>
    </row>
    <row r="74" spans="1:26" s="7" customFormat="1">
      <c r="C74" s="7" t="s">
        <v>4247</v>
      </c>
      <c r="E74" s="5">
        <f>SUM(E71:E73)</f>
        <v>15.110000000000001</v>
      </c>
      <c r="F74" s="5">
        <f t="shared" ref="F74:Y74" si="88">SUM(F71:F73)</f>
        <v>15.110000000000001</v>
      </c>
      <c r="G74" s="5">
        <f t="shared" si="88"/>
        <v>329.10999999999996</v>
      </c>
      <c r="H74" s="5">
        <f t="shared" si="88"/>
        <v>329.10999999999996</v>
      </c>
      <c r="I74" s="5">
        <f t="shared" si="88"/>
        <v>329.10999999999996</v>
      </c>
      <c r="J74" s="5">
        <f t="shared" si="88"/>
        <v>329.10999999999996</v>
      </c>
      <c r="K74" s="5">
        <f t="shared" si="88"/>
        <v>329.10999999999996</v>
      </c>
      <c r="L74" s="5">
        <f t="shared" si="88"/>
        <v>329.10999999999996</v>
      </c>
      <c r="M74" s="5">
        <f t="shared" si="88"/>
        <v>329.10999999999996</v>
      </c>
      <c r="N74" s="5">
        <f t="shared" si="88"/>
        <v>329.10999999999996</v>
      </c>
      <c r="O74" s="5">
        <f t="shared" si="88"/>
        <v>329.10999999999996</v>
      </c>
      <c r="P74" s="5">
        <f t="shared" si="88"/>
        <v>329.10999999999996</v>
      </c>
      <c r="Q74" s="5">
        <f t="shared" si="88"/>
        <v>329.10999999999996</v>
      </c>
      <c r="R74" s="5">
        <f t="shared" si="88"/>
        <v>329.10999999999996</v>
      </c>
      <c r="S74" s="5">
        <f t="shared" si="88"/>
        <v>329.10999999999996</v>
      </c>
      <c r="T74" s="5">
        <f t="shared" si="88"/>
        <v>329.10999999999996</v>
      </c>
      <c r="U74" s="5">
        <f t="shared" si="88"/>
        <v>329.10999999999996</v>
      </c>
      <c r="V74" s="5">
        <f t="shared" si="88"/>
        <v>329.10999999999996</v>
      </c>
      <c r="W74" s="5">
        <f t="shared" si="88"/>
        <v>329.10999999999996</v>
      </c>
      <c r="X74" s="5">
        <f t="shared" si="88"/>
        <v>329.10999999999996</v>
      </c>
      <c r="Y74" s="5">
        <f t="shared" si="88"/>
        <v>329.10999999999996</v>
      </c>
      <c r="Z74" s="8"/>
    </row>
    <row r="75" spans="1:26" s="19" customFormat="1">
      <c r="B75" s="30" t="s">
        <v>5182</v>
      </c>
      <c r="C75" s="51"/>
      <c r="D75" s="51"/>
      <c r="E75" s="661"/>
      <c r="F75" s="661"/>
      <c r="G75" s="661"/>
      <c r="H75" s="661"/>
      <c r="I75" s="5"/>
      <c r="J75" s="5"/>
      <c r="K75" s="5"/>
      <c r="L75" s="5"/>
      <c r="M75" s="5"/>
      <c r="N75" s="5"/>
      <c r="O75" s="5"/>
      <c r="P75" s="5"/>
      <c r="Q75" s="5"/>
      <c r="R75" s="5"/>
      <c r="S75" s="5"/>
      <c r="T75" s="5"/>
      <c r="U75" s="5"/>
      <c r="V75" s="5"/>
      <c r="W75" s="5"/>
      <c r="X75" s="5"/>
      <c r="Y75" s="5"/>
      <c r="Z75" s="8"/>
    </row>
    <row r="76" spans="1:26" s="19" customFormat="1">
      <c r="B76" s="30"/>
      <c r="C76" s="19" t="s">
        <v>5355</v>
      </c>
      <c r="D76" s="51"/>
      <c r="E76" s="798">
        <v>0</v>
      </c>
      <c r="F76" s="798">
        <v>0</v>
      </c>
      <c r="G76" s="798">
        <v>0</v>
      </c>
      <c r="H76" s="798">
        <v>0</v>
      </c>
      <c r="I76" s="798">
        <v>0</v>
      </c>
      <c r="J76" s="798">
        <v>200</v>
      </c>
      <c r="K76" s="798">
        <v>200</v>
      </c>
      <c r="L76" s="798">
        <v>200</v>
      </c>
      <c r="M76" s="798">
        <v>200</v>
      </c>
      <c r="N76" s="798">
        <v>200</v>
      </c>
      <c r="O76" s="798">
        <v>200</v>
      </c>
      <c r="P76" s="798">
        <v>200</v>
      </c>
      <c r="Q76" s="798">
        <v>200</v>
      </c>
      <c r="R76" s="798">
        <v>200</v>
      </c>
      <c r="S76" s="798">
        <v>200</v>
      </c>
      <c r="T76" s="798">
        <v>200</v>
      </c>
      <c r="U76" s="798">
        <v>200</v>
      </c>
      <c r="V76" s="798">
        <v>200</v>
      </c>
      <c r="W76" s="798">
        <v>200</v>
      </c>
      <c r="X76" s="798">
        <v>200</v>
      </c>
      <c r="Y76" s="798">
        <v>200</v>
      </c>
      <c r="Z76" s="8"/>
    </row>
    <row r="77" spans="1:26" s="19" customFormat="1">
      <c r="C77" s="19" t="s">
        <v>5356</v>
      </c>
      <c r="E77" s="33">
        <v>0</v>
      </c>
      <c r="F77" s="33">
        <v>0</v>
      </c>
      <c r="G77" s="33">
        <v>0</v>
      </c>
      <c r="H77" s="33">
        <v>0</v>
      </c>
      <c r="I77" s="33">
        <v>0</v>
      </c>
      <c r="J77" s="33">
        <v>1000</v>
      </c>
      <c r="K77" s="33">
        <v>1000</v>
      </c>
      <c r="L77" s="33">
        <v>1000</v>
      </c>
      <c r="M77" s="33">
        <v>1000</v>
      </c>
      <c r="N77" s="33">
        <v>1000</v>
      </c>
      <c r="O77" s="33">
        <v>1000</v>
      </c>
      <c r="P77" s="33">
        <v>1000</v>
      </c>
      <c r="Q77" s="33">
        <v>1000</v>
      </c>
      <c r="R77" s="33">
        <v>1000</v>
      </c>
      <c r="S77" s="33">
        <v>1000</v>
      </c>
      <c r="T77" s="33">
        <v>1000</v>
      </c>
      <c r="U77" s="33">
        <v>1000</v>
      </c>
      <c r="V77" s="33">
        <v>1000</v>
      </c>
      <c r="W77" s="33">
        <v>1000</v>
      </c>
      <c r="X77" s="33">
        <v>1000</v>
      </c>
      <c r="Y77" s="33">
        <v>1000</v>
      </c>
      <c r="Z77" s="8"/>
    </row>
    <row r="78" spans="1:26" s="19" customFormat="1">
      <c r="C78" s="19" t="s">
        <v>5183</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8"/>
    </row>
    <row r="79" spans="1:26">
      <c r="B79" s="17" t="s">
        <v>5184</v>
      </c>
    </row>
    <row r="80" spans="1:26" s="7" customFormat="1">
      <c r="A80" s="31"/>
      <c r="C80" s="7" t="s">
        <v>3333</v>
      </c>
      <c r="D80" s="3" t="s">
        <v>5365</v>
      </c>
      <c r="E80" s="33">
        <v>1180.2032530237582</v>
      </c>
      <c r="F80" s="33">
        <v>2382.7812958653544</v>
      </c>
      <c r="G80" s="33">
        <v>3783.5372472090858</v>
      </c>
      <c r="H80" s="33">
        <v>3945.4692547051231</v>
      </c>
      <c r="I80" s="33">
        <v>4024.9777568127251</v>
      </c>
      <c r="J80" s="33">
        <v>5318.502291591175</v>
      </c>
      <c r="K80" s="33">
        <v>5738.218040697041</v>
      </c>
      <c r="L80" s="33">
        <v>5795.3077914332489</v>
      </c>
      <c r="M80" s="33">
        <v>5856.8903990258905</v>
      </c>
      <c r="N80" s="33">
        <v>5938.5116247074193</v>
      </c>
      <c r="O80" s="33">
        <v>5938.5116247074193</v>
      </c>
      <c r="P80" s="33">
        <v>5997.914494542194</v>
      </c>
      <c r="Q80" s="33">
        <v>6057.3173643769678</v>
      </c>
      <c r="R80" s="33">
        <v>6116.7202342117416</v>
      </c>
      <c r="S80" s="33">
        <v>6176.1231040465154</v>
      </c>
      <c r="T80" s="33">
        <v>6235.5259738812892</v>
      </c>
      <c r="U80" s="33">
        <v>6294.9288437160631</v>
      </c>
      <c r="V80" s="33">
        <v>6354.3317135508369</v>
      </c>
      <c r="W80" s="33">
        <v>6413.7345833856107</v>
      </c>
      <c r="X80" s="33">
        <v>6473.1374532203845</v>
      </c>
      <c r="Y80" s="33">
        <v>6532.5403230551583</v>
      </c>
      <c r="Z80" s="8"/>
    </row>
    <row r="81" spans="1:26" s="19" customFormat="1">
      <c r="A81" s="31"/>
      <c r="C81" s="19" t="s">
        <v>3333</v>
      </c>
      <c r="D81" s="3" t="s">
        <v>5366</v>
      </c>
      <c r="E81" s="33">
        <v>1255.4112950624187</v>
      </c>
      <c r="F81" s="33">
        <v>2708.0556963846429</v>
      </c>
      <c r="G81" s="33">
        <v>4108.8116477283738</v>
      </c>
      <c r="H81" s="33">
        <v>4306.2049026947534</v>
      </c>
      <c r="I81" s="33">
        <v>4385.7134048023563</v>
      </c>
      <c r="J81" s="33">
        <v>5679.2379395808066</v>
      </c>
      <c r="K81" s="33">
        <v>6098.9536886866726</v>
      </c>
      <c r="L81" s="33">
        <v>6156.0434394228805</v>
      </c>
      <c r="M81" s="33">
        <v>6217.6260470155221</v>
      </c>
      <c r="N81" s="33">
        <v>6299.24727269705</v>
      </c>
      <c r="O81" s="33">
        <v>6299.24727269705</v>
      </c>
      <c r="P81" s="33">
        <v>6433.8774446658826</v>
      </c>
      <c r="Q81" s="33">
        <v>6568.5076166347153</v>
      </c>
      <c r="R81" s="33">
        <v>6703.137788603548</v>
      </c>
      <c r="S81" s="33">
        <v>6837.7679605723806</v>
      </c>
      <c r="T81" s="33">
        <v>6972.3981325412133</v>
      </c>
      <c r="U81" s="33">
        <v>7107.0283045100459</v>
      </c>
      <c r="V81" s="33">
        <v>7241.6584764788786</v>
      </c>
      <c r="W81" s="33">
        <v>7376.2886484477112</v>
      </c>
      <c r="X81" s="33">
        <v>7510.9188204165439</v>
      </c>
      <c r="Y81" s="33">
        <v>7645.5489923853766</v>
      </c>
      <c r="Z81" s="8"/>
    </row>
    <row r="82" spans="1:26" s="19" customFormat="1">
      <c r="A82" s="31"/>
      <c r="C82" s="19" t="s">
        <v>3333</v>
      </c>
      <c r="D82" s="3" t="s">
        <v>5373</v>
      </c>
      <c r="E82" s="33">
        <v>1611.8668742517748</v>
      </c>
      <c r="F82" s="33">
        <v>3122.7123794959807</v>
      </c>
      <c r="G82" s="33">
        <v>4523.4683308397116</v>
      </c>
      <c r="H82" s="33">
        <v>4917.771247230261</v>
      </c>
      <c r="I82" s="33">
        <v>4997.279749337863</v>
      </c>
      <c r="J82" s="33">
        <v>6290.8042841163142</v>
      </c>
      <c r="K82" s="33">
        <v>6710.5200332221802</v>
      </c>
      <c r="L82" s="33">
        <v>6767.6097839583872</v>
      </c>
      <c r="M82" s="33">
        <v>6829.1923915510288</v>
      </c>
      <c r="N82" s="33">
        <v>6910.8136172325567</v>
      </c>
      <c r="O82" s="33">
        <v>6910.8136172325567</v>
      </c>
      <c r="P82" s="33">
        <v>7121.4132146459251</v>
      </c>
      <c r="Q82" s="33">
        <v>7332.0128120592935</v>
      </c>
      <c r="R82" s="33">
        <v>7542.612409472662</v>
      </c>
      <c r="S82" s="33">
        <v>7753.2120068860304</v>
      </c>
      <c r="T82" s="33">
        <v>7963.8116042993988</v>
      </c>
      <c r="U82" s="33">
        <v>8174.4112017127673</v>
      </c>
      <c r="V82" s="33">
        <v>8385.0107991261357</v>
      </c>
      <c r="W82" s="33">
        <v>8595.6103965395032</v>
      </c>
      <c r="X82" s="33">
        <v>8806.2099939528707</v>
      </c>
      <c r="Y82" s="33">
        <v>9016.8095913662382</v>
      </c>
      <c r="Z82" s="8"/>
    </row>
    <row r="83" spans="1:26" s="19" customFormat="1">
      <c r="A83" s="31"/>
      <c r="C83" s="19" t="s">
        <v>3333</v>
      </c>
      <c r="D83" s="3" t="s">
        <v>5401</v>
      </c>
      <c r="E83" s="33">
        <v>1147.562891532699</v>
      </c>
      <c r="F83" s="33">
        <v>2322.9077383679569</v>
      </c>
      <c r="G83" s="33">
        <v>3723.6636897116873</v>
      </c>
      <c r="H83" s="33">
        <v>3885.5956972077247</v>
      </c>
      <c r="I83" s="33">
        <v>3965.1041993153267</v>
      </c>
      <c r="J83" s="33">
        <v>4858.2360825977285</v>
      </c>
      <c r="K83" s="33">
        <v>5277.9518317035954</v>
      </c>
      <c r="L83" s="33">
        <v>5335.0415824398024</v>
      </c>
      <c r="M83" s="33">
        <v>5396.6241900324439</v>
      </c>
      <c r="N83" s="33">
        <v>5478.2454157139719</v>
      </c>
      <c r="O83" s="33">
        <v>5478.2454157139719</v>
      </c>
      <c r="P83" s="33">
        <v>5551.9423160485057</v>
      </c>
      <c r="Q83" s="33">
        <v>5625.6392163830396</v>
      </c>
      <c r="R83" s="33">
        <v>5699.3361167175735</v>
      </c>
      <c r="S83" s="33">
        <v>5773.0330170521074</v>
      </c>
      <c r="T83" s="33">
        <v>5846.7299173866413</v>
      </c>
      <c r="U83" s="33">
        <v>5920.4268177211752</v>
      </c>
      <c r="V83" s="33">
        <v>5994.1237180557091</v>
      </c>
      <c r="W83" s="33">
        <v>6067.820618390243</v>
      </c>
      <c r="X83" s="33">
        <v>6141.5175187247769</v>
      </c>
      <c r="Y83" s="33">
        <v>6215.2144190593108</v>
      </c>
      <c r="Z83" s="8"/>
    </row>
    <row r="84" spans="1:26" s="19" customFormat="1">
      <c r="A84" s="31"/>
      <c r="C84" s="19" t="s">
        <v>3333</v>
      </c>
      <c r="D84" s="3" t="s">
        <v>5376</v>
      </c>
      <c r="E84" s="33">
        <v>1256.9954624154368</v>
      </c>
      <c r="F84" s="33">
        <v>2519.3512222516351</v>
      </c>
      <c r="G84" s="33">
        <v>4254.5620993970815</v>
      </c>
      <c r="H84" s="33">
        <v>4467.5602044685465</v>
      </c>
      <c r="I84" s="33">
        <v>4626.1594107191941</v>
      </c>
      <c r="J84" s="33">
        <v>4864.2025116854047</v>
      </c>
      <c r="K84" s="33">
        <v>5139.7951765902981</v>
      </c>
      <c r="L84" s="33">
        <v>5365.821158336912</v>
      </c>
      <c r="M84" s="33">
        <v>5522.9420260852439</v>
      </c>
      <c r="N84" s="33">
        <v>5675.5490241395573</v>
      </c>
      <c r="O84" s="33">
        <v>5675.5490241395573</v>
      </c>
      <c r="P84" s="33">
        <v>5675.5490241395573</v>
      </c>
      <c r="Q84" s="33">
        <v>5675.5490241395573</v>
      </c>
      <c r="R84" s="33">
        <v>5675.5490241395573</v>
      </c>
      <c r="S84" s="33">
        <v>5675.5490241395573</v>
      </c>
      <c r="T84" s="33">
        <v>5675.5490241395573</v>
      </c>
      <c r="U84" s="33">
        <v>5675.5490241395573</v>
      </c>
      <c r="V84" s="33">
        <v>5675.5490241395573</v>
      </c>
      <c r="W84" s="33">
        <v>5675.5490241395573</v>
      </c>
      <c r="X84" s="33">
        <v>5675.5490241395573</v>
      </c>
      <c r="Y84" s="33">
        <v>5675.5490241395573</v>
      </c>
      <c r="Z84" s="8"/>
    </row>
    <row r="85" spans="1:26" s="19" customFormat="1">
      <c r="A85" s="31"/>
      <c r="C85" s="19" t="s">
        <v>3333</v>
      </c>
      <c r="D85" s="3" t="s">
        <v>5375</v>
      </c>
      <c r="E85" s="33">
        <v>2025.62942077506</v>
      </c>
      <c r="F85" s="33">
        <v>4066.5911070191196</v>
      </c>
      <c r="G85" s="33">
        <v>6213.5638090502998</v>
      </c>
      <c r="H85" s="33">
        <v>7026.4545577481158</v>
      </c>
      <c r="I85" s="33">
        <v>7217.3380623471903</v>
      </c>
      <c r="J85" s="33">
        <v>8719.34880578505</v>
      </c>
      <c r="K85" s="33">
        <v>9370.655421160458</v>
      </c>
      <c r="L85" s="33">
        <v>9731.8362650963663</v>
      </c>
      <c r="M85" s="33">
        <v>10056.0020608627</v>
      </c>
      <c r="N85" s="33">
        <v>10224.665738295835</v>
      </c>
      <c r="O85" s="33">
        <v>10224.665738295835</v>
      </c>
      <c r="P85" s="33">
        <v>10328.345474680635</v>
      </c>
      <c r="Q85" s="33">
        <v>10432.025211065435</v>
      </c>
      <c r="R85" s="33">
        <v>10535.704947450235</v>
      </c>
      <c r="S85" s="33">
        <v>10639.384683835035</v>
      </c>
      <c r="T85" s="33">
        <v>10743.064420219835</v>
      </c>
      <c r="U85" s="33">
        <v>10846.744156604635</v>
      </c>
      <c r="V85" s="33">
        <v>10950.423892989435</v>
      </c>
      <c r="W85" s="33">
        <v>11054.103629374235</v>
      </c>
      <c r="X85" s="33">
        <v>11157.783365759034</v>
      </c>
      <c r="Y85" s="33">
        <v>11261.463102143834</v>
      </c>
      <c r="Z85" s="8"/>
    </row>
    <row r="86" spans="1:26" s="19" customFormat="1">
      <c r="A86" s="31"/>
      <c r="C86" s="19" t="s">
        <v>3333</v>
      </c>
      <c r="D86" s="3" t="s">
        <v>5374</v>
      </c>
      <c r="E86" s="33">
        <v>1589.009614007342</v>
      </c>
      <c r="F86" s="33">
        <v>3316.0722969200233</v>
      </c>
      <c r="G86" s="33">
        <v>5463.0449989512008</v>
      </c>
      <c r="H86" s="33">
        <v>5703.2018961130816</v>
      </c>
      <c r="I86" s="33">
        <v>5894.0854007121561</v>
      </c>
      <c r="J86" s="33">
        <v>6167.3813492545096</v>
      </c>
      <c r="K86" s="33">
        <v>6818.6879646299185</v>
      </c>
      <c r="L86" s="33">
        <v>7179.868808565825</v>
      </c>
      <c r="M86" s="33">
        <v>7504.0346043321597</v>
      </c>
      <c r="N86" s="33">
        <v>7672.6982817652952</v>
      </c>
      <c r="O86" s="33">
        <v>7672.6982817652952</v>
      </c>
      <c r="P86" s="33">
        <v>7672.6982817652952</v>
      </c>
      <c r="Q86" s="33">
        <v>7672.6982817652952</v>
      </c>
      <c r="R86" s="33">
        <v>7672.6982817652952</v>
      </c>
      <c r="S86" s="33">
        <v>7672.6982817652952</v>
      </c>
      <c r="T86" s="33">
        <v>7672.6982817652952</v>
      </c>
      <c r="U86" s="33">
        <v>7672.6982817652952</v>
      </c>
      <c r="V86" s="33">
        <v>7672.6982817652952</v>
      </c>
      <c r="W86" s="33">
        <v>7672.6982817652952</v>
      </c>
      <c r="X86" s="33">
        <v>7672.6982817652952</v>
      </c>
      <c r="Y86" s="33">
        <v>7672.6982817652952</v>
      </c>
      <c r="Z86" s="8"/>
    </row>
    <row r="87" spans="1:26" s="31" customFormat="1">
      <c r="D87" s="660"/>
      <c r="E87" s="32"/>
      <c r="F87" s="32"/>
      <c r="G87" s="32"/>
      <c r="H87" s="32"/>
      <c r="I87" s="32"/>
      <c r="J87" s="32"/>
      <c r="K87" s="32"/>
      <c r="L87" s="32"/>
      <c r="M87" s="32"/>
      <c r="N87" s="32"/>
      <c r="O87" s="32"/>
      <c r="P87" s="32"/>
      <c r="Q87" s="32"/>
      <c r="R87" s="32"/>
      <c r="S87" s="32"/>
      <c r="T87" s="32"/>
      <c r="U87" s="32"/>
      <c r="V87" s="32"/>
      <c r="W87" s="32"/>
      <c r="X87" s="32"/>
      <c r="Y87" s="32"/>
      <c r="Z87" s="8"/>
    </row>
    <row r="88" spans="1:26">
      <c r="B88" s="17"/>
      <c r="E88" s="5"/>
      <c r="F88" s="5"/>
      <c r="G88" s="5"/>
      <c r="H88" s="5"/>
      <c r="I88" s="5"/>
      <c r="J88" s="5"/>
      <c r="K88" s="5"/>
      <c r="L88" s="5"/>
      <c r="M88" s="5"/>
      <c r="N88" s="5"/>
      <c r="O88" s="5"/>
      <c r="P88" s="5"/>
      <c r="Q88" s="5"/>
      <c r="R88" s="5"/>
      <c r="S88" s="5"/>
      <c r="T88" s="5"/>
      <c r="U88" s="5"/>
      <c r="V88" s="5"/>
      <c r="W88" s="5"/>
      <c r="X88" s="5"/>
      <c r="Y88" s="5"/>
    </row>
    <row r="89" spans="1:26" s="31" customFormat="1">
      <c r="B89" s="63" t="s">
        <v>5198</v>
      </c>
      <c r="C89" s="64"/>
      <c r="D89" s="64"/>
      <c r="E89" s="64"/>
      <c r="F89" s="65"/>
      <c r="G89" s="65"/>
      <c r="H89" s="65"/>
      <c r="I89" s="65"/>
      <c r="J89" s="65"/>
      <c r="K89" s="65"/>
      <c r="L89" s="65"/>
      <c r="M89" s="65"/>
      <c r="N89" s="65"/>
      <c r="O89" s="65"/>
      <c r="P89" s="65"/>
      <c r="Q89" s="65"/>
      <c r="R89" s="65"/>
      <c r="S89" s="65"/>
      <c r="T89" s="65"/>
      <c r="U89" s="65"/>
      <c r="V89" s="65"/>
      <c r="W89" s="65"/>
      <c r="X89" s="65"/>
      <c r="Y89" s="65"/>
      <c r="Z89" s="8"/>
    </row>
    <row r="90" spans="1:26" s="19" customFormat="1">
      <c r="B90" s="17" t="s">
        <v>5185</v>
      </c>
      <c r="D90" s="1"/>
      <c r="E90" s="5"/>
      <c r="F90" s="5"/>
      <c r="G90" s="5"/>
      <c r="H90" s="5"/>
      <c r="I90" s="5"/>
      <c r="J90" s="5"/>
      <c r="K90" s="5"/>
      <c r="L90" s="5"/>
      <c r="M90" s="5"/>
      <c r="N90" s="5"/>
      <c r="O90" s="5"/>
      <c r="P90" s="5"/>
      <c r="Q90" s="5"/>
      <c r="R90" s="5"/>
      <c r="S90" s="5"/>
      <c r="T90" s="5"/>
      <c r="U90" s="5"/>
      <c r="V90" s="5"/>
      <c r="W90" s="5"/>
      <c r="X90" s="5"/>
      <c r="Y90" s="5"/>
      <c r="Z90" s="8"/>
    </row>
    <row r="91" spans="1:26" s="19" customFormat="1">
      <c r="B91" s="17" t="s">
        <v>5187</v>
      </c>
      <c r="D91" s="1"/>
      <c r="E91" s="5"/>
      <c r="F91" s="5"/>
      <c r="G91" s="5"/>
      <c r="H91" s="5"/>
      <c r="I91" s="5"/>
      <c r="J91" s="5"/>
      <c r="K91" s="5"/>
      <c r="L91" s="5"/>
      <c r="M91" s="5"/>
      <c r="N91" s="5"/>
      <c r="O91" s="5"/>
      <c r="P91" s="5"/>
      <c r="Q91" s="5"/>
      <c r="R91" s="5"/>
      <c r="S91" s="5"/>
      <c r="T91" s="5"/>
      <c r="U91" s="5"/>
      <c r="V91" s="5"/>
      <c r="W91" s="5"/>
      <c r="X91" s="5"/>
      <c r="Y91" s="5"/>
      <c r="Z91" s="8"/>
    </row>
    <row r="92" spans="1:26" s="19" customFormat="1">
      <c r="B92" s="17" t="s">
        <v>5188</v>
      </c>
      <c r="D92" s="1"/>
      <c r="E92" s="5"/>
      <c r="F92" s="5"/>
      <c r="G92" s="5"/>
      <c r="H92" s="5"/>
      <c r="I92" s="5"/>
      <c r="J92" s="5"/>
      <c r="K92" s="5"/>
      <c r="L92" s="5"/>
      <c r="M92" s="5"/>
      <c r="N92" s="5"/>
      <c r="O92" s="5"/>
      <c r="P92" s="5"/>
      <c r="Q92" s="5"/>
      <c r="R92" s="5"/>
      <c r="S92" s="5"/>
      <c r="T92" s="5"/>
      <c r="U92" s="5"/>
      <c r="V92" s="5"/>
      <c r="W92" s="5"/>
      <c r="X92" s="5"/>
      <c r="Y92" s="5"/>
      <c r="Z92" s="8"/>
    </row>
    <row r="93" spans="1:26" s="19" customFormat="1">
      <c r="B93" s="662"/>
      <c r="C93" s="19" t="s">
        <v>4387</v>
      </c>
      <c r="D93" s="3" t="str">
        <f>D53</f>
        <v>OTC Non Nuclear</v>
      </c>
      <c r="E93" s="5">
        <f>SUMIFS('Final 2014 NQC List'!$K$2:$K$743,'Final 2014 NQC List'!$X$2:$X$743,"OTC",'Final 2014 NQC List'!$V$2:$V$743,"&lt;&gt;NUCLEAR",'Final 2014 NQC List'!$Y$2:$Y$743,"&lt;="&amp;DATE(E$2,6,1))</f>
        <v>650</v>
      </c>
      <c r="F93" s="5">
        <f>SUMIFS('Final 2014 NQC List'!$K$2:$K$743,'Final 2014 NQC List'!$X$2:$X$743,"OTC",'Final 2014 NQC List'!$V$2:$V$743,"&lt;&gt;NUCLEAR",'Final 2014 NQC List'!$Y$2:$Y$743,"&lt;="&amp;DATE(F$2,6,1))</f>
        <v>650</v>
      </c>
      <c r="G93" s="5">
        <f>SUMIFS('Final 2014 NQC List'!$K$2:$K$743,'Final 2014 NQC List'!$X$2:$X$743,"OTC",'Final 2014 NQC List'!$V$2:$V$743,"&lt;&gt;NUCLEAR",'Final 2014 NQC List'!$Y$2:$Y$743,"&lt;="&amp;DATE(G$2,6,1))</f>
        <v>985</v>
      </c>
      <c r="H93" s="5">
        <f>SUMIFS('Final 2014 NQC List'!$K$2:$K$743,'Final 2014 NQC List'!$X$2:$X$743,"OTC",'Final 2014 NQC List'!$V$2:$V$743,"&lt;&gt;NUCLEAR",'Final 2014 NQC List'!$Y$2:$Y$743,"&lt;="&amp;DATE(H$2,6,1))</f>
        <v>985</v>
      </c>
      <c r="I93" s="5">
        <f>SUMIFS('Final 2014 NQC List'!$K$2:$K$743,'Final 2014 NQC List'!$X$2:$X$743,"OTC",'Final 2014 NQC List'!$V$2:$V$743,"&lt;&gt;NUCLEAR",'Final 2014 NQC List'!$Y$2:$Y$743,"&lt;="&amp;DATE(I$2,6,1))</f>
        <v>5790.53</v>
      </c>
      <c r="J93" s="5">
        <f>SUMIFS('Final 2014 NQC List'!$K$2:$K$743,'Final 2014 NQC List'!$X$2:$X$743,"OTC",'Final 2014 NQC List'!$V$2:$V$743,"&lt;&gt;NUCLEAR",'Final 2014 NQC List'!$Y$2:$Y$743,"&lt;="&amp;DATE(J$2,6,1))</f>
        <v>5790.53</v>
      </c>
      <c r="K93" s="5">
        <f>SUMIFS('Final 2014 NQC List'!$K$2:$K$743,'Final 2014 NQC List'!$X$2:$X$743,"OTC",'Final 2014 NQC List'!$V$2:$V$743,"&lt;&gt;NUCLEAR",'Final 2014 NQC List'!$Y$2:$Y$743,"&lt;="&amp;DATE(K$2,6,1))</f>
        <v>5790.53</v>
      </c>
      <c r="L93" s="5">
        <f>SUMIFS('Final 2014 NQC List'!$K$2:$K$743,'Final 2014 NQC List'!$X$2:$X$743,"OTC",'Final 2014 NQC List'!$V$2:$V$743,"&lt;&gt;NUCLEAR",'Final 2014 NQC List'!$Y$2:$Y$743,"&lt;="&amp;DATE(L$2,6,1))</f>
        <v>11684.75</v>
      </c>
      <c r="M93" s="5">
        <f>SUMIFS('Final 2014 NQC List'!$K$2:$K$743,'Final 2014 NQC List'!$X$2:$X$743,"OTC",'Final 2014 NQC List'!$V$2:$V$743,"&lt;&gt;NUCLEAR",'Final 2014 NQC List'!$Y$2:$Y$743,"&lt;="&amp;DATE(M$2,6,1))</f>
        <v>11684.75</v>
      </c>
      <c r="N93" s="5">
        <f>SUMIFS('Final 2014 NQC List'!$K$2:$K$743,'Final 2014 NQC List'!$X$2:$X$743,"OTC",'Final 2014 NQC List'!$V$2:$V$743,"&lt;&gt;NUCLEAR",'Final 2014 NQC List'!$Y$2:$Y$743,"&lt;="&amp;DATE(N$2,6,1))</f>
        <v>11684.75</v>
      </c>
      <c r="O93" s="5">
        <f>SUMIFS('Final 2014 NQC List'!$K$2:$K$743,'Final 2014 NQC List'!$X$2:$X$743,"OTC",'Final 2014 NQC List'!$V$2:$V$743,"&lt;&gt;NUCLEAR",'Final 2014 NQC List'!$Y$2:$Y$743,"&lt;="&amp;DATE(O$2,6,1))</f>
        <v>11684.75</v>
      </c>
      <c r="P93" s="5">
        <f>SUMIFS('Final 2014 NQC List'!$K$2:$K$743,'Final 2014 NQC List'!$X$2:$X$743,"OTC",'Final 2014 NQC List'!$V$2:$V$743,"&lt;&gt;NUCLEAR",'Final 2014 NQC List'!$Y$2:$Y$743,"&lt;="&amp;DATE(P$2,6,1))</f>
        <v>11684.75</v>
      </c>
      <c r="Q93" s="5">
        <f>SUMIFS('Final 2014 NQC List'!$K$2:$K$743,'Final 2014 NQC List'!$X$2:$X$743,"OTC",'Final 2014 NQC List'!$V$2:$V$743,"&lt;&gt;NUCLEAR",'Final 2014 NQC List'!$Y$2:$Y$743,"&lt;="&amp;DATE(Q$2,6,1))</f>
        <v>11684.75</v>
      </c>
      <c r="R93" s="5">
        <f>SUMIFS('Final 2014 NQC List'!$K$2:$K$743,'Final 2014 NQC List'!$X$2:$X$743,"OTC",'Final 2014 NQC List'!$V$2:$V$743,"&lt;&gt;NUCLEAR",'Final 2014 NQC List'!$Y$2:$Y$743,"&lt;="&amp;DATE(R$2,6,1))</f>
        <v>11684.75</v>
      </c>
      <c r="S93" s="5">
        <f>SUMIFS('Final 2014 NQC List'!$K$2:$K$743,'Final 2014 NQC List'!$X$2:$X$743,"OTC",'Final 2014 NQC List'!$V$2:$V$743,"&lt;&gt;NUCLEAR",'Final 2014 NQC List'!$Y$2:$Y$743,"&lt;="&amp;DATE(S$2,6,1))</f>
        <v>11684.75</v>
      </c>
      <c r="T93" s="5">
        <f>SUMIFS('Final 2014 NQC List'!$K$2:$K$743,'Final 2014 NQC List'!$X$2:$X$743,"OTC",'Final 2014 NQC List'!$V$2:$V$743,"&lt;&gt;NUCLEAR",'Final 2014 NQC List'!$Y$2:$Y$743,"&lt;="&amp;DATE(T$2,6,1))</f>
        <v>11684.75</v>
      </c>
      <c r="U93" s="5">
        <f>SUMIFS('Final 2014 NQC List'!$K$2:$K$743,'Final 2014 NQC List'!$X$2:$X$743,"OTC",'Final 2014 NQC List'!$V$2:$V$743,"&lt;&gt;NUCLEAR",'Final 2014 NQC List'!$Y$2:$Y$743,"&lt;="&amp;DATE(U$2,6,1))</f>
        <v>11684.75</v>
      </c>
      <c r="V93" s="5">
        <f>SUMIFS('Final 2014 NQC List'!$K$2:$K$743,'Final 2014 NQC List'!$X$2:$X$743,"OTC",'Final 2014 NQC List'!$V$2:$V$743,"&lt;&gt;NUCLEAR",'Final 2014 NQC List'!$Y$2:$Y$743,"&lt;="&amp;DATE(V$2,6,1))</f>
        <v>11684.75</v>
      </c>
      <c r="W93" s="5">
        <f>SUMIFS('Final 2014 NQC List'!$K$2:$K$743,'Final 2014 NQC List'!$X$2:$X$743,"OTC",'Final 2014 NQC List'!$V$2:$V$743,"&lt;&gt;NUCLEAR",'Final 2014 NQC List'!$Y$2:$Y$743,"&lt;="&amp;DATE(W$2,6,1))</f>
        <v>11684.75</v>
      </c>
      <c r="X93" s="5">
        <f>SUMIFS('Final 2014 NQC List'!$K$2:$K$743,'Final 2014 NQC List'!$X$2:$X$743,"OTC",'Final 2014 NQC List'!$V$2:$V$743,"&lt;&gt;NUCLEAR",'Final 2014 NQC List'!$Y$2:$Y$743,"&lt;="&amp;DATE(X$2,6,1))</f>
        <v>11684.75</v>
      </c>
      <c r="Y93" s="5">
        <f>SUMIFS('Final 2014 NQC List'!$K$2:$K$743,'Final 2014 NQC List'!$X$2:$X$743,"OTC",'Final 2014 NQC List'!$V$2:$V$743,"&lt;&gt;NUCLEAR",'Final 2014 NQC List'!$Y$2:$Y$743,"&lt;="&amp;DATE(Y$2,6,1))</f>
        <v>11684.75</v>
      </c>
      <c r="Z93" s="8"/>
    </row>
    <row r="94" spans="1:26" s="19" customFormat="1">
      <c r="B94" s="662"/>
      <c r="C94" s="19" t="s">
        <v>4271</v>
      </c>
      <c r="D94" s="3" t="str">
        <f>D54</f>
        <v>OTC Nuclear</v>
      </c>
      <c r="E94" s="5">
        <v>0</v>
      </c>
      <c r="F94" s="5">
        <f>E94</f>
        <v>0</v>
      </c>
      <c r="G94" s="5">
        <f t="shared" ref="G94:Y94" si="89">F94</f>
        <v>0</v>
      </c>
      <c r="H94" s="5">
        <f t="shared" si="89"/>
        <v>0</v>
      </c>
      <c r="I94" s="5">
        <f t="shared" si="89"/>
        <v>0</v>
      </c>
      <c r="J94" s="5">
        <f t="shared" si="89"/>
        <v>0</v>
      </c>
      <c r="K94" s="5">
        <f t="shared" si="89"/>
        <v>0</v>
      </c>
      <c r="L94" s="5">
        <f t="shared" si="89"/>
        <v>0</v>
      </c>
      <c r="M94" s="5">
        <f t="shared" si="89"/>
        <v>0</v>
      </c>
      <c r="N94" s="5">
        <f t="shared" si="89"/>
        <v>0</v>
      </c>
      <c r="O94" s="5">
        <f t="shared" si="89"/>
        <v>0</v>
      </c>
      <c r="P94" s="5">
        <f t="shared" si="89"/>
        <v>0</v>
      </c>
      <c r="Q94" s="5">
        <f t="shared" si="89"/>
        <v>0</v>
      </c>
      <c r="R94" s="5">
        <f t="shared" si="89"/>
        <v>0</v>
      </c>
      <c r="S94" s="5">
        <f t="shared" si="89"/>
        <v>0</v>
      </c>
      <c r="T94" s="5">
        <f t="shared" si="89"/>
        <v>0</v>
      </c>
      <c r="U94" s="5">
        <f t="shared" si="89"/>
        <v>0</v>
      </c>
      <c r="V94" s="5">
        <f t="shared" si="89"/>
        <v>0</v>
      </c>
      <c r="W94" s="5">
        <f t="shared" si="89"/>
        <v>0</v>
      </c>
      <c r="X94" s="5">
        <f t="shared" si="89"/>
        <v>0</v>
      </c>
      <c r="Y94" s="5">
        <f t="shared" si="89"/>
        <v>0</v>
      </c>
      <c r="Z94" s="8"/>
    </row>
    <row r="95" spans="1:26" s="19" customFormat="1">
      <c r="B95" s="662"/>
      <c r="C95" s="19" t="s">
        <v>5186</v>
      </c>
      <c r="D95" s="3" t="str">
        <f>D54</f>
        <v>OTC Nuclear</v>
      </c>
      <c r="E95" s="5">
        <f>SUMIFS('Final 2014 NQC List'!$K$2:$K$743,'Final 2014 NQC List'!$V$2:$V$743,"NUCLEAR",'Final 2014 NQC List'!$Y$2:$Y$743,"&lt;="&amp;DATE(E$2,12,31))</f>
        <v>0</v>
      </c>
      <c r="F95" s="5">
        <f>SUMIFS('Final 2014 NQC List'!$K$2:$K$743,'Final 2014 NQC List'!$V$2:$V$743,"NUCLEAR",'Final 2014 NQC List'!$Y$2:$Y$743,"&lt;="&amp;DATE(F$2,12,31))</f>
        <v>0</v>
      </c>
      <c r="G95" s="5">
        <f>SUMIFS('Final 2014 NQC List'!$K$2:$K$743,'Final 2014 NQC List'!$V$2:$V$743,"NUCLEAR",'Final 2014 NQC List'!$Y$2:$Y$743,"&lt;="&amp;DATE(G$2,12,31))</f>
        <v>0</v>
      </c>
      <c r="H95" s="5">
        <f>SUMIFS('Final 2014 NQC List'!$K$2:$K$743,'Final 2014 NQC List'!$V$2:$V$743,"NUCLEAR",'Final 2014 NQC List'!$Y$2:$Y$743,"&lt;="&amp;DATE(H$2,12,31))</f>
        <v>0</v>
      </c>
      <c r="I95" s="5">
        <f>SUMIFS('Final 2014 NQC List'!$K$2:$K$743,'Final 2014 NQC List'!$V$2:$V$743,"NUCLEAR",'Final 2014 NQC List'!$Y$2:$Y$743,"&lt;="&amp;DATE(I$2,12,31))</f>
        <v>0</v>
      </c>
      <c r="J95" s="5">
        <f>SUMIFS('Final 2014 NQC List'!$K$2:$K$743,'Final 2014 NQC List'!$V$2:$V$743,"NUCLEAR",'Final 2014 NQC List'!$Y$2:$Y$743,"&lt;="&amp;DATE(J$2,12,31))</f>
        <v>0</v>
      </c>
      <c r="K95" s="5">
        <f>SUMIFS('Final 2014 NQC List'!$K$2:$K$743,'Final 2014 NQC List'!$V$2:$V$743,"NUCLEAR",'Final 2014 NQC List'!$Y$2:$Y$743,"&lt;="&amp;DATE(K$2,12,31))</f>
        <v>0</v>
      </c>
      <c r="L95" s="5">
        <f>SUMIFS('Final 2014 NQC List'!$K$2:$K$743,'Final 2014 NQC List'!$V$2:$V$743,"NUCLEAR",'Final 2014 NQC List'!$Y$2:$Y$743,"&lt;="&amp;DATE(L$2,12,31))</f>
        <v>0</v>
      </c>
      <c r="M95" s="5">
        <f>SUMIFS('Final 2014 NQC List'!$K$2:$K$743,'Final 2014 NQC List'!$V$2:$V$743,"NUCLEAR",'Final 2014 NQC List'!$Y$2:$Y$743,"&lt;="&amp;DATE(M$2,12,31))</f>
        <v>0</v>
      </c>
      <c r="N95" s="5">
        <f>SUMIFS('Final 2014 NQC List'!$K$2:$K$743,'Final 2014 NQC List'!$V$2:$V$743,"NUCLEAR",'Final 2014 NQC List'!$Y$2:$Y$743,"&lt;="&amp;DATE(N$2,12,31))</f>
        <v>2240</v>
      </c>
      <c r="O95" s="5">
        <f>SUMIFS('Final 2014 NQC List'!$K$2:$K$743,'Final 2014 NQC List'!$V$2:$V$743,"NUCLEAR",'Final 2014 NQC List'!$Y$2:$Y$743,"&lt;="&amp;DATE(O$2,12,31))</f>
        <v>2240</v>
      </c>
      <c r="P95" s="5">
        <f>SUMIFS('Final 2014 NQC List'!$K$2:$K$743,'Final 2014 NQC List'!$V$2:$V$743,"NUCLEAR",'Final 2014 NQC List'!$Y$2:$Y$743,"&lt;="&amp;DATE(P$2,12,31))</f>
        <v>2240</v>
      </c>
      <c r="Q95" s="5">
        <f>SUMIFS('Final 2014 NQC List'!$K$2:$K$743,'Final 2014 NQC List'!$V$2:$V$743,"NUCLEAR",'Final 2014 NQC List'!$Y$2:$Y$743,"&lt;="&amp;DATE(Q$2,12,31))</f>
        <v>2240</v>
      </c>
      <c r="R95" s="5">
        <f>SUMIFS('Final 2014 NQC List'!$K$2:$K$743,'Final 2014 NQC List'!$V$2:$V$743,"NUCLEAR",'Final 2014 NQC List'!$Y$2:$Y$743,"&lt;="&amp;DATE(R$2,12,31))</f>
        <v>2240</v>
      </c>
      <c r="S95" s="5">
        <f>SUMIFS('Final 2014 NQC List'!$K$2:$K$743,'Final 2014 NQC List'!$V$2:$V$743,"NUCLEAR",'Final 2014 NQC List'!$Y$2:$Y$743,"&lt;="&amp;DATE(S$2,12,31))</f>
        <v>2240</v>
      </c>
      <c r="T95" s="5">
        <f>SUMIFS('Final 2014 NQC List'!$K$2:$K$743,'Final 2014 NQC List'!$V$2:$V$743,"NUCLEAR",'Final 2014 NQC List'!$Y$2:$Y$743,"&lt;="&amp;DATE(T$2,12,31))</f>
        <v>2240</v>
      </c>
      <c r="U95" s="5">
        <f>SUMIFS('Final 2014 NQC List'!$K$2:$K$743,'Final 2014 NQC List'!$V$2:$V$743,"NUCLEAR",'Final 2014 NQC List'!$Y$2:$Y$743,"&lt;="&amp;DATE(U$2,12,31))</f>
        <v>2240</v>
      </c>
      <c r="V95" s="5">
        <f>SUMIFS('Final 2014 NQC List'!$K$2:$K$743,'Final 2014 NQC List'!$V$2:$V$743,"NUCLEAR",'Final 2014 NQC List'!$Y$2:$Y$743,"&lt;="&amp;DATE(V$2,12,31))</f>
        <v>2240</v>
      </c>
      <c r="W95" s="5">
        <f>SUMIFS('Final 2014 NQC List'!$K$2:$K$743,'Final 2014 NQC List'!$V$2:$V$743,"NUCLEAR",'Final 2014 NQC List'!$Y$2:$Y$743,"&lt;="&amp;DATE(W$2,12,31))</f>
        <v>2240</v>
      </c>
      <c r="X95" s="5">
        <f>SUMIFS('Final 2014 NQC List'!$K$2:$K$743,'Final 2014 NQC List'!$V$2:$V$743,"NUCLEAR",'Final 2014 NQC List'!$Y$2:$Y$743,"&lt;="&amp;DATE(X$2,12,31))</f>
        <v>2240</v>
      </c>
      <c r="Y95" s="5">
        <f>SUMIFS('Final 2014 NQC List'!$K$2:$K$743,'Final 2014 NQC List'!$V$2:$V$743,"NUCLEAR",'Final 2014 NQC List'!$Y$2:$Y$743,"&lt;="&amp;DATE(Y$2,12,31))</f>
        <v>2240</v>
      </c>
      <c r="Z95" s="8"/>
    </row>
    <row r="96" spans="1:26" s="19" customFormat="1">
      <c r="B96" s="662"/>
      <c r="C96" s="19" t="s">
        <v>0</v>
      </c>
      <c r="D96" s="3" t="str">
        <f>CONCATENATE(D55,"+",D61)</f>
        <v>Hydro+Pump</v>
      </c>
      <c r="E96" s="5">
        <v>0</v>
      </c>
      <c r="F96" s="5">
        <f>E96</f>
        <v>0</v>
      </c>
      <c r="G96" s="5">
        <f t="shared" ref="G96:Y96" si="90">F96</f>
        <v>0</v>
      </c>
      <c r="H96" s="5">
        <f t="shared" si="90"/>
        <v>0</v>
      </c>
      <c r="I96" s="5">
        <f t="shared" si="90"/>
        <v>0</v>
      </c>
      <c r="J96" s="5">
        <f t="shared" si="90"/>
        <v>0</v>
      </c>
      <c r="K96" s="5">
        <f t="shared" si="90"/>
        <v>0</v>
      </c>
      <c r="L96" s="5">
        <f t="shared" si="90"/>
        <v>0</v>
      </c>
      <c r="M96" s="5">
        <f t="shared" si="90"/>
        <v>0</v>
      </c>
      <c r="N96" s="5">
        <f t="shared" si="90"/>
        <v>0</v>
      </c>
      <c r="O96" s="5">
        <f t="shared" si="90"/>
        <v>0</v>
      </c>
      <c r="P96" s="5">
        <f t="shared" si="90"/>
        <v>0</v>
      </c>
      <c r="Q96" s="5">
        <f t="shared" si="90"/>
        <v>0</v>
      </c>
      <c r="R96" s="5">
        <f t="shared" si="90"/>
        <v>0</v>
      </c>
      <c r="S96" s="5">
        <f t="shared" si="90"/>
        <v>0</v>
      </c>
      <c r="T96" s="5">
        <f t="shared" si="90"/>
        <v>0</v>
      </c>
      <c r="U96" s="5">
        <f t="shared" si="90"/>
        <v>0</v>
      </c>
      <c r="V96" s="5">
        <f t="shared" si="90"/>
        <v>0</v>
      </c>
      <c r="W96" s="5">
        <f t="shared" si="90"/>
        <v>0</v>
      </c>
      <c r="X96" s="5">
        <f t="shared" si="90"/>
        <v>0</v>
      </c>
      <c r="Y96" s="5">
        <f t="shared" si="90"/>
        <v>0</v>
      </c>
      <c r="Z96" s="8"/>
    </row>
    <row r="97" spans="1:26" s="19" customFormat="1">
      <c r="A97" s="19" t="s">
        <v>4245</v>
      </c>
      <c r="B97" s="663">
        <v>70</v>
      </c>
      <c r="C97" s="19" t="s">
        <v>7</v>
      </c>
      <c r="D97" s="3" t="str">
        <f>CONCATENATE(D55,"+",D61)</f>
        <v>Hydro+Pump</v>
      </c>
      <c r="E97" s="5">
        <f>SUMIFS('Final 2014 NQC List'!$K$2:$K$743,'Final 2014 NQC List'!$V$2:$V$743,"HYDRO",'Final 2014 NQC List'!$S$2:$S$743,"&lt;="&amp;DATE((E$2-$B$97),12,31))+SUMIFS('Final 2014 NQC List'!$K$2:$K$743,'Final 2014 NQC List'!$V$2:$V$743,"PUMP",'Final 2014 NQC List'!$S$2:$S$743,"&lt;="&amp;DATE((E$2-$B$97),12,31))</f>
        <v>1640.14</v>
      </c>
      <c r="F97" s="5">
        <f>SUMIFS('Final 2014 NQC List'!$K$2:$K$743,'Final 2014 NQC List'!$V$2:$V$743,"HYDRO",'Final 2014 NQC List'!$S$2:$S$743,"&lt;="&amp;DATE((F$2-$B$97),12,31))+SUMIFS('Final 2014 NQC List'!$K$2:$K$743,'Final 2014 NQC List'!$V$2:$V$743,"PUMP",'Final 2014 NQC List'!$S$2:$S$743,"&lt;="&amp;DATE((F$2-$B$97),12,31))</f>
        <v>1640.14</v>
      </c>
      <c r="G97" s="5">
        <f>SUMIFS('Final 2014 NQC List'!$K$2:$K$743,'Final 2014 NQC List'!$V$2:$V$743,"HYDRO",'Final 2014 NQC List'!$S$2:$S$743,"&lt;="&amp;DATE((G$2-$B$97),12,31))+SUMIFS('Final 2014 NQC List'!$K$2:$K$743,'Final 2014 NQC List'!$V$2:$V$743,"PUMP",'Final 2014 NQC List'!$S$2:$S$743,"&lt;="&amp;DATE((G$2-$B$97),12,31))</f>
        <v>1640.14</v>
      </c>
      <c r="H97" s="5">
        <f>SUMIFS('Final 2014 NQC List'!$K$2:$K$743,'Final 2014 NQC List'!$V$2:$V$743,"HYDRO",'Final 2014 NQC List'!$S$2:$S$743,"&lt;="&amp;DATE((H$2-$B$97),12,31))+SUMIFS('Final 2014 NQC List'!$K$2:$K$743,'Final 2014 NQC List'!$V$2:$V$743,"PUMP",'Final 2014 NQC List'!$S$2:$S$743,"&lt;="&amp;DATE((H$2-$B$97),12,31))</f>
        <v>1640.75</v>
      </c>
      <c r="I97" s="5">
        <f>SUMIFS('Final 2014 NQC List'!$K$2:$K$743,'Final 2014 NQC List'!$V$2:$V$743,"HYDRO",'Final 2014 NQC List'!$S$2:$S$743,"&lt;="&amp;DATE((I$2-$B$97),12,31))+SUMIFS('Final 2014 NQC List'!$K$2:$K$743,'Final 2014 NQC List'!$V$2:$V$743,"PUMP",'Final 2014 NQC List'!$S$2:$S$743,"&lt;="&amp;DATE((I$2-$B$97),12,31))</f>
        <v>1752.75</v>
      </c>
      <c r="J97" s="5">
        <f>SUMIFS('Final 2014 NQC List'!$K$2:$K$743,'Final 2014 NQC List'!$V$2:$V$743,"HYDRO",'Final 2014 NQC List'!$S$2:$S$743,"&lt;="&amp;DATE((J$2-$B$97),12,31))+SUMIFS('Final 2014 NQC List'!$K$2:$K$743,'Final 2014 NQC List'!$V$2:$V$743,"PUMP",'Final 2014 NQC List'!$S$2:$S$743,"&lt;="&amp;DATE((J$2-$B$97),12,31))</f>
        <v>1822.75</v>
      </c>
      <c r="K97" s="5">
        <f>SUMIFS('Final 2014 NQC List'!$K$2:$K$743,'Final 2014 NQC List'!$V$2:$V$743,"HYDRO",'Final 2014 NQC List'!$S$2:$S$743,"&lt;="&amp;DATE((K$2-$B$97),12,31))+SUMIFS('Final 2014 NQC List'!$K$2:$K$743,'Final 2014 NQC List'!$V$2:$V$743,"PUMP",'Final 2014 NQC List'!$S$2:$S$743,"&lt;="&amp;DATE((K$2-$B$97),12,31))</f>
        <v>1934.75</v>
      </c>
      <c r="L97" s="5">
        <f>SUMIFS('Final 2014 NQC List'!$K$2:$K$743,'Final 2014 NQC List'!$V$2:$V$743,"HYDRO",'Final 2014 NQC List'!$S$2:$S$743,"&lt;="&amp;DATE((L$2-$B$97),12,31))+SUMIFS('Final 2014 NQC List'!$K$2:$K$743,'Final 2014 NQC List'!$V$2:$V$743,"PUMP",'Final 2014 NQC List'!$S$2:$S$743,"&lt;="&amp;DATE((L$2-$B$97),12,31))</f>
        <v>1934.75</v>
      </c>
      <c r="M97" s="5">
        <f>SUMIFS('Final 2014 NQC List'!$K$2:$K$743,'Final 2014 NQC List'!$V$2:$V$743,"HYDRO",'Final 2014 NQC List'!$S$2:$S$743,"&lt;="&amp;DATE((M$2-$B$97),12,31))+SUMIFS('Final 2014 NQC List'!$K$2:$K$743,'Final 2014 NQC List'!$V$2:$V$743,"PUMP",'Final 2014 NQC List'!$S$2:$S$743,"&lt;="&amp;DATE((M$2-$B$97),12,31))</f>
        <v>1934.75</v>
      </c>
      <c r="N97" s="5">
        <f>SUMIFS('Final 2014 NQC List'!$K$2:$K$743,'Final 2014 NQC List'!$V$2:$V$743,"HYDRO",'Final 2014 NQC List'!$S$2:$S$743,"&lt;="&amp;DATE((N$2-$B$97),12,31))+SUMIFS('Final 2014 NQC List'!$K$2:$K$743,'Final 2014 NQC List'!$V$2:$V$743,"PUMP",'Final 2014 NQC List'!$S$2:$S$743,"&lt;="&amp;DATE((N$2-$B$97),12,31))</f>
        <v>1934.75</v>
      </c>
      <c r="O97" s="5">
        <f>SUMIFS('Final 2014 NQC List'!$K$2:$K$743,'Final 2014 NQC List'!$V$2:$V$743,"HYDRO",'Final 2014 NQC List'!$S$2:$S$743,"&lt;="&amp;DATE((O$2-$B$97),12,31))+SUMIFS('Final 2014 NQC List'!$K$2:$K$743,'Final 2014 NQC List'!$V$2:$V$743,"PUMP",'Final 2014 NQC List'!$S$2:$S$743,"&lt;="&amp;DATE((O$2-$B$97),12,31))</f>
        <v>1934.75</v>
      </c>
      <c r="P97" s="5">
        <f>SUMIFS('Final 2014 NQC List'!$K$2:$K$743,'Final 2014 NQC List'!$V$2:$V$743,"HYDRO",'Final 2014 NQC List'!$S$2:$S$743,"&lt;="&amp;DATE((P$2-$B$97),12,31))+SUMIFS('Final 2014 NQC List'!$K$2:$K$743,'Final 2014 NQC List'!$V$2:$V$743,"PUMP",'Final 2014 NQC List'!$S$2:$S$743,"&lt;="&amp;DATE((P$2-$B$97),12,31))</f>
        <v>2029.75</v>
      </c>
      <c r="Q97" s="5">
        <f>SUMIFS('Final 2014 NQC List'!$K$2:$K$743,'Final 2014 NQC List'!$V$2:$V$743,"HYDRO",'Final 2014 NQC List'!$S$2:$S$743,"&lt;="&amp;DATE((Q$2-$B$97),12,31))+SUMIFS('Final 2014 NQC List'!$K$2:$K$743,'Final 2014 NQC List'!$V$2:$V$743,"PUMP",'Final 2014 NQC List'!$S$2:$S$743,"&lt;="&amp;DATE((Q$2-$B$97),12,31))</f>
        <v>2029.75</v>
      </c>
      <c r="R97" s="5">
        <f>SUMIFS('Final 2014 NQC List'!$K$2:$K$743,'Final 2014 NQC List'!$V$2:$V$743,"HYDRO",'Final 2014 NQC List'!$S$2:$S$743,"&lt;="&amp;DATE((R$2-$B$97),12,31))+SUMIFS('Final 2014 NQC List'!$K$2:$K$743,'Final 2014 NQC List'!$V$2:$V$743,"PUMP",'Final 2014 NQC List'!$S$2:$S$743,"&lt;="&amp;DATE((R$2-$B$97),12,31))</f>
        <v>2110.11</v>
      </c>
      <c r="S97" s="5">
        <f>SUMIFS('Final 2014 NQC List'!$K$2:$K$743,'Final 2014 NQC List'!$V$2:$V$743,"HYDRO",'Final 2014 NQC List'!$S$2:$S$743,"&lt;="&amp;DATE((S$2-$B$97),12,31))+SUMIFS('Final 2014 NQC List'!$K$2:$K$743,'Final 2014 NQC List'!$V$2:$V$743,"PUMP",'Final 2014 NQC List'!$S$2:$S$743,"&lt;="&amp;DATE((S$2-$B$97),12,31))</f>
        <v>2648.88</v>
      </c>
      <c r="T97" s="5">
        <f>SUMIFS('Final 2014 NQC List'!$K$2:$K$743,'Final 2014 NQC List'!$V$2:$V$743,"HYDRO",'Final 2014 NQC List'!$S$2:$S$743,"&lt;="&amp;DATE((T$2-$B$97),12,31))+SUMIFS('Final 2014 NQC List'!$K$2:$K$743,'Final 2014 NQC List'!$V$2:$V$743,"PUMP",'Final 2014 NQC List'!$S$2:$S$743,"&lt;="&amp;DATE((T$2-$B$97),12,31))</f>
        <v>2648.88</v>
      </c>
      <c r="U97" s="5">
        <f>SUMIFS('Final 2014 NQC List'!$K$2:$K$743,'Final 2014 NQC List'!$V$2:$V$743,"HYDRO",'Final 2014 NQC List'!$S$2:$S$743,"&lt;="&amp;DATE((U$2-$B$97),12,31))+SUMIFS('Final 2014 NQC List'!$K$2:$K$743,'Final 2014 NQC List'!$V$2:$V$743,"PUMP",'Final 2014 NQC List'!$S$2:$S$743,"&lt;="&amp;DATE((U$2-$B$97),12,31))</f>
        <v>2955.88</v>
      </c>
      <c r="V97" s="5">
        <f>SUMIFS('Final 2014 NQC List'!$K$2:$K$743,'Final 2014 NQC List'!$V$2:$V$743,"HYDRO",'Final 2014 NQC List'!$S$2:$S$743,"&lt;="&amp;DATE((V$2-$B$97),12,31))+SUMIFS('Final 2014 NQC List'!$K$2:$K$743,'Final 2014 NQC List'!$V$2:$V$743,"PUMP",'Final 2014 NQC List'!$S$2:$S$743,"&lt;="&amp;DATE((V$2-$B$97),12,31))</f>
        <v>2955.88</v>
      </c>
      <c r="W97" s="5">
        <f>SUMIFS('Final 2014 NQC List'!$K$2:$K$743,'Final 2014 NQC List'!$V$2:$V$743,"HYDRO",'Final 2014 NQC List'!$S$2:$S$743,"&lt;="&amp;DATE((W$2-$B$97),12,31))+SUMIFS('Final 2014 NQC List'!$K$2:$K$743,'Final 2014 NQC List'!$V$2:$V$743,"PUMP",'Final 2014 NQC List'!$S$2:$S$743,"&lt;="&amp;DATE((W$2-$B$97),12,31))</f>
        <v>3007.08</v>
      </c>
      <c r="X97" s="5">
        <f>SUMIFS('Final 2014 NQC List'!$K$2:$K$743,'Final 2014 NQC List'!$V$2:$V$743,"HYDRO",'Final 2014 NQC List'!$S$2:$S$743,"&lt;="&amp;DATE((X$2-$B$97),12,31))+SUMIFS('Final 2014 NQC List'!$K$2:$K$743,'Final 2014 NQC List'!$V$2:$V$743,"PUMP",'Final 2014 NQC List'!$S$2:$S$743,"&lt;="&amp;DATE((X$2-$B$97),12,31))</f>
        <v>3212.25</v>
      </c>
      <c r="Y97" s="5">
        <f>SUMIFS('Final 2014 NQC List'!$K$2:$K$743,'Final 2014 NQC List'!$V$2:$V$743,"HYDRO",'Final 2014 NQC List'!$S$2:$S$743,"&lt;="&amp;DATE((Y$2-$B$97),12,31))+SUMIFS('Final 2014 NQC List'!$K$2:$K$743,'Final 2014 NQC List'!$V$2:$V$743,"PUMP",'Final 2014 NQC List'!$S$2:$S$743,"&lt;="&amp;DATE((Y$2-$B$97),12,31))</f>
        <v>3212.25</v>
      </c>
      <c r="Z97" s="8"/>
    </row>
    <row r="98" spans="1:26" s="19" customFormat="1">
      <c r="A98" s="19" t="s">
        <v>4245</v>
      </c>
      <c r="B98" s="663">
        <v>50</v>
      </c>
      <c r="C98" s="19" t="s">
        <v>1</v>
      </c>
      <c r="D98" s="3" t="str">
        <f>CONCATENATE(D55,"+",D61)</f>
        <v>Hydro+Pump</v>
      </c>
      <c r="E98" s="5">
        <f>SUMIFS('Final 2014 NQC List'!$K$2:$K$743,'Final 2014 NQC List'!$V$2:$V$743,"HYDRO",'Final 2014 NQC List'!$S$2:$S$743,"&lt;="&amp;DATE((E$2-$B$98),12,31))+SUMIFS('Final 2014 NQC List'!$K$2:$K$743,'Final 2014 NQC List'!$V$2:$V$743,"PUMP",'Final 2014 NQC List'!$S$2:$S$743,"&lt;="&amp;DATE((E$2-$B$98),12,31))</f>
        <v>3212.25</v>
      </c>
      <c r="F98" s="5">
        <f>SUMIFS('Final 2014 NQC List'!$K$2:$K$743,'Final 2014 NQC List'!$V$2:$V$743,"HYDRO",'Final 2014 NQC List'!$S$2:$S$743,"&lt;="&amp;DATE((F$2-$B$98),12,31))+SUMIFS('Final 2014 NQC List'!$K$2:$K$743,'Final 2014 NQC List'!$V$2:$V$743,"PUMP",'Final 2014 NQC List'!$S$2:$S$743,"&lt;="&amp;DATE((F$2-$B$98),12,31))</f>
        <v>3602.6099999999997</v>
      </c>
      <c r="G98" s="5">
        <f>SUMIFS('Final 2014 NQC List'!$K$2:$K$743,'Final 2014 NQC List'!$V$2:$V$743,"HYDRO",'Final 2014 NQC List'!$S$2:$S$743,"&lt;="&amp;DATE((G$2-$B$98),12,31))+SUMIFS('Final 2014 NQC List'!$K$2:$K$743,'Final 2014 NQC List'!$V$2:$V$743,"PUMP",'Final 2014 NQC List'!$S$2:$S$743,"&lt;="&amp;DATE((G$2-$B$98),12,31))</f>
        <v>3918.2999999999997</v>
      </c>
      <c r="H98" s="5">
        <f>SUMIFS('Final 2014 NQC List'!$K$2:$K$743,'Final 2014 NQC List'!$V$2:$V$743,"HYDRO",'Final 2014 NQC List'!$S$2:$S$743,"&lt;="&amp;DATE((H$2-$B$98),12,31))+SUMIFS('Final 2014 NQC List'!$K$2:$K$743,'Final 2014 NQC List'!$V$2:$V$743,"PUMP",'Final 2014 NQC List'!$S$2:$S$743,"&lt;="&amp;DATE((H$2-$B$98),12,31))</f>
        <v>3996.1206587963566</v>
      </c>
      <c r="I98" s="5">
        <f>SUMIFS('Final 2014 NQC List'!$K$2:$K$743,'Final 2014 NQC List'!$V$2:$V$743,"HYDRO",'Final 2014 NQC List'!$S$2:$S$743,"&lt;="&amp;DATE((I$2-$B$98),12,31))+SUMIFS('Final 2014 NQC List'!$K$2:$K$743,'Final 2014 NQC List'!$V$2:$V$743,"PUMP",'Final 2014 NQC List'!$S$2:$S$743,"&lt;="&amp;DATE((I$2-$B$98),12,31))</f>
        <v>4504.1206587963561</v>
      </c>
      <c r="J98" s="5">
        <f>SUMIFS('Final 2014 NQC List'!$K$2:$K$743,'Final 2014 NQC List'!$V$2:$V$743,"HYDRO",'Final 2014 NQC List'!$S$2:$S$743,"&lt;="&amp;DATE((J$2-$B$98),12,31))+SUMIFS('Final 2014 NQC List'!$K$2:$K$743,'Final 2014 NQC List'!$V$2:$V$743,"PUMP",'Final 2014 NQC List'!$S$2:$S$743,"&lt;="&amp;DATE((J$2-$B$98),12,31))</f>
        <v>4970.9606587963572</v>
      </c>
      <c r="K98" s="5">
        <f>SUMIFS('Final 2014 NQC List'!$K$2:$K$743,'Final 2014 NQC List'!$V$2:$V$743,"HYDRO",'Final 2014 NQC List'!$S$2:$S$743,"&lt;="&amp;DATE((K$2-$B$98),12,31))+SUMIFS('Final 2014 NQC List'!$K$2:$K$743,'Final 2014 NQC List'!$V$2:$V$743,"PUMP",'Final 2014 NQC List'!$S$2:$S$743,"&lt;="&amp;DATE((K$2-$B$98),12,31))</f>
        <v>4970.9606587963572</v>
      </c>
      <c r="L98" s="5">
        <f>SUMIFS('Final 2014 NQC List'!$K$2:$K$743,'Final 2014 NQC List'!$V$2:$V$743,"HYDRO",'Final 2014 NQC List'!$S$2:$S$743,"&lt;="&amp;DATE((L$2-$B$98),12,31))+SUMIFS('Final 2014 NQC List'!$K$2:$K$743,'Final 2014 NQC List'!$V$2:$V$743,"PUMP",'Final 2014 NQC List'!$S$2:$S$743,"&lt;="&amp;DATE((L$2-$B$98),12,31))</f>
        <v>4970.9606587963572</v>
      </c>
      <c r="M98" s="5">
        <f>SUMIFS('Final 2014 NQC List'!$K$2:$K$743,'Final 2014 NQC List'!$V$2:$V$743,"HYDRO",'Final 2014 NQC List'!$S$2:$S$743,"&lt;="&amp;DATE((M$2-$B$98),12,31))+SUMIFS('Final 2014 NQC List'!$K$2:$K$743,'Final 2014 NQC List'!$V$2:$V$743,"PUMP",'Final 2014 NQC List'!$S$2:$S$743,"&lt;="&amp;DATE((M$2-$B$98),12,31))</f>
        <v>5205.9292256908884</v>
      </c>
      <c r="N98" s="5">
        <f>SUMIFS('Final 2014 NQC List'!$K$2:$K$743,'Final 2014 NQC List'!$V$2:$V$743,"HYDRO",'Final 2014 NQC List'!$S$2:$S$743,"&lt;="&amp;DATE((N$2-$B$98),12,31))+SUMIFS('Final 2014 NQC List'!$K$2:$K$743,'Final 2014 NQC List'!$V$2:$V$743,"PUMP",'Final 2014 NQC List'!$S$2:$S$743,"&lt;="&amp;DATE((N$2-$B$98),12,31))</f>
        <v>5205.9292256908884</v>
      </c>
      <c r="O98" s="5">
        <f>SUMIFS('Final 2014 NQC List'!$K$2:$K$743,'Final 2014 NQC List'!$V$2:$V$743,"HYDRO",'Final 2014 NQC List'!$S$2:$S$743,"&lt;="&amp;DATE((O$2-$B$98),12,31))+SUMIFS('Final 2014 NQC List'!$K$2:$K$743,'Final 2014 NQC List'!$V$2:$V$743,"PUMP",'Final 2014 NQC List'!$S$2:$S$743,"&lt;="&amp;DATE((O$2-$B$98),12,31))</f>
        <v>5214.7792256908888</v>
      </c>
      <c r="P98" s="5">
        <f>SUMIFS('Final 2014 NQC List'!$K$2:$K$743,'Final 2014 NQC List'!$V$2:$V$743,"HYDRO",'Final 2014 NQC List'!$S$2:$S$743,"&lt;="&amp;DATE((P$2-$B$98),12,31))+SUMIFS('Final 2014 NQC List'!$K$2:$K$743,'Final 2014 NQC List'!$V$2:$V$743,"PUMP",'Final 2014 NQC List'!$S$2:$S$743,"&lt;="&amp;DATE((P$2-$B$98),12,31))</f>
        <v>5214.7792256908888</v>
      </c>
      <c r="Q98" s="5">
        <f>SUMIFS('Final 2014 NQC List'!$K$2:$K$743,'Final 2014 NQC List'!$V$2:$V$743,"HYDRO",'Final 2014 NQC List'!$S$2:$S$743,"&lt;="&amp;DATE((Q$2-$B$98),12,31))+SUMIFS('Final 2014 NQC List'!$K$2:$K$743,'Final 2014 NQC List'!$V$2:$V$743,"PUMP",'Final 2014 NQC List'!$S$2:$S$743,"&lt;="&amp;DATE((Q$2-$B$98),12,31))</f>
        <v>5214.7792256908888</v>
      </c>
      <c r="R98" s="5">
        <f>SUMIFS('Final 2014 NQC List'!$K$2:$K$743,'Final 2014 NQC List'!$V$2:$V$743,"HYDRO",'Final 2014 NQC List'!$S$2:$S$743,"&lt;="&amp;DATE((R$2-$B$98),12,31))+SUMIFS('Final 2014 NQC List'!$K$2:$K$743,'Final 2014 NQC List'!$V$2:$V$743,"PUMP",'Final 2014 NQC List'!$S$2:$S$743,"&lt;="&amp;DATE((R$2-$B$98),12,31))</f>
        <v>5214.7792256908888</v>
      </c>
      <c r="S98" s="5">
        <f>SUMIFS('Final 2014 NQC List'!$K$2:$K$743,'Final 2014 NQC List'!$V$2:$V$743,"HYDRO",'Final 2014 NQC List'!$S$2:$S$743,"&lt;="&amp;DATE((S$2-$B$98),12,31))+SUMIFS('Final 2014 NQC List'!$K$2:$K$743,'Final 2014 NQC List'!$V$2:$V$743,"PUMP",'Final 2014 NQC List'!$S$2:$S$743,"&lt;="&amp;DATE((S$2-$B$98),12,31))</f>
        <v>5214.7792256908888</v>
      </c>
      <c r="T98" s="5">
        <f>SUMIFS('Final 2014 NQC List'!$K$2:$K$743,'Final 2014 NQC List'!$V$2:$V$743,"HYDRO",'Final 2014 NQC List'!$S$2:$S$743,"&lt;="&amp;DATE((T$2-$B$98),12,31))+SUMIFS('Final 2014 NQC List'!$K$2:$K$743,'Final 2014 NQC List'!$V$2:$V$743,"PUMP",'Final 2014 NQC List'!$S$2:$S$743,"&lt;="&amp;DATE((T$2-$B$98),12,31))</f>
        <v>5227.789225690889</v>
      </c>
      <c r="U98" s="5">
        <f>SUMIFS('Final 2014 NQC List'!$K$2:$K$743,'Final 2014 NQC List'!$V$2:$V$743,"HYDRO",'Final 2014 NQC List'!$S$2:$S$743,"&lt;="&amp;DATE((U$2-$B$98),12,31))+SUMIFS('Final 2014 NQC List'!$K$2:$K$743,'Final 2014 NQC List'!$V$2:$V$743,"PUMP",'Final 2014 NQC List'!$S$2:$S$743,"&lt;="&amp;DATE((U$2-$B$98),12,31))</f>
        <v>5247.2804721425009</v>
      </c>
      <c r="V98" s="5">
        <f>SUMIFS('Final 2014 NQC List'!$K$2:$K$743,'Final 2014 NQC List'!$V$2:$V$743,"HYDRO",'Final 2014 NQC List'!$S$2:$S$743,"&lt;="&amp;DATE((V$2-$B$98),12,31))+SUMIFS('Final 2014 NQC List'!$K$2:$K$743,'Final 2014 NQC List'!$V$2:$V$743,"PUMP",'Final 2014 NQC List'!$S$2:$S$743,"&lt;="&amp;DATE((V$2-$B$98),12,31))</f>
        <v>5262.5352814973394</v>
      </c>
      <c r="W98" s="5">
        <f>SUMIFS('Final 2014 NQC List'!$K$2:$K$743,'Final 2014 NQC List'!$V$2:$V$743,"HYDRO",'Final 2014 NQC List'!$S$2:$S$743,"&lt;="&amp;DATE((W$2-$B$98),12,31))+SUMIFS('Final 2014 NQC List'!$K$2:$K$743,'Final 2014 NQC List'!$V$2:$V$743,"PUMP",'Final 2014 NQC List'!$S$2:$S$743,"&lt;="&amp;DATE((W$2-$B$98),12,31))</f>
        <v>5346.1452814973391</v>
      </c>
      <c r="X98" s="5">
        <f>SUMIFS('Final 2014 NQC List'!$K$2:$K$743,'Final 2014 NQC List'!$V$2:$V$743,"HYDRO",'Final 2014 NQC List'!$S$2:$S$743,"&lt;="&amp;DATE((X$2-$B$98),12,31))+SUMIFS('Final 2014 NQC List'!$K$2:$K$743,'Final 2014 NQC List'!$V$2:$V$743,"PUMP",'Final 2014 NQC List'!$S$2:$S$743,"&lt;="&amp;DATE((X$2-$B$98),12,31))</f>
        <v>5529.9952814973403</v>
      </c>
      <c r="Y98" s="5">
        <f>SUMIFS('Final 2014 NQC List'!$K$2:$K$743,'Final 2014 NQC List'!$V$2:$V$743,"HYDRO",'Final 2014 NQC List'!$S$2:$S$743,"&lt;="&amp;DATE((Y$2-$B$98),12,31))+SUMIFS('Final 2014 NQC List'!$K$2:$K$743,'Final 2014 NQC List'!$V$2:$V$743,"PUMP",'Final 2014 NQC List'!$S$2:$S$743,"&lt;="&amp;DATE((Y$2-$B$98),12,31))</f>
        <v>6821.5752814973403</v>
      </c>
      <c r="Z98" s="8"/>
    </row>
    <row r="99" spans="1:26" s="19" customFormat="1">
      <c r="B99" s="662"/>
      <c r="C99" s="19" t="s">
        <v>0</v>
      </c>
      <c r="D99" s="3" t="str">
        <f>CONCATENATE(D56,"+",D57)</f>
        <v>Solar+Wind</v>
      </c>
      <c r="E99" s="5">
        <v>0</v>
      </c>
      <c r="F99" s="5">
        <f>E99</f>
        <v>0</v>
      </c>
      <c r="G99" s="5">
        <f t="shared" ref="G99:Y99" si="91">F99</f>
        <v>0</v>
      </c>
      <c r="H99" s="5">
        <f t="shared" si="91"/>
        <v>0</v>
      </c>
      <c r="I99" s="5">
        <f t="shared" si="91"/>
        <v>0</v>
      </c>
      <c r="J99" s="5">
        <f t="shared" si="91"/>
        <v>0</v>
      </c>
      <c r="K99" s="5">
        <f t="shared" si="91"/>
        <v>0</v>
      </c>
      <c r="L99" s="5">
        <f t="shared" si="91"/>
        <v>0</v>
      </c>
      <c r="M99" s="5">
        <f t="shared" si="91"/>
        <v>0</v>
      </c>
      <c r="N99" s="5">
        <f t="shared" si="91"/>
        <v>0</v>
      </c>
      <c r="O99" s="5">
        <f t="shared" si="91"/>
        <v>0</v>
      </c>
      <c r="P99" s="5">
        <f t="shared" si="91"/>
        <v>0</v>
      </c>
      <c r="Q99" s="5">
        <f t="shared" si="91"/>
        <v>0</v>
      </c>
      <c r="R99" s="5">
        <f t="shared" si="91"/>
        <v>0</v>
      </c>
      <c r="S99" s="5">
        <f t="shared" si="91"/>
        <v>0</v>
      </c>
      <c r="T99" s="5">
        <f t="shared" si="91"/>
        <v>0</v>
      </c>
      <c r="U99" s="5">
        <f t="shared" si="91"/>
        <v>0</v>
      </c>
      <c r="V99" s="5">
        <f t="shared" si="91"/>
        <v>0</v>
      </c>
      <c r="W99" s="5">
        <f t="shared" si="91"/>
        <v>0</v>
      </c>
      <c r="X99" s="5">
        <f t="shared" si="91"/>
        <v>0</v>
      </c>
      <c r="Y99" s="5">
        <f t="shared" si="91"/>
        <v>0</v>
      </c>
      <c r="Z99" s="8"/>
    </row>
    <row r="100" spans="1:26" s="19" customFormat="1">
      <c r="A100" s="19" t="s">
        <v>4245</v>
      </c>
      <c r="B100" s="663">
        <v>25</v>
      </c>
      <c r="C100" s="19" t="s">
        <v>7</v>
      </c>
      <c r="D100" s="3" t="str">
        <f>CONCATENATE(D56,"+",D57)</f>
        <v>Solar+Wind</v>
      </c>
      <c r="E100" s="5">
        <f>SUMIFS('Final 2014 NQC List'!$K$2:$K$743,'Final 2014 NQC List'!$V$2:$V$743,"SOLAR",'Final 2014 NQC List'!$S$2:$S$743,"&lt;="&amp;DATE((E$2-$B$100),12,31))+SUMIFS('Final 2014 NQC List'!$K$2:$K$743,'Final 2014 NQC List'!$V$2:$V$743,"WIND",'Final 2014 NQC List'!$S$2:$S$743,"&lt;="&amp;DATE((E$2-$B$100),12,31))</f>
        <v>529.62941743593001</v>
      </c>
      <c r="F100" s="5">
        <f>SUMIFS('Final 2014 NQC List'!$K$2:$K$743,'Final 2014 NQC List'!$V$2:$V$743,"SOLAR",'Final 2014 NQC List'!$S$2:$S$743,"&lt;="&amp;DATE((F$2-$B$100),12,31))+SUMIFS('Final 2014 NQC List'!$K$2:$K$743,'Final 2014 NQC List'!$V$2:$V$743,"WIND",'Final 2014 NQC List'!$S$2:$S$743,"&lt;="&amp;DATE((F$2-$B$100),12,31))</f>
        <v>529.62941743593001</v>
      </c>
      <c r="G100" s="5">
        <f>SUMIFS('Final 2014 NQC List'!$K$2:$K$743,'Final 2014 NQC List'!$V$2:$V$743,"SOLAR",'Final 2014 NQC List'!$S$2:$S$743,"&lt;="&amp;DATE((G$2-$B$100),12,31))+SUMIFS('Final 2014 NQC List'!$K$2:$K$743,'Final 2014 NQC List'!$V$2:$V$743,"WIND",'Final 2014 NQC List'!$S$2:$S$743,"&lt;="&amp;DATE((G$2-$B$100),12,31))</f>
        <v>529.62941743593001</v>
      </c>
      <c r="H100" s="5">
        <f>SUMIFS('Final 2014 NQC List'!$K$2:$K$743,'Final 2014 NQC List'!$V$2:$V$743,"SOLAR",'Final 2014 NQC List'!$S$2:$S$743,"&lt;="&amp;DATE((H$2-$B$100),12,31))+SUMIFS('Final 2014 NQC List'!$K$2:$K$743,'Final 2014 NQC List'!$V$2:$V$743,"WIND",'Final 2014 NQC List'!$S$2:$S$743,"&lt;="&amp;DATE((H$2-$B$100),12,31))</f>
        <v>529.62941743593001</v>
      </c>
      <c r="I100" s="5">
        <f>SUMIFS('Final 2014 NQC List'!$K$2:$K$743,'Final 2014 NQC List'!$V$2:$V$743,"SOLAR",'Final 2014 NQC List'!$S$2:$S$743,"&lt;="&amp;DATE((I$2-$B$100),12,31))+SUMIFS('Final 2014 NQC List'!$K$2:$K$743,'Final 2014 NQC List'!$V$2:$V$743,"WIND",'Final 2014 NQC List'!$S$2:$S$743,"&lt;="&amp;DATE((I$2-$B$100),12,31))</f>
        <v>529.62941743593001</v>
      </c>
      <c r="J100" s="5">
        <f>SUMIFS('Final 2014 NQC List'!$K$2:$K$743,'Final 2014 NQC List'!$V$2:$V$743,"SOLAR",'Final 2014 NQC List'!$S$2:$S$743,"&lt;="&amp;DATE((J$2-$B$100),12,31))+SUMIFS('Final 2014 NQC List'!$K$2:$K$743,'Final 2014 NQC List'!$V$2:$V$743,"WIND",'Final 2014 NQC List'!$S$2:$S$743,"&lt;="&amp;DATE((J$2-$B$100),12,31))</f>
        <v>566.64941743592999</v>
      </c>
      <c r="K100" s="5">
        <f>SUMIFS('Final 2014 NQC List'!$K$2:$K$743,'Final 2014 NQC List'!$V$2:$V$743,"SOLAR",'Final 2014 NQC List'!$S$2:$S$743,"&lt;="&amp;DATE((K$2-$B$100),12,31))+SUMIFS('Final 2014 NQC List'!$K$2:$K$743,'Final 2014 NQC List'!$V$2:$V$743,"WIND",'Final 2014 NQC List'!$S$2:$S$743,"&lt;="&amp;DATE((K$2-$B$100),12,31))</f>
        <v>566.64941743592999</v>
      </c>
      <c r="L100" s="5">
        <f>SUMIFS('Final 2014 NQC List'!$K$2:$K$743,'Final 2014 NQC List'!$V$2:$V$743,"SOLAR",'Final 2014 NQC List'!$S$2:$S$743,"&lt;="&amp;DATE((L$2-$B$100),12,31))+SUMIFS('Final 2014 NQC List'!$K$2:$K$743,'Final 2014 NQC List'!$V$2:$V$743,"WIND",'Final 2014 NQC List'!$S$2:$S$743,"&lt;="&amp;DATE((L$2-$B$100),12,31))</f>
        <v>566.64941743592999</v>
      </c>
      <c r="M100" s="5">
        <f>SUMIFS('Final 2014 NQC List'!$K$2:$K$743,'Final 2014 NQC List'!$V$2:$V$743,"SOLAR",'Final 2014 NQC List'!$S$2:$S$743,"&lt;="&amp;DATE((M$2-$B$100),12,31))+SUMIFS('Final 2014 NQC List'!$K$2:$K$743,'Final 2014 NQC List'!$V$2:$V$743,"WIND",'Final 2014 NQC List'!$S$2:$S$743,"&lt;="&amp;DATE((M$2-$B$100),12,31))</f>
        <v>566.64941743592999</v>
      </c>
      <c r="N100" s="5">
        <f>SUMIFS('Final 2014 NQC List'!$K$2:$K$743,'Final 2014 NQC List'!$V$2:$V$743,"SOLAR",'Final 2014 NQC List'!$S$2:$S$743,"&lt;="&amp;DATE((N$2-$B$100),12,31))+SUMIFS('Final 2014 NQC List'!$K$2:$K$743,'Final 2014 NQC List'!$V$2:$V$743,"WIND",'Final 2014 NQC List'!$S$2:$S$743,"&lt;="&amp;DATE((N$2-$B$100),12,31))</f>
        <v>566.64941743592999</v>
      </c>
      <c r="O100" s="5">
        <f>SUMIFS('Final 2014 NQC List'!$K$2:$K$743,'Final 2014 NQC List'!$V$2:$V$743,"SOLAR",'Final 2014 NQC List'!$S$2:$S$743,"&lt;="&amp;DATE((O$2-$B$100),12,31))+SUMIFS('Final 2014 NQC List'!$K$2:$K$743,'Final 2014 NQC List'!$V$2:$V$743,"WIND",'Final 2014 NQC List'!$S$2:$S$743,"&lt;="&amp;DATE((O$2-$B$100),12,31))</f>
        <v>566.70941743592994</v>
      </c>
      <c r="P100" s="5">
        <f>SUMIFS('Final 2014 NQC List'!$K$2:$K$743,'Final 2014 NQC List'!$V$2:$V$743,"SOLAR",'Final 2014 NQC List'!$S$2:$S$743,"&lt;="&amp;DATE((P$2-$B$100),12,31))+SUMIFS('Final 2014 NQC List'!$K$2:$K$743,'Final 2014 NQC List'!$V$2:$V$743,"WIND",'Final 2014 NQC List'!$S$2:$S$743,"&lt;="&amp;DATE((P$2-$B$100),12,31))</f>
        <v>569.38941743593</v>
      </c>
      <c r="Q100" s="5">
        <f>SUMIFS('Final 2014 NQC List'!$K$2:$K$743,'Final 2014 NQC List'!$V$2:$V$743,"SOLAR",'Final 2014 NQC List'!$S$2:$S$743,"&lt;="&amp;DATE((Q$2-$B$100),12,31))+SUMIFS('Final 2014 NQC List'!$K$2:$K$743,'Final 2014 NQC List'!$V$2:$V$743,"WIND",'Final 2014 NQC List'!$S$2:$S$743,"&lt;="&amp;DATE((Q$2-$B$100),12,31))</f>
        <v>580.77941743592999</v>
      </c>
      <c r="R100" s="5">
        <f>SUMIFS('Final 2014 NQC List'!$K$2:$K$743,'Final 2014 NQC List'!$V$2:$V$743,"SOLAR",'Final 2014 NQC List'!$S$2:$S$743,"&lt;="&amp;DATE((R$2-$B$100),12,31))+SUMIFS('Final 2014 NQC List'!$K$2:$K$743,'Final 2014 NQC List'!$V$2:$V$743,"WIND",'Final 2014 NQC List'!$S$2:$S$743,"&lt;="&amp;DATE((R$2-$B$100),12,31))</f>
        <v>601.94941743592994</v>
      </c>
      <c r="S100" s="5">
        <f>SUMIFS('Final 2014 NQC List'!$K$2:$K$743,'Final 2014 NQC List'!$V$2:$V$743,"SOLAR",'Final 2014 NQC List'!$S$2:$S$743,"&lt;="&amp;DATE((S$2-$B$100),12,31))+SUMIFS('Final 2014 NQC List'!$K$2:$K$743,'Final 2014 NQC List'!$V$2:$V$743,"WIND",'Final 2014 NQC List'!$S$2:$S$743,"&lt;="&amp;DATE((S$2-$B$100),12,31))</f>
        <v>645.28941743592998</v>
      </c>
      <c r="T100" s="5">
        <f>SUMIFS('Final 2014 NQC List'!$K$2:$K$743,'Final 2014 NQC List'!$V$2:$V$743,"SOLAR",'Final 2014 NQC List'!$S$2:$S$743,"&lt;="&amp;DATE((T$2-$B$100),12,31))+SUMIFS('Final 2014 NQC List'!$K$2:$K$743,'Final 2014 NQC List'!$V$2:$V$743,"WIND",'Final 2014 NQC List'!$S$2:$S$743,"&lt;="&amp;DATE((T$2-$B$100),12,31))</f>
        <v>645.28941743592998</v>
      </c>
      <c r="U100" s="5">
        <f>SUMIFS('Final 2014 NQC List'!$K$2:$K$743,'Final 2014 NQC List'!$V$2:$V$743,"SOLAR",'Final 2014 NQC List'!$S$2:$S$743,"&lt;="&amp;DATE((U$2-$B$100),12,31))+SUMIFS('Final 2014 NQC List'!$K$2:$K$743,'Final 2014 NQC List'!$V$2:$V$743,"WIND",'Final 2014 NQC List'!$S$2:$S$743,"&lt;="&amp;DATE((U$2-$B$100),12,31))</f>
        <v>665.35941743593003</v>
      </c>
      <c r="V100" s="5">
        <f>SUMIFS('Final 2014 NQC List'!$K$2:$K$743,'Final 2014 NQC List'!$V$2:$V$743,"SOLAR",'Final 2014 NQC List'!$S$2:$S$743,"&lt;="&amp;DATE((V$2-$B$100),12,31))+SUMIFS('Final 2014 NQC List'!$K$2:$K$743,'Final 2014 NQC List'!$V$2:$V$743,"WIND",'Final 2014 NQC List'!$S$2:$S$743,"&lt;="&amp;DATE((V$2-$B$100),12,31))</f>
        <v>700.69941743592994</v>
      </c>
      <c r="W100" s="5">
        <f>SUMIFS('Final 2014 NQC List'!$K$2:$K$743,'Final 2014 NQC List'!$V$2:$V$743,"SOLAR",'Final 2014 NQC List'!$S$2:$S$743,"&lt;="&amp;DATE((W$2-$B$100),12,31))+SUMIFS('Final 2014 NQC List'!$K$2:$K$743,'Final 2014 NQC List'!$V$2:$V$743,"WIND",'Final 2014 NQC List'!$S$2:$S$743,"&lt;="&amp;DATE((W$2-$B$100),12,31))</f>
        <v>700.69941743592994</v>
      </c>
      <c r="X100" s="5">
        <f>SUMIFS('Final 2014 NQC List'!$K$2:$K$743,'Final 2014 NQC List'!$V$2:$V$743,"SOLAR",'Final 2014 NQC List'!$S$2:$S$743,"&lt;="&amp;DATE((X$2-$B$100),12,31))+SUMIFS('Final 2014 NQC List'!$K$2:$K$743,'Final 2014 NQC List'!$V$2:$V$743,"WIND",'Final 2014 NQC List'!$S$2:$S$743,"&lt;="&amp;DATE((X$2-$B$100),12,31))</f>
        <v>709.17941743592996</v>
      </c>
      <c r="Y100" s="5">
        <f>SUMIFS('Final 2014 NQC List'!$K$2:$K$743,'Final 2014 NQC List'!$V$2:$V$743,"SOLAR",'Final 2014 NQC List'!$S$2:$S$743,"&lt;="&amp;DATE((Y$2-$B$100),12,31))+SUMIFS('Final 2014 NQC List'!$K$2:$K$743,'Final 2014 NQC List'!$V$2:$V$743,"WIND",'Final 2014 NQC List'!$S$2:$S$743,"&lt;="&amp;DATE((Y$2-$B$100),12,31))</f>
        <v>747.38941743593</v>
      </c>
      <c r="Z100" s="8"/>
    </row>
    <row r="101" spans="1:26" s="19" customFormat="1">
      <c r="A101" s="19" t="s">
        <v>4245</v>
      </c>
      <c r="B101" s="663">
        <v>20</v>
      </c>
      <c r="C101" s="19" t="s">
        <v>1</v>
      </c>
      <c r="D101" s="3" t="str">
        <f>CONCATENATE(D56,"+",D57)</f>
        <v>Solar+Wind</v>
      </c>
      <c r="E101" s="5">
        <f>SUMIFS('Final 2014 NQC List'!$K$2:$K$743,'Final 2014 NQC List'!$V$2:$V$743,"SOLAR",'Final 2014 NQC List'!$S$2:$S$743,"&lt;="&amp;DATE((E$2-$B$101),12,31))+SUMIFS('Final 2014 NQC List'!$K$2:$K$743,'Final 2014 NQC List'!$V$2:$V$743,"WIND",'Final 2014 NQC List'!$S$2:$S$743,"&lt;="&amp;DATE((E$2-$B$101),12,31))</f>
        <v>566.64941743592999</v>
      </c>
      <c r="F101" s="5">
        <f>SUMIFS('Final 2014 NQC List'!$K$2:$K$743,'Final 2014 NQC List'!$V$2:$V$743,"SOLAR",'Final 2014 NQC List'!$S$2:$S$743,"&lt;="&amp;DATE((F$2-$B$101),12,31))+SUMIFS('Final 2014 NQC List'!$K$2:$K$743,'Final 2014 NQC List'!$V$2:$V$743,"WIND",'Final 2014 NQC List'!$S$2:$S$743,"&lt;="&amp;DATE((F$2-$B$101),12,31))</f>
        <v>566.64941743592999</v>
      </c>
      <c r="G101" s="5">
        <f>SUMIFS('Final 2014 NQC List'!$K$2:$K$743,'Final 2014 NQC List'!$V$2:$V$743,"SOLAR",'Final 2014 NQC List'!$S$2:$S$743,"&lt;="&amp;DATE((G$2-$B$101),12,31))+SUMIFS('Final 2014 NQC List'!$K$2:$K$743,'Final 2014 NQC List'!$V$2:$V$743,"WIND",'Final 2014 NQC List'!$S$2:$S$743,"&lt;="&amp;DATE((G$2-$B$101),12,31))</f>
        <v>566.64941743592999</v>
      </c>
      <c r="H101" s="5">
        <f>SUMIFS('Final 2014 NQC List'!$K$2:$K$743,'Final 2014 NQC List'!$V$2:$V$743,"SOLAR",'Final 2014 NQC List'!$S$2:$S$743,"&lt;="&amp;DATE((H$2-$B$101),12,31))+SUMIFS('Final 2014 NQC List'!$K$2:$K$743,'Final 2014 NQC List'!$V$2:$V$743,"WIND",'Final 2014 NQC List'!$S$2:$S$743,"&lt;="&amp;DATE((H$2-$B$101),12,31))</f>
        <v>566.64941743592999</v>
      </c>
      <c r="I101" s="5">
        <f>SUMIFS('Final 2014 NQC List'!$K$2:$K$743,'Final 2014 NQC List'!$V$2:$V$743,"SOLAR",'Final 2014 NQC List'!$S$2:$S$743,"&lt;="&amp;DATE((I$2-$B$101),12,31))+SUMIFS('Final 2014 NQC List'!$K$2:$K$743,'Final 2014 NQC List'!$V$2:$V$743,"WIND",'Final 2014 NQC List'!$S$2:$S$743,"&lt;="&amp;DATE((I$2-$B$101),12,31))</f>
        <v>566.64941743592999</v>
      </c>
      <c r="J101" s="5">
        <f>SUMIFS('Final 2014 NQC List'!$K$2:$K$743,'Final 2014 NQC List'!$V$2:$V$743,"SOLAR",'Final 2014 NQC List'!$S$2:$S$743,"&lt;="&amp;DATE((J$2-$B$101),12,31))+SUMIFS('Final 2014 NQC List'!$K$2:$K$743,'Final 2014 NQC List'!$V$2:$V$743,"WIND",'Final 2014 NQC List'!$S$2:$S$743,"&lt;="&amp;DATE((J$2-$B$101),12,31))</f>
        <v>566.70941743592994</v>
      </c>
      <c r="K101" s="5">
        <f>SUMIFS('Final 2014 NQC List'!$K$2:$K$743,'Final 2014 NQC List'!$V$2:$V$743,"SOLAR",'Final 2014 NQC List'!$S$2:$S$743,"&lt;="&amp;DATE((K$2-$B$101),12,31))+SUMIFS('Final 2014 NQC List'!$K$2:$K$743,'Final 2014 NQC List'!$V$2:$V$743,"WIND",'Final 2014 NQC List'!$S$2:$S$743,"&lt;="&amp;DATE((K$2-$B$101),12,31))</f>
        <v>569.38941743593</v>
      </c>
      <c r="L101" s="5">
        <f>SUMIFS('Final 2014 NQC List'!$K$2:$K$743,'Final 2014 NQC List'!$V$2:$V$743,"SOLAR",'Final 2014 NQC List'!$S$2:$S$743,"&lt;="&amp;DATE((L$2-$B$101),12,31))+SUMIFS('Final 2014 NQC List'!$K$2:$K$743,'Final 2014 NQC List'!$V$2:$V$743,"WIND",'Final 2014 NQC List'!$S$2:$S$743,"&lt;="&amp;DATE((L$2-$B$101),12,31))</f>
        <v>580.77941743592999</v>
      </c>
      <c r="M101" s="5">
        <f>SUMIFS('Final 2014 NQC List'!$K$2:$K$743,'Final 2014 NQC List'!$V$2:$V$743,"SOLAR",'Final 2014 NQC List'!$S$2:$S$743,"&lt;="&amp;DATE((M$2-$B$101),12,31))+SUMIFS('Final 2014 NQC List'!$K$2:$K$743,'Final 2014 NQC List'!$V$2:$V$743,"WIND",'Final 2014 NQC List'!$S$2:$S$743,"&lt;="&amp;DATE((M$2-$B$101),12,31))</f>
        <v>601.94941743592994</v>
      </c>
      <c r="N101" s="5">
        <f>SUMIFS('Final 2014 NQC List'!$K$2:$K$743,'Final 2014 NQC List'!$V$2:$V$743,"SOLAR",'Final 2014 NQC List'!$S$2:$S$743,"&lt;="&amp;DATE((N$2-$B$101),12,31))+SUMIFS('Final 2014 NQC List'!$K$2:$K$743,'Final 2014 NQC List'!$V$2:$V$743,"WIND",'Final 2014 NQC List'!$S$2:$S$743,"&lt;="&amp;DATE((N$2-$B$101),12,31))</f>
        <v>645.28941743592998</v>
      </c>
      <c r="O101" s="5">
        <f>SUMIFS('Final 2014 NQC List'!$K$2:$K$743,'Final 2014 NQC List'!$V$2:$V$743,"SOLAR",'Final 2014 NQC List'!$S$2:$S$743,"&lt;="&amp;DATE((O$2-$B$101),12,31))+SUMIFS('Final 2014 NQC List'!$K$2:$K$743,'Final 2014 NQC List'!$V$2:$V$743,"WIND",'Final 2014 NQC List'!$S$2:$S$743,"&lt;="&amp;DATE((O$2-$B$101),12,31))</f>
        <v>645.28941743592998</v>
      </c>
      <c r="P101" s="5">
        <f>SUMIFS('Final 2014 NQC List'!$K$2:$K$743,'Final 2014 NQC List'!$V$2:$V$743,"SOLAR",'Final 2014 NQC List'!$S$2:$S$743,"&lt;="&amp;DATE((P$2-$B$101),12,31))+SUMIFS('Final 2014 NQC List'!$K$2:$K$743,'Final 2014 NQC List'!$V$2:$V$743,"WIND",'Final 2014 NQC List'!$S$2:$S$743,"&lt;="&amp;DATE((P$2-$B$101),12,31))</f>
        <v>665.35941743593003</v>
      </c>
      <c r="Q101" s="5">
        <f>SUMIFS('Final 2014 NQC List'!$K$2:$K$743,'Final 2014 NQC List'!$V$2:$V$743,"SOLAR",'Final 2014 NQC List'!$S$2:$S$743,"&lt;="&amp;DATE((Q$2-$B$101),12,31))+SUMIFS('Final 2014 NQC List'!$K$2:$K$743,'Final 2014 NQC List'!$V$2:$V$743,"WIND",'Final 2014 NQC List'!$S$2:$S$743,"&lt;="&amp;DATE((Q$2-$B$101),12,31))</f>
        <v>700.69941743592994</v>
      </c>
      <c r="R101" s="5">
        <f>SUMIFS('Final 2014 NQC List'!$K$2:$K$743,'Final 2014 NQC List'!$V$2:$V$743,"SOLAR",'Final 2014 NQC List'!$S$2:$S$743,"&lt;="&amp;DATE((R$2-$B$101),12,31))+SUMIFS('Final 2014 NQC List'!$K$2:$K$743,'Final 2014 NQC List'!$V$2:$V$743,"WIND",'Final 2014 NQC List'!$S$2:$S$743,"&lt;="&amp;DATE((R$2-$B$101),12,31))</f>
        <v>700.69941743592994</v>
      </c>
      <c r="S101" s="5">
        <f>SUMIFS('Final 2014 NQC List'!$K$2:$K$743,'Final 2014 NQC List'!$V$2:$V$743,"SOLAR",'Final 2014 NQC List'!$S$2:$S$743,"&lt;="&amp;DATE((S$2-$B$101),12,31))+SUMIFS('Final 2014 NQC List'!$K$2:$K$743,'Final 2014 NQC List'!$V$2:$V$743,"WIND",'Final 2014 NQC List'!$S$2:$S$743,"&lt;="&amp;DATE((S$2-$B$101),12,31))</f>
        <v>709.17941743592996</v>
      </c>
      <c r="T101" s="5">
        <f>SUMIFS('Final 2014 NQC List'!$K$2:$K$743,'Final 2014 NQC List'!$V$2:$V$743,"SOLAR",'Final 2014 NQC List'!$S$2:$S$743,"&lt;="&amp;DATE((T$2-$B$101),12,31))+SUMIFS('Final 2014 NQC List'!$K$2:$K$743,'Final 2014 NQC List'!$V$2:$V$743,"WIND",'Final 2014 NQC List'!$S$2:$S$743,"&lt;="&amp;DATE((T$2-$B$101),12,31))</f>
        <v>747.38941743593</v>
      </c>
      <c r="U101" s="5">
        <f>SUMIFS('Final 2014 NQC List'!$K$2:$K$743,'Final 2014 NQC List'!$V$2:$V$743,"SOLAR",'Final 2014 NQC List'!$S$2:$S$743,"&lt;="&amp;DATE((U$2-$B$101),12,31))+SUMIFS('Final 2014 NQC List'!$K$2:$K$743,'Final 2014 NQC List'!$V$2:$V$743,"WIND",'Final 2014 NQC List'!$S$2:$S$743,"&lt;="&amp;DATE((U$2-$B$101),12,31))</f>
        <v>825.37941743593001</v>
      </c>
      <c r="V101" s="5">
        <f>SUMIFS('Final 2014 NQC List'!$K$2:$K$743,'Final 2014 NQC List'!$V$2:$V$743,"SOLAR",'Final 2014 NQC List'!$S$2:$S$743,"&lt;="&amp;DATE((V$2-$B$101),12,31))+SUMIFS('Final 2014 NQC List'!$K$2:$K$743,'Final 2014 NQC List'!$V$2:$V$743,"WIND",'Final 2014 NQC List'!$S$2:$S$743,"&lt;="&amp;DATE((V$2-$B$101),12,31))</f>
        <v>902.9994174359299</v>
      </c>
      <c r="W101" s="5">
        <f>SUMIFS('Final 2014 NQC List'!$K$2:$K$743,'Final 2014 NQC List'!$V$2:$V$743,"SOLAR",'Final 2014 NQC List'!$S$2:$S$743,"&lt;="&amp;DATE((W$2-$B$101),12,31))+SUMIFS('Final 2014 NQC List'!$K$2:$K$743,'Final 2014 NQC List'!$V$2:$V$743,"WIND",'Final 2014 NQC List'!$S$2:$S$743,"&lt;="&amp;DATE((W$2-$B$101),12,31))</f>
        <v>1211.87941743593</v>
      </c>
      <c r="X101" s="5">
        <f>SUMIFS('Final 2014 NQC List'!$K$2:$K$743,'Final 2014 NQC List'!$V$2:$V$743,"SOLAR",'Final 2014 NQC List'!$S$2:$S$743,"&lt;="&amp;DATE((X$2-$B$101),12,31))+SUMIFS('Final 2014 NQC List'!$K$2:$K$743,'Final 2014 NQC List'!$V$2:$V$743,"WIND",'Final 2014 NQC List'!$S$2:$S$743,"&lt;="&amp;DATE((X$2-$B$101),12,31))</f>
        <v>2586.6720680811291</v>
      </c>
      <c r="Y101" s="5">
        <f>SUMIFS('Final 2014 NQC List'!$K$2:$K$743,'Final 2014 NQC List'!$V$2:$V$743,"SOLAR",'Final 2014 NQC List'!$S$2:$S$743,"&lt;="&amp;DATE((Y$2-$B$101),12,31))+SUMIFS('Final 2014 NQC List'!$K$2:$K$743,'Final 2014 NQC List'!$V$2:$V$743,"WIND",'Final 2014 NQC List'!$S$2:$S$743,"&lt;="&amp;DATE((Y$2-$B$101),12,31))</f>
        <v>2754.5820680811289</v>
      </c>
      <c r="Z101" s="8"/>
    </row>
    <row r="102" spans="1:26" s="19" customFormat="1">
      <c r="B102" s="662"/>
      <c r="C102" s="19" t="s">
        <v>0</v>
      </c>
      <c r="D102" s="3" t="str">
        <f>CONCATENATE(D58,"+",D59)</f>
        <v>Geothermal+Biomass</v>
      </c>
      <c r="E102" s="5">
        <v>0</v>
      </c>
      <c r="F102" s="5">
        <f>E102</f>
        <v>0</v>
      </c>
      <c r="G102" s="5">
        <f t="shared" ref="G102:Y102" si="92">F102</f>
        <v>0</v>
      </c>
      <c r="H102" s="5">
        <f t="shared" si="92"/>
        <v>0</v>
      </c>
      <c r="I102" s="5">
        <f t="shared" si="92"/>
        <v>0</v>
      </c>
      <c r="J102" s="5">
        <f t="shared" si="92"/>
        <v>0</v>
      </c>
      <c r="K102" s="5">
        <f t="shared" si="92"/>
        <v>0</v>
      </c>
      <c r="L102" s="5">
        <f t="shared" si="92"/>
        <v>0</v>
      </c>
      <c r="M102" s="5">
        <f t="shared" si="92"/>
        <v>0</v>
      </c>
      <c r="N102" s="5">
        <f t="shared" si="92"/>
        <v>0</v>
      </c>
      <c r="O102" s="5">
        <f t="shared" si="92"/>
        <v>0</v>
      </c>
      <c r="P102" s="5">
        <f t="shared" si="92"/>
        <v>0</v>
      </c>
      <c r="Q102" s="5">
        <f t="shared" si="92"/>
        <v>0</v>
      </c>
      <c r="R102" s="5">
        <f t="shared" si="92"/>
        <v>0</v>
      </c>
      <c r="S102" s="5">
        <f t="shared" si="92"/>
        <v>0</v>
      </c>
      <c r="T102" s="5">
        <f t="shared" si="92"/>
        <v>0</v>
      </c>
      <c r="U102" s="5">
        <f t="shared" si="92"/>
        <v>0</v>
      </c>
      <c r="V102" s="5">
        <f t="shared" si="92"/>
        <v>0</v>
      </c>
      <c r="W102" s="5">
        <f t="shared" si="92"/>
        <v>0</v>
      </c>
      <c r="X102" s="5">
        <f t="shared" si="92"/>
        <v>0</v>
      </c>
      <c r="Y102" s="5">
        <f t="shared" si="92"/>
        <v>0</v>
      </c>
      <c r="Z102" s="8"/>
    </row>
    <row r="103" spans="1:26" s="19" customFormat="1">
      <c r="A103" s="19" t="s">
        <v>4245</v>
      </c>
      <c r="B103" s="663">
        <v>40</v>
      </c>
      <c r="C103" s="19" t="s">
        <v>7</v>
      </c>
      <c r="D103" s="3" t="str">
        <f>CONCATENATE(D58,"+",D59)</f>
        <v>Geothermal+Biomass</v>
      </c>
      <c r="E103" s="5">
        <f>SUMIFS('Final 2014 NQC List'!$K$2:$K$743,'Final 2014 NQC List'!$V$2:$V$743,"GEOTHERMAL",'Final 2014 NQC List'!$S$2:$S$743,"&lt;="&amp;DATE((E$2-$B$103),12,31))+SUMIFS('Final 2014 NQC List'!$K$2:$K$743,'Final 2014 NQC List'!$V$2:$V$743,"BIOMASS",'Final 2014 NQC List'!$S$2:$S$743,"&lt;="&amp;DATE((E$2-$B$103),12,31))</f>
        <v>156</v>
      </c>
      <c r="F103" s="5">
        <f>SUMIFS('Final 2014 NQC List'!$K$2:$K$743,'Final 2014 NQC List'!$V$2:$V$743,"GEOTHERMAL",'Final 2014 NQC List'!$S$2:$S$743,"&lt;="&amp;DATE((F$2-$B$103),12,31))+SUMIFS('Final 2014 NQC List'!$K$2:$K$743,'Final 2014 NQC List'!$V$2:$V$743,"BIOMASS",'Final 2014 NQC List'!$S$2:$S$743,"&lt;="&amp;DATE((F$2-$B$103),12,31))</f>
        <v>221</v>
      </c>
      <c r="G103" s="5">
        <f>SUMIFS('Final 2014 NQC List'!$K$2:$K$743,'Final 2014 NQC List'!$V$2:$V$743,"GEOTHERMAL",'Final 2014 NQC List'!$S$2:$S$743,"&lt;="&amp;DATE((G$2-$B$103),12,31))+SUMIFS('Final 2014 NQC List'!$K$2:$K$743,'Final 2014 NQC List'!$V$2:$V$743,"BIOMASS",'Final 2014 NQC List'!$S$2:$S$743,"&lt;="&amp;DATE((G$2-$B$103),12,31))</f>
        <v>221</v>
      </c>
      <c r="H103" s="5">
        <f>SUMIFS('Final 2014 NQC List'!$K$2:$K$743,'Final 2014 NQC List'!$V$2:$V$743,"GEOTHERMAL",'Final 2014 NQC List'!$S$2:$S$743,"&lt;="&amp;DATE((H$2-$B$103),12,31))+SUMIFS('Final 2014 NQC List'!$K$2:$K$743,'Final 2014 NQC List'!$V$2:$V$743,"BIOMASS",'Final 2014 NQC List'!$S$2:$S$743,"&lt;="&amp;DATE((H$2-$B$103),12,31))</f>
        <v>221</v>
      </c>
      <c r="I103" s="5">
        <f>SUMIFS('Final 2014 NQC List'!$K$2:$K$743,'Final 2014 NQC List'!$V$2:$V$743,"GEOTHERMAL",'Final 2014 NQC List'!$S$2:$S$743,"&lt;="&amp;DATE((I$2-$B$103),12,31))+SUMIFS('Final 2014 NQC List'!$K$2:$K$743,'Final 2014 NQC List'!$V$2:$V$743,"BIOMASS",'Final 2014 NQC List'!$S$2:$S$743,"&lt;="&amp;DATE((I$2-$B$103),12,31))</f>
        <v>221</v>
      </c>
      <c r="J103" s="5">
        <f>SUMIFS('Final 2014 NQC List'!$K$2:$K$743,'Final 2014 NQC List'!$V$2:$V$743,"GEOTHERMAL",'Final 2014 NQC List'!$S$2:$S$743,"&lt;="&amp;DATE((J$2-$B$103),12,31))+SUMIFS('Final 2014 NQC List'!$K$2:$K$743,'Final 2014 NQC List'!$V$2:$V$743,"BIOMASS",'Final 2014 NQC List'!$S$2:$S$743,"&lt;="&amp;DATE((J$2-$B$103),12,31))</f>
        <v>271</v>
      </c>
      <c r="K103" s="5">
        <f>SUMIFS('Final 2014 NQC List'!$K$2:$K$743,'Final 2014 NQC List'!$V$2:$V$743,"GEOTHERMAL",'Final 2014 NQC List'!$S$2:$S$743,"&lt;="&amp;DATE((K$2-$B$103),12,31))+SUMIFS('Final 2014 NQC List'!$K$2:$K$743,'Final 2014 NQC List'!$V$2:$V$743,"BIOMASS",'Final 2014 NQC List'!$S$2:$S$743,"&lt;="&amp;DATE((K$2-$B$103),12,31))</f>
        <v>377</v>
      </c>
      <c r="L103" s="5">
        <f>SUMIFS('Final 2014 NQC List'!$K$2:$K$743,'Final 2014 NQC List'!$V$2:$V$743,"GEOTHERMAL",'Final 2014 NQC List'!$S$2:$S$743,"&lt;="&amp;DATE((L$2-$B$103),12,31))+SUMIFS('Final 2014 NQC List'!$K$2:$K$743,'Final 2014 NQC List'!$V$2:$V$743,"BIOMASS",'Final 2014 NQC List'!$S$2:$S$743,"&lt;="&amp;DATE((L$2-$B$103),12,31))</f>
        <v>377</v>
      </c>
      <c r="M103" s="5">
        <f>SUMIFS('Final 2014 NQC List'!$K$2:$K$743,'Final 2014 NQC List'!$V$2:$V$743,"GEOTHERMAL",'Final 2014 NQC List'!$S$2:$S$743,"&lt;="&amp;DATE((M$2-$B$103),12,31))+SUMIFS('Final 2014 NQC List'!$K$2:$K$743,'Final 2014 NQC List'!$V$2:$V$743,"BIOMASS",'Final 2014 NQC List'!$S$2:$S$743,"&lt;="&amp;DATE((M$2-$B$103),12,31))</f>
        <v>430</v>
      </c>
      <c r="N103" s="5">
        <f>SUMIFS('Final 2014 NQC List'!$K$2:$K$743,'Final 2014 NQC List'!$V$2:$V$743,"GEOTHERMAL",'Final 2014 NQC List'!$S$2:$S$743,"&lt;="&amp;DATE((N$2-$B$103),12,31))+SUMIFS('Final 2014 NQC List'!$K$2:$K$743,'Final 2014 NQC List'!$V$2:$V$743,"BIOMASS",'Final 2014 NQC List'!$S$2:$S$743,"&lt;="&amp;DATE((N$2-$B$103),12,31))</f>
        <v>581.02305032258073</v>
      </c>
      <c r="O103" s="5">
        <f>SUMIFS('Final 2014 NQC List'!$K$2:$K$743,'Final 2014 NQC List'!$V$2:$V$743,"GEOTHERMAL",'Final 2014 NQC List'!$S$2:$S$743,"&lt;="&amp;DATE((O$2-$B$103),12,31))+SUMIFS('Final 2014 NQC List'!$K$2:$K$743,'Final 2014 NQC List'!$V$2:$V$743,"BIOMASS",'Final 2014 NQC List'!$S$2:$S$743,"&lt;="&amp;DATE((O$2-$B$103),12,31))</f>
        <v>658.79305032258071</v>
      </c>
      <c r="P103" s="5">
        <f>SUMIFS('Final 2014 NQC List'!$K$2:$K$743,'Final 2014 NQC List'!$V$2:$V$743,"GEOTHERMAL",'Final 2014 NQC List'!$S$2:$S$743,"&lt;="&amp;DATE((P$2-$B$103),12,31))+SUMIFS('Final 2014 NQC List'!$K$2:$K$743,'Final 2014 NQC List'!$V$2:$V$743,"BIOMASS",'Final 2014 NQC List'!$S$2:$S$743,"&lt;="&amp;DATE((P$2-$B$103),12,31))</f>
        <v>761.68733440860206</v>
      </c>
      <c r="Q103" s="5">
        <f>SUMIFS('Final 2014 NQC List'!$K$2:$K$743,'Final 2014 NQC List'!$V$2:$V$743,"GEOTHERMAL",'Final 2014 NQC List'!$S$2:$S$743,"&lt;="&amp;DATE((Q$2-$B$103),12,31))+SUMIFS('Final 2014 NQC List'!$K$2:$K$743,'Final 2014 NQC List'!$V$2:$V$743,"BIOMASS",'Final 2014 NQC List'!$S$2:$S$743,"&lt;="&amp;DATE((Q$2-$B$103),12,31))</f>
        <v>934.62602086021502</v>
      </c>
      <c r="R103" s="5">
        <f>SUMIFS('Final 2014 NQC List'!$K$2:$K$743,'Final 2014 NQC List'!$V$2:$V$743,"GEOTHERMAL",'Final 2014 NQC List'!$S$2:$S$743,"&lt;="&amp;DATE((R$2-$B$103),12,31))+SUMIFS('Final 2014 NQC List'!$K$2:$K$743,'Final 2014 NQC List'!$V$2:$V$743,"BIOMASS",'Final 2014 NQC List'!$S$2:$S$743,"&lt;="&amp;DATE((R$2-$B$103),12,31))</f>
        <v>1046.4960208602149</v>
      </c>
      <c r="S103" s="5">
        <f>SUMIFS('Final 2014 NQC List'!$K$2:$K$743,'Final 2014 NQC List'!$V$2:$V$743,"GEOTHERMAL",'Final 2014 NQC List'!$S$2:$S$743,"&lt;="&amp;DATE((S$2-$B$103),12,31))+SUMIFS('Final 2014 NQC List'!$K$2:$K$743,'Final 2014 NQC List'!$V$2:$V$743,"BIOMASS",'Final 2014 NQC List'!$S$2:$S$743,"&lt;="&amp;DATE((S$2-$B$103),12,31))</f>
        <v>1250.946020860215</v>
      </c>
      <c r="T103" s="5">
        <f>SUMIFS('Final 2014 NQC List'!$K$2:$K$743,'Final 2014 NQC List'!$V$2:$V$743,"GEOTHERMAL",'Final 2014 NQC List'!$S$2:$S$743,"&lt;="&amp;DATE((T$2-$B$103),12,31))+SUMIFS('Final 2014 NQC List'!$K$2:$K$743,'Final 2014 NQC List'!$V$2:$V$743,"BIOMASS",'Final 2014 NQC List'!$S$2:$S$743,"&lt;="&amp;DATE((T$2-$B$103),12,31))</f>
        <v>1453.2160208602149</v>
      </c>
      <c r="U103" s="5">
        <f>SUMIFS('Final 2014 NQC List'!$K$2:$K$743,'Final 2014 NQC List'!$V$2:$V$743,"GEOTHERMAL",'Final 2014 NQC List'!$S$2:$S$743,"&lt;="&amp;DATE((U$2-$B$103),12,31))+SUMIFS('Final 2014 NQC List'!$K$2:$K$743,'Final 2014 NQC List'!$V$2:$V$743,"BIOMASS",'Final 2014 NQC List'!$S$2:$S$743,"&lt;="&amp;DATE((U$2-$B$103),12,31))</f>
        <v>1517.7260208602149</v>
      </c>
      <c r="V103" s="5">
        <f>SUMIFS('Final 2014 NQC List'!$K$2:$K$743,'Final 2014 NQC List'!$V$2:$V$743,"GEOTHERMAL",'Final 2014 NQC List'!$S$2:$S$743,"&lt;="&amp;DATE((V$2-$B$103),12,31))+SUMIFS('Final 2014 NQC List'!$K$2:$K$743,'Final 2014 NQC List'!$V$2:$V$743,"BIOMASS",'Final 2014 NQC List'!$S$2:$S$743,"&lt;="&amp;DATE((V$2-$B$103),12,31))</f>
        <v>1517.7360208602149</v>
      </c>
      <c r="W103" s="5">
        <f>SUMIFS('Final 2014 NQC List'!$K$2:$K$743,'Final 2014 NQC List'!$V$2:$V$743,"GEOTHERMAL",'Final 2014 NQC List'!$S$2:$S$743,"&lt;="&amp;DATE((W$2-$B$103),12,31))+SUMIFS('Final 2014 NQC List'!$K$2:$K$743,'Final 2014 NQC List'!$V$2:$V$743,"BIOMASS",'Final 2014 NQC List'!$S$2:$S$743,"&lt;="&amp;DATE((W$2-$B$103),12,31))</f>
        <v>1517.7360208602149</v>
      </c>
      <c r="X103" s="5">
        <f>SUMIFS('Final 2014 NQC List'!$K$2:$K$743,'Final 2014 NQC List'!$V$2:$V$743,"GEOTHERMAL",'Final 2014 NQC List'!$S$2:$S$743,"&lt;="&amp;DATE((X$2-$B$103),12,31))+SUMIFS('Final 2014 NQC List'!$K$2:$K$743,'Final 2014 NQC List'!$V$2:$V$743,"BIOMASS",'Final 2014 NQC List'!$S$2:$S$743,"&lt;="&amp;DATE((X$2-$B$103),12,31))</f>
        <v>1521.8760208602148</v>
      </c>
      <c r="Y103" s="5">
        <f>SUMIFS('Final 2014 NQC List'!$K$2:$K$743,'Final 2014 NQC List'!$V$2:$V$743,"GEOTHERMAL",'Final 2014 NQC List'!$S$2:$S$743,"&lt;="&amp;DATE((Y$2-$B$103),12,31))+SUMIFS('Final 2014 NQC List'!$K$2:$K$743,'Final 2014 NQC List'!$V$2:$V$743,"BIOMASS",'Final 2014 NQC List'!$S$2:$S$743,"&lt;="&amp;DATE((Y$2-$B$103),12,31))</f>
        <v>1521.8760208602148</v>
      </c>
      <c r="Z103" s="8"/>
    </row>
    <row r="104" spans="1:26" s="19" customFormat="1">
      <c r="A104" s="19" t="s">
        <v>4245</v>
      </c>
      <c r="B104" s="663">
        <v>25</v>
      </c>
      <c r="C104" s="19" t="s">
        <v>1</v>
      </c>
      <c r="D104" s="3" t="str">
        <f>CONCATENATE(D58,"+",D59)</f>
        <v>Geothermal+Biomass</v>
      </c>
      <c r="E104" s="5">
        <f>SUMIFS('Final 2014 NQC List'!$K$2:$K$743,'Final 2014 NQC List'!$V$2:$V$743,"GEOTHERMAL",'Final 2014 NQC List'!$S$2:$S$743,"&lt;="&amp;DATE((E$2-$B$104),12,31))+SUMIFS('Final 2014 NQC List'!$K$2:$K$743,'Final 2014 NQC List'!$V$2:$V$743,"BIOMASS",'Final 2014 NQC List'!$S$2:$S$743,"&lt;="&amp;DATE((E$2-$B$104),12,31))</f>
        <v>1453.2160208602149</v>
      </c>
      <c r="F104" s="5">
        <f>SUMIFS('Final 2014 NQC List'!$K$2:$K$743,'Final 2014 NQC List'!$V$2:$V$743,"GEOTHERMAL",'Final 2014 NQC List'!$S$2:$S$743,"&lt;="&amp;DATE((F$2-$B$104),12,31))+SUMIFS('Final 2014 NQC List'!$K$2:$K$743,'Final 2014 NQC List'!$V$2:$V$743,"BIOMASS",'Final 2014 NQC List'!$S$2:$S$743,"&lt;="&amp;DATE((F$2-$B$104),12,31))</f>
        <v>1517.7260208602149</v>
      </c>
      <c r="G104" s="5">
        <f>SUMIFS('Final 2014 NQC List'!$K$2:$K$743,'Final 2014 NQC List'!$V$2:$V$743,"GEOTHERMAL",'Final 2014 NQC List'!$S$2:$S$743,"&lt;="&amp;DATE((G$2-$B$104),12,31))+SUMIFS('Final 2014 NQC List'!$K$2:$K$743,'Final 2014 NQC List'!$V$2:$V$743,"BIOMASS",'Final 2014 NQC List'!$S$2:$S$743,"&lt;="&amp;DATE((G$2-$B$104),12,31))</f>
        <v>1517.7360208602149</v>
      </c>
      <c r="H104" s="5">
        <f>SUMIFS('Final 2014 NQC List'!$K$2:$K$743,'Final 2014 NQC List'!$V$2:$V$743,"GEOTHERMAL",'Final 2014 NQC List'!$S$2:$S$743,"&lt;="&amp;DATE((H$2-$B$104),12,31))+SUMIFS('Final 2014 NQC List'!$K$2:$K$743,'Final 2014 NQC List'!$V$2:$V$743,"BIOMASS",'Final 2014 NQC List'!$S$2:$S$743,"&lt;="&amp;DATE((H$2-$B$104),12,31))</f>
        <v>1517.7360208602149</v>
      </c>
      <c r="I104" s="5">
        <f>SUMIFS('Final 2014 NQC List'!$K$2:$K$743,'Final 2014 NQC List'!$V$2:$V$743,"GEOTHERMAL",'Final 2014 NQC List'!$S$2:$S$743,"&lt;="&amp;DATE((I$2-$B$104),12,31))+SUMIFS('Final 2014 NQC List'!$K$2:$K$743,'Final 2014 NQC List'!$V$2:$V$743,"BIOMASS",'Final 2014 NQC List'!$S$2:$S$743,"&lt;="&amp;DATE((I$2-$B$104),12,31))</f>
        <v>1521.8760208602148</v>
      </c>
      <c r="J104" s="5">
        <f>SUMIFS('Final 2014 NQC List'!$K$2:$K$743,'Final 2014 NQC List'!$V$2:$V$743,"GEOTHERMAL",'Final 2014 NQC List'!$S$2:$S$743,"&lt;="&amp;DATE((J$2-$B$104),12,31))+SUMIFS('Final 2014 NQC List'!$K$2:$K$743,'Final 2014 NQC List'!$V$2:$V$743,"BIOMASS",'Final 2014 NQC List'!$S$2:$S$743,"&lt;="&amp;DATE((J$2-$B$104),12,31))</f>
        <v>1521.8760208602148</v>
      </c>
      <c r="K104" s="5">
        <f>SUMIFS('Final 2014 NQC List'!$K$2:$K$743,'Final 2014 NQC List'!$V$2:$V$743,"GEOTHERMAL",'Final 2014 NQC List'!$S$2:$S$743,"&lt;="&amp;DATE((K$2-$B$104),12,31))+SUMIFS('Final 2014 NQC List'!$K$2:$K$743,'Final 2014 NQC List'!$V$2:$V$743,"BIOMASS",'Final 2014 NQC List'!$S$2:$S$743,"&lt;="&amp;DATE((K$2-$B$104),12,31))</f>
        <v>1536.0160208602149</v>
      </c>
      <c r="L104" s="5">
        <f>SUMIFS('Final 2014 NQC List'!$K$2:$K$743,'Final 2014 NQC List'!$V$2:$V$743,"GEOTHERMAL",'Final 2014 NQC List'!$S$2:$S$743,"&lt;="&amp;DATE((L$2-$B$104),12,31))+SUMIFS('Final 2014 NQC List'!$K$2:$K$743,'Final 2014 NQC List'!$V$2:$V$743,"BIOMASS",'Final 2014 NQC List'!$S$2:$S$743,"&lt;="&amp;DATE((L$2-$B$104),12,31))</f>
        <v>1542.596020860215</v>
      </c>
      <c r="M104" s="5">
        <f>SUMIFS('Final 2014 NQC List'!$K$2:$K$743,'Final 2014 NQC List'!$V$2:$V$743,"GEOTHERMAL",'Final 2014 NQC List'!$S$2:$S$743,"&lt;="&amp;DATE((M$2-$B$104),12,31))+SUMIFS('Final 2014 NQC List'!$K$2:$K$743,'Final 2014 NQC List'!$V$2:$V$743,"BIOMASS",'Final 2014 NQC List'!$S$2:$S$743,"&lt;="&amp;DATE((M$2-$B$104),12,31))</f>
        <v>1544.5460208602149</v>
      </c>
      <c r="N104" s="5">
        <f>SUMIFS('Final 2014 NQC List'!$K$2:$K$743,'Final 2014 NQC List'!$V$2:$V$743,"GEOTHERMAL",'Final 2014 NQC List'!$S$2:$S$743,"&lt;="&amp;DATE((N$2-$B$104),12,31))+SUMIFS('Final 2014 NQC List'!$K$2:$K$743,'Final 2014 NQC List'!$V$2:$V$743,"BIOMASS",'Final 2014 NQC List'!$S$2:$S$743,"&lt;="&amp;DATE((N$2-$B$104),12,31))</f>
        <v>1544.7160208602149</v>
      </c>
      <c r="O104" s="5">
        <f>SUMIFS('Final 2014 NQC List'!$K$2:$K$743,'Final 2014 NQC List'!$V$2:$V$743,"GEOTHERMAL",'Final 2014 NQC List'!$S$2:$S$743,"&lt;="&amp;DATE((O$2-$B$104),12,31))+SUMIFS('Final 2014 NQC List'!$K$2:$K$743,'Final 2014 NQC List'!$V$2:$V$743,"BIOMASS",'Final 2014 NQC List'!$S$2:$S$743,"&lt;="&amp;DATE((O$2-$B$104),12,31))</f>
        <v>1555.7660208602149</v>
      </c>
      <c r="P104" s="5">
        <f>SUMIFS('Final 2014 NQC List'!$K$2:$K$743,'Final 2014 NQC List'!$V$2:$V$743,"GEOTHERMAL",'Final 2014 NQC List'!$S$2:$S$743,"&lt;="&amp;DATE((P$2-$B$104),12,31))+SUMIFS('Final 2014 NQC List'!$K$2:$K$743,'Final 2014 NQC List'!$V$2:$V$743,"BIOMASS",'Final 2014 NQC List'!$S$2:$S$743,"&lt;="&amp;DATE((P$2-$B$104),12,31))</f>
        <v>1558.656020860215</v>
      </c>
      <c r="Q104" s="5">
        <f>SUMIFS('Final 2014 NQC List'!$K$2:$K$743,'Final 2014 NQC List'!$V$2:$V$743,"GEOTHERMAL",'Final 2014 NQC List'!$S$2:$S$743,"&lt;="&amp;DATE((Q$2-$B$104),12,31))+SUMIFS('Final 2014 NQC List'!$K$2:$K$743,'Final 2014 NQC List'!$V$2:$V$743,"BIOMASS",'Final 2014 NQC List'!$S$2:$S$743,"&lt;="&amp;DATE((Q$2-$B$104),12,31))</f>
        <v>1577.0460208602149</v>
      </c>
      <c r="R104" s="5">
        <f>SUMIFS('Final 2014 NQC List'!$K$2:$K$743,'Final 2014 NQC List'!$V$2:$V$743,"GEOTHERMAL",'Final 2014 NQC List'!$S$2:$S$743,"&lt;="&amp;DATE((R$2-$B$104),12,31))+SUMIFS('Final 2014 NQC List'!$K$2:$K$743,'Final 2014 NQC List'!$V$2:$V$743,"BIOMASS",'Final 2014 NQC List'!$S$2:$S$743,"&lt;="&amp;DATE((R$2-$B$104),12,31))</f>
        <v>1581.136020860215</v>
      </c>
      <c r="S104" s="5">
        <f>SUMIFS('Final 2014 NQC List'!$K$2:$K$743,'Final 2014 NQC List'!$V$2:$V$743,"GEOTHERMAL",'Final 2014 NQC List'!$S$2:$S$743,"&lt;="&amp;DATE((S$2-$B$104),12,31))+SUMIFS('Final 2014 NQC List'!$K$2:$K$743,'Final 2014 NQC List'!$V$2:$V$743,"BIOMASS",'Final 2014 NQC List'!$S$2:$S$743,"&lt;="&amp;DATE((S$2-$B$104),12,31))</f>
        <v>1586.7428245366855</v>
      </c>
      <c r="T104" s="5">
        <f>SUMIFS('Final 2014 NQC List'!$K$2:$K$743,'Final 2014 NQC List'!$V$2:$V$743,"GEOTHERMAL",'Final 2014 NQC List'!$S$2:$S$743,"&lt;="&amp;DATE((T$2-$B$104),12,31))+SUMIFS('Final 2014 NQC List'!$K$2:$K$743,'Final 2014 NQC List'!$V$2:$V$743,"BIOMASS",'Final 2014 NQC List'!$S$2:$S$743,"&lt;="&amp;DATE((T$2-$B$104),12,31))</f>
        <v>1591.8128245366856</v>
      </c>
      <c r="U104" s="5">
        <f>SUMIFS('Final 2014 NQC List'!$K$2:$K$743,'Final 2014 NQC List'!$V$2:$V$743,"GEOTHERMAL",'Final 2014 NQC List'!$S$2:$S$743,"&lt;="&amp;DATE((U$2-$B$104),12,31))+SUMIFS('Final 2014 NQC List'!$K$2:$K$743,'Final 2014 NQC List'!$V$2:$V$743,"BIOMASS",'Final 2014 NQC List'!$S$2:$S$743,"&lt;="&amp;DATE((U$2-$B$104),12,31))</f>
        <v>1591.8128245366856</v>
      </c>
      <c r="V104" s="5">
        <f>SUMIFS('Final 2014 NQC List'!$K$2:$K$743,'Final 2014 NQC List'!$V$2:$V$743,"GEOTHERMAL",'Final 2014 NQC List'!$S$2:$S$743,"&lt;="&amp;DATE((V$2-$B$104),12,31))+SUMIFS('Final 2014 NQC List'!$K$2:$K$743,'Final 2014 NQC List'!$V$2:$V$743,"BIOMASS",'Final 2014 NQC List'!$S$2:$S$743,"&lt;="&amp;DATE((V$2-$B$104),12,31))</f>
        <v>1591.8128245366856</v>
      </c>
      <c r="W104" s="5">
        <f>SUMIFS('Final 2014 NQC List'!$K$2:$K$743,'Final 2014 NQC List'!$V$2:$V$743,"GEOTHERMAL",'Final 2014 NQC List'!$S$2:$S$743,"&lt;="&amp;DATE((W$2-$B$104),12,31))+SUMIFS('Final 2014 NQC List'!$K$2:$K$743,'Final 2014 NQC List'!$V$2:$V$743,"BIOMASS",'Final 2014 NQC List'!$S$2:$S$743,"&lt;="&amp;DATE((W$2-$B$104),12,31))</f>
        <v>1611.5928245366856</v>
      </c>
      <c r="X104" s="5">
        <f>SUMIFS('Final 2014 NQC List'!$K$2:$K$743,'Final 2014 NQC List'!$V$2:$V$743,"GEOTHERMAL",'Final 2014 NQC List'!$S$2:$S$743,"&lt;="&amp;DATE((X$2-$B$104),12,31))+SUMIFS('Final 2014 NQC List'!$K$2:$K$743,'Final 2014 NQC List'!$V$2:$V$743,"BIOMASS",'Final 2014 NQC List'!$S$2:$S$743,"&lt;="&amp;DATE((X$2-$B$104),12,31))</f>
        <v>1626.5528245366854</v>
      </c>
      <c r="Y104" s="5">
        <f>SUMIFS('Final 2014 NQC List'!$K$2:$K$743,'Final 2014 NQC List'!$V$2:$V$743,"GEOTHERMAL",'Final 2014 NQC List'!$S$2:$S$743,"&lt;="&amp;DATE((Y$2-$B$104),12,31))+SUMIFS('Final 2014 NQC List'!$K$2:$K$743,'Final 2014 NQC List'!$V$2:$V$743,"BIOMASS",'Final 2014 NQC List'!$S$2:$S$743,"&lt;="&amp;DATE((Y$2-$B$104),12,31))</f>
        <v>1641.0296177292562</v>
      </c>
      <c r="Z104" s="8"/>
    </row>
    <row r="105" spans="1:26" s="19" customFormat="1">
      <c r="B105" s="662"/>
      <c r="C105" s="19" t="s">
        <v>0</v>
      </c>
      <c r="D105" s="3" t="str">
        <f>D60</f>
        <v>Cogeneration</v>
      </c>
      <c r="E105" s="5">
        <v>0</v>
      </c>
      <c r="F105" s="5">
        <f>E105</f>
        <v>0</v>
      </c>
      <c r="G105" s="5">
        <f t="shared" ref="G105:Y105" si="93">F105</f>
        <v>0</v>
      </c>
      <c r="H105" s="5">
        <f t="shared" si="93"/>
        <v>0</v>
      </c>
      <c r="I105" s="5">
        <f t="shared" si="93"/>
        <v>0</v>
      </c>
      <c r="J105" s="5">
        <f t="shared" si="93"/>
        <v>0</v>
      </c>
      <c r="K105" s="5">
        <f t="shared" si="93"/>
        <v>0</v>
      </c>
      <c r="L105" s="5">
        <f t="shared" si="93"/>
        <v>0</v>
      </c>
      <c r="M105" s="5">
        <f t="shared" si="93"/>
        <v>0</v>
      </c>
      <c r="N105" s="5">
        <f t="shared" si="93"/>
        <v>0</v>
      </c>
      <c r="O105" s="5">
        <f t="shared" si="93"/>
        <v>0</v>
      </c>
      <c r="P105" s="5">
        <f t="shared" si="93"/>
        <v>0</v>
      </c>
      <c r="Q105" s="5">
        <f t="shared" si="93"/>
        <v>0</v>
      </c>
      <c r="R105" s="5">
        <f t="shared" si="93"/>
        <v>0</v>
      </c>
      <c r="S105" s="5">
        <f t="shared" si="93"/>
        <v>0</v>
      </c>
      <c r="T105" s="5">
        <f t="shared" si="93"/>
        <v>0</v>
      </c>
      <c r="U105" s="5">
        <f t="shared" si="93"/>
        <v>0</v>
      </c>
      <c r="V105" s="5">
        <f t="shared" si="93"/>
        <v>0</v>
      </c>
      <c r="W105" s="5">
        <f t="shared" si="93"/>
        <v>0</v>
      </c>
      <c r="X105" s="5">
        <f t="shared" si="93"/>
        <v>0</v>
      </c>
      <c r="Y105" s="5">
        <f t="shared" si="93"/>
        <v>0</v>
      </c>
      <c r="Z105" s="8"/>
    </row>
    <row r="106" spans="1:26" s="19" customFormat="1">
      <c r="A106" s="19" t="s">
        <v>4245</v>
      </c>
      <c r="B106" s="663">
        <v>40</v>
      </c>
      <c r="C106" s="19" t="s">
        <v>7</v>
      </c>
      <c r="D106" s="3" t="str">
        <f>D60</f>
        <v>Cogeneration</v>
      </c>
      <c r="E106" s="5">
        <f>SUMIFS('Final 2014 NQC List'!$K$2:$K$743,'Final 2014 NQC List'!$V$2:$V$743,"COGENERATION",'Final 2014 NQC List'!$S$2:$S$743,"&lt;="&amp;DATE((E$2-$B$106),12,31))</f>
        <v>0</v>
      </c>
      <c r="F106" s="5">
        <f>SUMIFS('Final 2014 NQC List'!$K$2:$K$743,'Final 2014 NQC List'!$V$2:$V$743,"COGENERATION",'Final 2014 NQC List'!$S$2:$S$743,"&lt;="&amp;DATE((F$2-$B$106),12,31))</f>
        <v>0</v>
      </c>
      <c r="G106" s="5">
        <f>SUMIFS('Final 2014 NQC List'!$K$2:$K$743,'Final 2014 NQC List'!$V$2:$V$743,"COGENERATION",'Final 2014 NQC List'!$S$2:$S$743,"&lt;="&amp;DATE((G$2-$B$106),12,31))</f>
        <v>0</v>
      </c>
      <c r="H106" s="5">
        <f>SUMIFS('Final 2014 NQC List'!$K$2:$K$743,'Final 2014 NQC List'!$V$2:$V$743,"COGENERATION",'Final 2014 NQC List'!$S$2:$S$743,"&lt;="&amp;DATE((H$2-$B$106),12,31))</f>
        <v>0.03</v>
      </c>
      <c r="I106" s="5">
        <f>SUMIFS('Final 2014 NQC List'!$K$2:$K$743,'Final 2014 NQC List'!$V$2:$V$743,"COGENERATION",'Final 2014 NQC List'!$S$2:$S$743,"&lt;="&amp;DATE((I$2-$B$106),12,31))</f>
        <v>0.03</v>
      </c>
      <c r="J106" s="5">
        <f>SUMIFS('Final 2014 NQC List'!$K$2:$K$743,'Final 2014 NQC List'!$V$2:$V$743,"COGENERATION",'Final 2014 NQC List'!$S$2:$S$743,"&lt;="&amp;DATE((J$2-$B$106),12,31))</f>
        <v>99.61</v>
      </c>
      <c r="K106" s="5">
        <f>SUMIFS('Final 2014 NQC List'!$K$2:$K$743,'Final 2014 NQC List'!$V$2:$V$743,"COGENERATION",'Final 2014 NQC List'!$S$2:$S$743,"&lt;="&amp;DATE((K$2-$B$106),12,31))</f>
        <v>99.61</v>
      </c>
      <c r="L106" s="5">
        <f>SUMIFS('Final 2014 NQC List'!$K$2:$K$743,'Final 2014 NQC List'!$V$2:$V$743,"COGENERATION",'Final 2014 NQC List'!$S$2:$S$743,"&lt;="&amp;DATE((L$2-$B$106),12,31))</f>
        <v>105.61</v>
      </c>
      <c r="M106" s="5">
        <f>SUMIFS('Final 2014 NQC List'!$K$2:$K$743,'Final 2014 NQC List'!$V$2:$V$743,"COGENERATION",'Final 2014 NQC List'!$S$2:$S$743,"&lt;="&amp;DATE((M$2-$B$106),12,31))</f>
        <v>142.97000000000003</v>
      </c>
      <c r="N106" s="5">
        <f>SUMIFS('Final 2014 NQC List'!$K$2:$K$743,'Final 2014 NQC List'!$V$2:$V$743,"COGENERATION",'Final 2014 NQC List'!$S$2:$S$743,"&lt;="&amp;DATE((N$2-$B$106),12,31))</f>
        <v>172.78000000000003</v>
      </c>
      <c r="O106" s="5">
        <f>SUMIFS('Final 2014 NQC List'!$K$2:$K$743,'Final 2014 NQC List'!$V$2:$V$743,"COGENERATION",'Final 2014 NQC List'!$S$2:$S$743,"&lt;="&amp;DATE((O$2-$B$106),12,31))</f>
        <v>231.14999999999998</v>
      </c>
      <c r="P106" s="5">
        <f>SUMIFS('Final 2014 NQC List'!$K$2:$K$743,'Final 2014 NQC List'!$V$2:$V$743,"COGENERATION",'Final 2014 NQC List'!$S$2:$S$743,"&lt;="&amp;DATE((P$2-$B$106),12,31))</f>
        <v>570.52</v>
      </c>
      <c r="Q106" s="5">
        <f>SUMIFS('Final 2014 NQC List'!$K$2:$K$743,'Final 2014 NQC List'!$V$2:$V$743,"COGENERATION",'Final 2014 NQC List'!$S$2:$S$743,"&lt;="&amp;DATE((Q$2-$B$106),12,31))</f>
        <v>632.0200000000001</v>
      </c>
      <c r="R106" s="5">
        <f>SUMIFS('Final 2014 NQC List'!$K$2:$K$743,'Final 2014 NQC List'!$V$2:$V$743,"COGENERATION",'Final 2014 NQC List'!$S$2:$S$743,"&lt;="&amp;DATE((R$2-$B$106),12,31))</f>
        <v>1331.95</v>
      </c>
      <c r="S106" s="5">
        <f>SUMIFS('Final 2014 NQC List'!$K$2:$K$743,'Final 2014 NQC List'!$V$2:$V$743,"COGENERATION",'Final 2014 NQC List'!$S$2:$S$743,"&lt;="&amp;DATE((S$2-$B$106),12,31))</f>
        <v>1439.8700000000001</v>
      </c>
      <c r="T106" s="5">
        <f>SUMIFS('Final 2014 NQC List'!$K$2:$K$743,'Final 2014 NQC List'!$V$2:$V$743,"COGENERATION",'Final 2014 NQC List'!$S$2:$S$743,"&lt;="&amp;DATE((T$2-$B$106),12,31))</f>
        <v>2138.5300000000002</v>
      </c>
      <c r="U106" s="5">
        <f>SUMIFS('Final 2014 NQC List'!$K$2:$K$743,'Final 2014 NQC List'!$V$2:$V$743,"COGENERATION",'Final 2014 NQC List'!$S$2:$S$743,"&lt;="&amp;DATE((U$2-$B$106),12,31))</f>
        <v>2560.3200000000011</v>
      </c>
      <c r="V106" s="5">
        <f>SUMIFS('Final 2014 NQC List'!$K$2:$K$743,'Final 2014 NQC List'!$V$2:$V$743,"COGENERATION",'Final 2014 NQC List'!$S$2:$S$743,"&lt;="&amp;DATE((V$2-$B$106),12,31))</f>
        <v>2781.6200000000008</v>
      </c>
      <c r="W106" s="5">
        <f>SUMIFS('Final 2014 NQC List'!$K$2:$K$743,'Final 2014 NQC List'!$V$2:$V$743,"COGENERATION",'Final 2014 NQC List'!$S$2:$S$743,"&lt;="&amp;DATE((W$2-$B$106),12,31))</f>
        <v>2783.3400000000006</v>
      </c>
      <c r="X106" s="5">
        <f>SUMIFS('Final 2014 NQC List'!$K$2:$K$743,'Final 2014 NQC List'!$V$2:$V$743,"COGENERATION",'Final 2014 NQC List'!$S$2:$S$743,"&lt;="&amp;DATE((X$2-$B$106),12,31))</f>
        <v>2784.7100000000005</v>
      </c>
      <c r="Y106" s="5">
        <f>SUMIFS('Final 2014 NQC List'!$K$2:$K$743,'Final 2014 NQC List'!$V$2:$V$743,"COGENERATION",'Final 2014 NQC List'!$S$2:$S$743,"&lt;="&amp;DATE((Y$2-$B$106),12,31))</f>
        <v>2826.4200000000005</v>
      </c>
      <c r="Z106" s="8"/>
    </row>
    <row r="107" spans="1:26" s="19" customFormat="1">
      <c r="A107" s="19" t="s">
        <v>4245</v>
      </c>
      <c r="B107" s="663">
        <v>25</v>
      </c>
      <c r="C107" s="19" t="s">
        <v>1</v>
      </c>
      <c r="D107" s="3" t="str">
        <f>D60</f>
        <v>Cogeneration</v>
      </c>
      <c r="E107" s="5">
        <f>SUMIFS('Final 2014 NQC List'!$K$2:$K$743,'Final 2014 NQC List'!$V$2:$V$743,"COGENERATION",'Final 2014 NQC List'!$S$2:$S$743,"&lt;="&amp;DATE((E$2-$B$107),12,31))</f>
        <v>2138.5300000000002</v>
      </c>
      <c r="F107" s="5">
        <f>SUMIFS('Final 2014 NQC List'!$K$2:$K$743,'Final 2014 NQC List'!$V$2:$V$743,"COGENERATION",'Final 2014 NQC List'!$S$2:$S$743,"&lt;="&amp;DATE((F$2-$B$107),12,31))</f>
        <v>2560.3200000000011</v>
      </c>
      <c r="G107" s="5">
        <f>SUMIFS('Final 2014 NQC List'!$K$2:$K$743,'Final 2014 NQC List'!$V$2:$V$743,"COGENERATION",'Final 2014 NQC List'!$S$2:$S$743,"&lt;="&amp;DATE((G$2-$B$107),12,31))</f>
        <v>2781.6200000000008</v>
      </c>
      <c r="H107" s="5">
        <f>SUMIFS('Final 2014 NQC List'!$K$2:$K$743,'Final 2014 NQC List'!$V$2:$V$743,"COGENERATION",'Final 2014 NQC List'!$S$2:$S$743,"&lt;="&amp;DATE((H$2-$B$107),12,31))</f>
        <v>2783.3400000000006</v>
      </c>
      <c r="I107" s="5">
        <f>SUMIFS('Final 2014 NQC List'!$K$2:$K$743,'Final 2014 NQC List'!$V$2:$V$743,"COGENERATION",'Final 2014 NQC List'!$S$2:$S$743,"&lt;="&amp;DATE((I$2-$B$107),12,31))</f>
        <v>2784.7100000000005</v>
      </c>
      <c r="J107" s="5">
        <f>SUMIFS('Final 2014 NQC List'!$K$2:$K$743,'Final 2014 NQC List'!$V$2:$V$743,"COGENERATION",'Final 2014 NQC List'!$S$2:$S$743,"&lt;="&amp;DATE((J$2-$B$107),12,31))</f>
        <v>2826.4200000000005</v>
      </c>
      <c r="K107" s="5">
        <f>SUMIFS('Final 2014 NQC List'!$K$2:$K$743,'Final 2014 NQC List'!$V$2:$V$743,"COGENERATION",'Final 2014 NQC List'!$S$2:$S$743,"&lt;="&amp;DATE((K$2-$B$107),12,31))</f>
        <v>3096.9000000000005</v>
      </c>
      <c r="L107" s="5">
        <f>SUMIFS('Final 2014 NQC List'!$K$2:$K$743,'Final 2014 NQC List'!$V$2:$V$743,"COGENERATION",'Final 2014 NQC List'!$S$2:$S$743,"&lt;="&amp;DATE((L$2-$B$107),12,31))</f>
        <v>3096.9000000000005</v>
      </c>
      <c r="M107" s="5">
        <f>SUMIFS('Final 2014 NQC List'!$K$2:$K$743,'Final 2014 NQC List'!$V$2:$V$743,"COGENERATION",'Final 2014 NQC List'!$S$2:$S$743,"&lt;="&amp;DATE((M$2-$B$107),12,31))</f>
        <v>3096.9000000000005</v>
      </c>
      <c r="N107" s="5">
        <f>SUMIFS('Final 2014 NQC List'!$K$2:$K$743,'Final 2014 NQC List'!$V$2:$V$743,"COGENERATION",'Final 2014 NQC List'!$S$2:$S$743,"&lt;="&amp;DATE((N$2-$B$107),12,31))</f>
        <v>3143.1600000000008</v>
      </c>
      <c r="O107" s="5">
        <f>SUMIFS('Final 2014 NQC List'!$K$2:$K$743,'Final 2014 NQC List'!$V$2:$V$743,"COGENERATION",'Final 2014 NQC List'!$S$2:$S$743,"&lt;="&amp;DATE((O$2-$B$107),12,31))</f>
        <v>3143.1600000000008</v>
      </c>
      <c r="P107" s="5">
        <f>SUMIFS('Final 2014 NQC List'!$K$2:$K$743,'Final 2014 NQC List'!$V$2:$V$743,"COGENERATION",'Final 2014 NQC List'!$S$2:$S$743,"&lt;="&amp;DATE((P$2-$B$107),12,31))</f>
        <v>3161.170000000001</v>
      </c>
      <c r="Q107" s="5">
        <f>SUMIFS('Final 2014 NQC List'!$K$2:$K$743,'Final 2014 NQC List'!$V$2:$V$743,"COGENERATION",'Final 2014 NQC List'!$S$2:$S$743,"&lt;="&amp;DATE((Q$2-$B$107),12,31))</f>
        <v>3161.170000000001</v>
      </c>
      <c r="R107" s="5">
        <f>SUMIFS('Final 2014 NQC List'!$K$2:$K$743,'Final 2014 NQC List'!$V$2:$V$743,"COGENERATION",'Final 2014 NQC List'!$S$2:$S$743,"&lt;="&amp;DATE((R$2-$B$107),12,31))</f>
        <v>3161.170000000001</v>
      </c>
      <c r="S107" s="5">
        <f>SUMIFS('Final 2014 NQC List'!$K$2:$K$743,'Final 2014 NQC List'!$V$2:$V$743,"COGENERATION",'Final 2014 NQC List'!$S$2:$S$743,"&lt;="&amp;DATE((S$2-$B$107),12,31))</f>
        <v>3161.170000000001</v>
      </c>
      <c r="T107" s="5">
        <f>SUMIFS('Final 2014 NQC List'!$K$2:$K$743,'Final 2014 NQC List'!$V$2:$V$743,"COGENERATION",'Final 2014 NQC List'!$S$2:$S$743,"&lt;="&amp;DATE((T$2-$B$107),12,31))</f>
        <v>3161.170000000001</v>
      </c>
      <c r="U107" s="5">
        <f>SUMIFS('Final 2014 NQC List'!$K$2:$K$743,'Final 2014 NQC List'!$V$2:$V$743,"COGENERATION",'Final 2014 NQC List'!$S$2:$S$743,"&lt;="&amp;DATE((U$2-$B$107),12,31))</f>
        <v>3161.170000000001</v>
      </c>
      <c r="V107" s="5">
        <f>SUMIFS('Final 2014 NQC List'!$K$2:$K$743,'Final 2014 NQC List'!$V$2:$V$743,"COGENERATION",'Final 2014 NQC List'!$S$2:$S$743,"&lt;="&amp;DATE((V$2-$B$107),12,31))</f>
        <v>3258.0200000000009</v>
      </c>
      <c r="W107" s="5">
        <f>SUMIFS('Final 2014 NQC List'!$K$2:$K$743,'Final 2014 NQC List'!$V$2:$V$743,"COGENERATION",'Final 2014 NQC List'!$S$2:$S$743,"&lt;="&amp;DATE((W$2-$B$107),12,31))</f>
        <v>3258.0200000000009</v>
      </c>
      <c r="X107" s="5">
        <f>SUMIFS('Final 2014 NQC List'!$K$2:$K$743,'Final 2014 NQC List'!$V$2:$V$743,"COGENERATION",'Final 2014 NQC List'!$S$2:$S$743,"&lt;="&amp;DATE((X$2-$B$107),12,31))</f>
        <v>3258.0200000000009</v>
      </c>
      <c r="Y107" s="5">
        <f>SUMIFS('Final 2014 NQC List'!$K$2:$K$743,'Final 2014 NQC List'!$V$2:$V$743,"COGENERATION",'Final 2014 NQC List'!$S$2:$S$743,"&lt;="&amp;DATE((Y$2-$B$107),12,31))</f>
        <v>3258.0200000000009</v>
      </c>
      <c r="Z107" s="8"/>
    </row>
    <row r="108" spans="1:26" s="19" customFormat="1">
      <c r="B108" s="662"/>
      <c r="C108" s="19" t="s">
        <v>0</v>
      </c>
      <c r="D108" s="3" t="str">
        <f>D62</f>
        <v>Non OTC Peaker</v>
      </c>
      <c r="E108" s="5">
        <v>0</v>
      </c>
      <c r="F108" s="5">
        <f>E108</f>
        <v>0</v>
      </c>
      <c r="G108" s="5">
        <f t="shared" ref="G108:Y108" si="94">F108</f>
        <v>0</v>
      </c>
      <c r="H108" s="5">
        <f t="shared" si="94"/>
        <v>0</v>
      </c>
      <c r="I108" s="5">
        <f t="shared" si="94"/>
        <v>0</v>
      </c>
      <c r="J108" s="5">
        <f t="shared" si="94"/>
        <v>0</v>
      </c>
      <c r="K108" s="5">
        <f t="shared" si="94"/>
        <v>0</v>
      </c>
      <c r="L108" s="5">
        <f t="shared" si="94"/>
        <v>0</v>
      </c>
      <c r="M108" s="5">
        <f t="shared" si="94"/>
        <v>0</v>
      </c>
      <c r="N108" s="5">
        <f t="shared" si="94"/>
        <v>0</v>
      </c>
      <c r="O108" s="5">
        <f t="shared" si="94"/>
        <v>0</v>
      </c>
      <c r="P108" s="5">
        <f t="shared" si="94"/>
        <v>0</v>
      </c>
      <c r="Q108" s="5">
        <f t="shared" si="94"/>
        <v>0</v>
      </c>
      <c r="R108" s="5">
        <f t="shared" si="94"/>
        <v>0</v>
      </c>
      <c r="S108" s="5">
        <f t="shared" si="94"/>
        <v>0</v>
      </c>
      <c r="T108" s="5">
        <f t="shared" si="94"/>
        <v>0</v>
      </c>
      <c r="U108" s="5">
        <f t="shared" si="94"/>
        <v>0</v>
      </c>
      <c r="V108" s="5">
        <f t="shared" si="94"/>
        <v>0</v>
      </c>
      <c r="W108" s="5">
        <f t="shared" si="94"/>
        <v>0</v>
      </c>
      <c r="X108" s="5">
        <f t="shared" si="94"/>
        <v>0</v>
      </c>
      <c r="Y108" s="5">
        <f t="shared" si="94"/>
        <v>0</v>
      </c>
      <c r="Z108" s="8"/>
    </row>
    <row r="109" spans="1:26" s="19" customFormat="1">
      <c r="A109" s="19" t="s">
        <v>4245</v>
      </c>
      <c r="B109" s="663">
        <v>40</v>
      </c>
      <c r="C109" s="19" t="s">
        <v>7</v>
      </c>
      <c r="D109" s="3" t="str">
        <f>D62</f>
        <v>Non OTC Peaker</v>
      </c>
      <c r="E109" s="5">
        <f>SUMIFS('Final 2014 NQC List'!$K$2:$K$743,'Final 2014 NQC List'!$X$2:$X$743,"&lt;&gt;OTC",'Final 2014 NQC List'!$V$2:$V$743,"PEAKER",'Final 2014 NQC List'!$S$2:$S$743,"&lt;="&amp;DATE((E$2-$B$109),12,31))</f>
        <v>242</v>
      </c>
      <c r="F109" s="5">
        <f>SUMIFS('Final 2014 NQC List'!$K$2:$K$743,'Final 2014 NQC List'!$X$2:$X$743,"&lt;&gt;OTC",'Final 2014 NQC List'!$V$2:$V$743,"PEAKER",'Final 2014 NQC List'!$S$2:$S$743,"&lt;="&amp;DATE((F$2-$B$109),12,31))</f>
        <v>242</v>
      </c>
      <c r="G109" s="5">
        <f>SUMIFS('Final 2014 NQC List'!$K$2:$K$743,'Final 2014 NQC List'!$X$2:$X$743,"&lt;&gt;OTC",'Final 2014 NQC List'!$V$2:$V$743,"PEAKER",'Final 2014 NQC List'!$S$2:$S$743,"&lt;="&amp;DATE((G$2-$B$109),12,31))</f>
        <v>286.60000000000002</v>
      </c>
      <c r="H109" s="5">
        <f>SUMIFS('Final 2014 NQC List'!$K$2:$K$743,'Final 2014 NQC List'!$X$2:$X$743,"&lt;&gt;OTC",'Final 2014 NQC List'!$V$2:$V$743,"PEAKER",'Final 2014 NQC List'!$S$2:$S$743,"&lt;="&amp;DATE((H$2-$B$109),12,31))</f>
        <v>286.60000000000002</v>
      </c>
      <c r="I109" s="5">
        <f>SUMIFS('Final 2014 NQC List'!$K$2:$K$743,'Final 2014 NQC List'!$X$2:$X$743,"&lt;&gt;OTC",'Final 2014 NQC List'!$V$2:$V$743,"PEAKER",'Final 2014 NQC List'!$S$2:$S$743,"&lt;="&amp;DATE((I$2-$B$109),12,31))</f>
        <v>451.6</v>
      </c>
      <c r="J109" s="5">
        <f>SUMIFS('Final 2014 NQC List'!$K$2:$K$743,'Final 2014 NQC List'!$X$2:$X$743,"&lt;&gt;OTC",'Final 2014 NQC List'!$V$2:$V$743,"PEAKER",'Final 2014 NQC List'!$S$2:$S$743,"&lt;="&amp;DATE((J$2-$B$109),12,31))</f>
        <v>451.6</v>
      </c>
      <c r="K109" s="5">
        <f>SUMIFS('Final 2014 NQC List'!$K$2:$K$743,'Final 2014 NQC List'!$X$2:$X$743,"&lt;&gt;OTC",'Final 2014 NQC List'!$V$2:$V$743,"PEAKER",'Final 2014 NQC List'!$S$2:$S$743,"&lt;="&amp;DATE((K$2-$B$109),12,31))</f>
        <v>451.6</v>
      </c>
      <c r="L109" s="5">
        <f>SUMIFS('Final 2014 NQC List'!$K$2:$K$743,'Final 2014 NQC List'!$X$2:$X$743,"&lt;&gt;OTC",'Final 2014 NQC List'!$V$2:$V$743,"PEAKER",'Final 2014 NQC List'!$S$2:$S$743,"&lt;="&amp;DATE((L$2-$B$109),12,31))</f>
        <v>451.6</v>
      </c>
      <c r="M109" s="5">
        <f>SUMIFS('Final 2014 NQC List'!$K$2:$K$743,'Final 2014 NQC List'!$X$2:$X$743,"&lt;&gt;OTC",'Final 2014 NQC List'!$V$2:$V$743,"PEAKER",'Final 2014 NQC List'!$S$2:$S$743,"&lt;="&amp;DATE((M$2-$B$109),12,31))</f>
        <v>451.6</v>
      </c>
      <c r="N109" s="5">
        <f>SUMIFS('Final 2014 NQC List'!$K$2:$K$743,'Final 2014 NQC List'!$X$2:$X$743,"&lt;&gt;OTC",'Final 2014 NQC List'!$V$2:$V$743,"PEAKER",'Final 2014 NQC List'!$S$2:$S$743,"&lt;="&amp;DATE((N$2-$B$109),12,31))</f>
        <v>451.6</v>
      </c>
      <c r="O109" s="5">
        <f>SUMIFS('Final 2014 NQC List'!$K$2:$K$743,'Final 2014 NQC List'!$X$2:$X$743,"&lt;&gt;OTC",'Final 2014 NQC List'!$V$2:$V$743,"PEAKER",'Final 2014 NQC List'!$S$2:$S$743,"&lt;="&amp;DATE((O$2-$B$109),12,31))</f>
        <v>451.6</v>
      </c>
      <c r="P109" s="5">
        <f>SUMIFS('Final 2014 NQC List'!$K$2:$K$743,'Final 2014 NQC List'!$X$2:$X$743,"&lt;&gt;OTC",'Final 2014 NQC List'!$V$2:$V$743,"PEAKER",'Final 2014 NQC List'!$S$2:$S$743,"&lt;="&amp;DATE((P$2-$B$109),12,31))</f>
        <v>451.6</v>
      </c>
      <c r="Q109" s="5">
        <f>SUMIFS('Final 2014 NQC List'!$K$2:$K$743,'Final 2014 NQC List'!$X$2:$X$743,"&lt;&gt;OTC",'Final 2014 NQC List'!$V$2:$V$743,"PEAKER",'Final 2014 NQC List'!$S$2:$S$743,"&lt;="&amp;DATE((Q$2-$B$109),12,31))</f>
        <v>546.5</v>
      </c>
      <c r="R109" s="5">
        <f>SUMIFS('Final 2014 NQC List'!$K$2:$K$743,'Final 2014 NQC List'!$X$2:$X$743,"&lt;&gt;OTC",'Final 2014 NQC List'!$V$2:$V$743,"PEAKER",'Final 2014 NQC List'!$S$2:$S$743,"&lt;="&amp;DATE((R$2-$B$109),12,31))</f>
        <v>570.5</v>
      </c>
      <c r="S109" s="5">
        <f>SUMIFS('Final 2014 NQC List'!$K$2:$K$743,'Final 2014 NQC List'!$X$2:$X$743,"&lt;&gt;OTC",'Final 2014 NQC List'!$V$2:$V$743,"PEAKER",'Final 2014 NQC List'!$S$2:$S$743,"&lt;="&amp;DATE((S$2-$B$109),12,31))</f>
        <v>570.5</v>
      </c>
      <c r="T109" s="5">
        <f>SUMIFS('Final 2014 NQC List'!$K$2:$K$743,'Final 2014 NQC List'!$X$2:$X$743,"&lt;&gt;OTC",'Final 2014 NQC List'!$V$2:$V$743,"PEAKER",'Final 2014 NQC List'!$S$2:$S$743,"&lt;="&amp;DATE((T$2-$B$109),12,31))</f>
        <v>570.5</v>
      </c>
      <c r="U109" s="5">
        <f>SUMIFS('Final 2014 NQC List'!$K$2:$K$743,'Final 2014 NQC List'!$X$2:$X$743,"&lt;&gt;OTC",'Final 2014 NQC List'!$V$2:$V$743,"PEAKER",'Final 2014 NQC List'!$S$2:$S$743,"&lt;="&amp;DATE((U$2-$B$109),12,31))</f>
        <v>611.1400000000001</v>
      </c>
      <c r="V109" s="5">
        <f>SUMIFS('Final 2014 NQC List'!$K$2:$K$743,'Final 2014 NQC List'!$X$2:$X$743,"&lt;&gt;OTC",'Final 2014 NQC List'!$V$2:$V$743,"PEAKER",'Final 2014 NQC List'!$S$2:$S$743,"&lt;="&amp;DATE((V$2-$B$109),12,31))</f>
        <v>611.1400000000001</v>
      </c>
      <c r="W109" s="5">
        <f>SUMIFS('Final 2014 NQC List'!$K$2:$K$743,'Final 2014 NQC List'!$X$2:$X$743,"&lt;&gt;OTC",'Final 2014 NQC List'!$V$2:$V$743,"PEAKER",'Final 2014 NQC List'!$S$2:$S$743,"&lt;="&amp;DATE((W$2-$B$109),12,31))</f>
        <v>611.1400000000001</v>
      </c>
      <c r="X109" s="5">
        <f>SUMIFS('Final 2014 NQC List'!$K$2:$K$743,'Final 2014 NQC List'!$X$2:$X$743,"&lt;&gt;OTC",'Final 2014 NQC List'!$V$2:$V$743,"PEAKER",'Final 2014 NQC List'!$S$2:$S$743,"&lt;="&amp;DATE((X$2-$B$109),12,31))</f>
        <v>611.1400000000001</v>
      </c>
      <c r="Y109" s="5">
        <f>SUMIFS('Final 2014 NQC List'!$K$2:$K$743,'Final 2014 NQC List'!$X$2:$X$743,"&lt;&gt;OTC",'Final 2014 NQC List'!$V$2:$V$743,"PEAKER",'Final 2014 NQC List'!$S$2:$S$743,"&lt;="&amp;DATE((Y$2-$B$109),12,31))</f>
        <v>611.1400000000001</v>
      </c>
      <c r="Z109" s="8"/>
    </row>
    <row r="110" spans="1:26" s="19" customFormat="1">
      <c r="A110" s="19" t="s">
        <v>4245</v>
      </c>
      <c r="B110" s="663">
        <v>25</v>
      </c>
      <c r="C110" s="19" t="s">
        <v>1</v>
      </c>
      <c r="D110" s="3" t="str">
        <f>D62</f>
        <v>Non OTC Peaker</v>
      </c>
      <c r="E110" s="5">
        <f>SUMIFS('Final 2014 NQC List'!$K$2:$K$743,'Final 2014 NQC List'!$X$2:$X$743,"&lt;&gt;OTC",'Final 2014 NQC List'!$V$2:$V$743,"PEAKER",'Final 2014 NQC List'!$S$2:$S$743,"&lt;="&amp;DATE((E$2-$B$110),12,31))</f>
        <v>570.5</v>
      </c>
      <c r="F110" s="5">
        <f>SUMIFS('Final 2014 NQC List'!$K$2:$K$743,'Final 2014 NQC List'!$X$2:$X$743,"&lt;&gt;OTC",'Final 2014 NQC List'!$V$2:$V$743,"PEAKER",'Final 2014 NQC List'!$S$2:$S$743,"&lt;="&amp;DATE((F$2-$B$110),12,31))</f>
        <v>611.1400000000001</v>
      </c>
      <c r="G110" s="5">
        <f>SUMIFS('Final 2014 NQC List'!$K$2:$K$743,'Final 2014 NQC List'!$X$2:$X$743,"&lt;&gt;OTC",'Final 2014 NQC List'!$V$2:$V$743,"PEAKER",'Final 2014 NQC List'!$S$2:$S$743,"&lt;="&amp;DATE((G$2-$B$110),12,31))</f>
        <v>611.1400000000001</v>
      </c>
      <c r="H110" s="5">
        <f>SUMIFS('Final 2014 NQC List'!$K$2:$K$743,'Final 2014 NQC List'!$X$2:$X$743,"&lt;&gt;OTC",'Final 2014 NQC List'!$V$2:$V$743,"PEAKER",'Final 2014 NQC List'!$S$2:$S$743,"&lt;="&amp;DATE((H$2-$B$110),12,31))</f>
        <v>611.1400000000001</v>
      </c>
      <c r="I110" s="5">
        <f>SUMIFS('Final 2014 NQC List'!$K$2:$K$743,'Final 2014 NQC List'!$X$2:$X$743,"&lt;&gt;OTC",'Final 2014 NQC List'!$V$2:$V$743,"PEAKER",'Final 2014 NQC List'!$S$2:$S$743,"&lt;="&amp;DATE((I$2-$B$110),12,31))</f>
        <v>611.1400000000001</v>
      </c>
      <c r="J110" s="5">
        <f>SUMIFS('Final 2014 NQC List'!$K$2:$K$743,'Final 2014 NQC List'!$X$2:$X$743,"&lt;&gt;OTC",'Final 2014 NQC List'!$V$2:$V$743,"PEAKER",'Final 2014 NQC List'!$S$2:$S$743,"&lt;="&amp;DATE((J$2-$B$110),12,31))</f>
        <v>611.1400000000001</v>
      </c>
      <c r="K110" s="5">
        <f>SUMIFS('Final 2014 NQC List'!$K$2:$K$743,'Final 2014 NQC List'!$X$2:$X$743,"&lt;&gt;OTC",'Final 2014 NQC List'!$V$2:$V$743,"PEAKER",'Final 2014 NQC List'!$S$2:$S$743,"&lt;="&amp;DATE((K$2-$B$110),12,31))</f>
        <v>611.1400000000001</v>
      </c>
      <c r="L110" s="5">
        <f>SUMIFS('Final 2014 NQC List'!$K$2:$K$743,'Final 2014 NQC List'!$X$2:$X$743,"&lt;&gt;OTC",'Final 2014 NQC List'!$V$2:$V$743,"PEAKER",'Final 2014 NQC List'!$S$2:$S$743,"&lt;="&amp;DATE((L$2-$B$110),12,31))</f>
        <v>660.6400000000001</v>
      </c>
      <c r="M110" s="5">
        <f>SUMIFS('Final 2014 NQC List'!$K$2:$K$743,'Final 2014 NQC List'!$X$2:$X$743,"&lt;&gt;OTC",'Final 2014 NQC List'!$V$2:$V$743,"PEAKER",'Final 2014 NQC List'!$S$2:$S$743,"&lt;="&amp;DATE((M$2-$B$110),12,31))</f>
        <v>660.6400000000001</v>
      </c>
      <c r="N110" s="5">
        <f>SUMIFS('Final 2014 NQC List'!$K$2:$K$743,'Final 2014 NQC List'!$X$2:$X$743,"&lt;&gt;OTC",'Final 2014 NQC List'!$V$2:$V$743,"PEAKER",'Final 2014 NQC List'!$S$2:$S$743,"&lt;="&amp;DATE((N$2-$B$110),12,31))</f>
        <v>660.6400000000001</v>
      </c>
      <c r="O110" s="5">
        <f>SUMIFS('Final 2014 NQC List'!$K$2:$K$743,'Final 2014 NQC List'!$X$2:$X$743,"&lt;&gt;OTC",'Final 2014 NQC List'!$V$2:$V$743,"PEAKER",'Final 2014 NQC List'!$S$2:$S$743,"&lt;="&amp;DATE((O$2-$B$110),12,31))</f>
        <v>660.6400000000001</v>
      </c>
      <c r="P110" s="5">
        <f>SUMIFS('Final 2014 NQC List'!$K$2:$K$743,'Final 2014 NQC List'!$X$2:$X$743,"&lt;&gt;OTC",'Final 2014 NQC List'!$V$2:$V$743,"PEAKER",'Final 2014 NQC List'!$S$2:$S$743,"&lt;="&amp;DATE((P$2-$B$110),12,31))</f>
        <v>672.1400000000001</v>
      </c>
      <c r="Q110" s="5">
        <f>SUMIFS('Final 2014 NQC List'!$K$2:$K$743,'Final 2014 NQC List'!$X$2:$X$743,"&lt;&gt;OTC",'Final 2014 NQC List'!$V$2:$V$743,"PEAKER",'Final 2014 NQC List'!$S$2:$S$743,"&lt;="&amp;DATE((Q$2-$B$110),12,31))</f>
        <v>1234.54</v>
      </c>
      <c r="R110" s="5">
        <f>SUMIFS('Final 2014 NQC List'!$K$2:$K$743,'Final 2014 NQC List'!$X$2:$X$743,"&lt;&gt;OTC",'Final 2014 NQC List'!$V$2:$V$743,"PEAKER",'Final 2014 NQC List'!$S$2:$S$743,"&lt;="&amp;DATE((R$2-$B$110),12,31))</f>
        <v>1727.12</v>
      </c>
      <c r="S110" s="5">
        <f>SUMIFS('Final 2014 NQC List'!$K$2:$K$743,'Final 2014 NQC List'!$X$2:$X$743,"&lt;&gt;OTC",'Final 2014 NQC List'!$V$2:$V$743,"PEAKER",'Final 2014 NQC List'!$S$2:$S$743,"&lt;="&amp;DATE((S$2-$B$110),12,31))</f>
        <v>2002.12</v>
      </c>
      <c r="T110" s="5">
        <f>SUMIFS('Final 2014 NQC List'!$K$2:$K$743,'Final 2014 NQC List'!$X$2:$X$743,"&lt;&gt;OTC",'Final 2014 NQC List'!$V$2:$V$743,"PEAKER",'Final 2014 NQC List'!$S$2:$S$743,"&lt;="&amp;DATE((T$2-$B$110),12,31))</f>
        <v>2089.37</v>
      </c>
      <c r="U110" s="5">
        <f>SUMIFS('Final 2014 NQC List'!$K$2:$K$743,'Final 2014 NQC List'!$X$2:$X$743,"&lt;&gt;OTC",'Final 2014 NQC List'!$V$2:$V$743,"PEAKER",'Final 2014 NQC List'!$S$2:$S$743,"&lt;="&amp;DATE((U$2-$B$110),12,31))</f>
        <v>2283.34</v>
      </c>
      <c r="V110" s="5">
        <f>SUMIFS('Final 2014 NQC List'!$K$2:$K$743,'Final 2014 NQC List'!$X$2:$X$743,"&lt;&gt;OTC",'Final 2014 NQC List'!$V$2:$V$743,"PEAKER",'Final 2014 NQC List'!$S$2:$S$743,"&lt;="&amp;DATE((V$2-$B$110),12,31))</f>
        <v>2374.34</v>
      </c>
      <c r="W110" s="5">
        <f>SUMIFS('Final 2014 NQC List'!$K$2:$K$743,'Final 2014 NQC List'!$X$2:$X$743,"&lt;&gt;OTC",'Final 2014 NQC List'!$V$2:$V$743,"PEAKER",'Final 2014 NQC List'!$S$2:$S$743,"&lt;="&amp;DATE((W$2-$B$110),12,31))</f>
        <v>2824.8399999999997</v>
      </c>
      <c r="X110" s="5">
        <f>SUMIFS('Final 2014 NQC List'!$K$2:$K$743,'Final 2014 NQC List'!$X$2:$X$743,"&lt;&gt;OTC",'Final 2014 NQC List'!$V$2:$V$743,"PEAKER",'Final 2014 NQC List'!$S$2:$S$743,"&lt;="&amp;DATE((X$2-$B$110),12,31))</f>
        <v>2824.8399999999997</v>
      </c>
      <c r="Y110" s="5">
        <f>SUMIFS('Final 2014 NQC List'!$K$2:$K$743,'Final 2014 NQC List'!$X$2:$X$743,"&lt;&gt;OTC",'Final 2014 NQC List'!$V$2:$V$743,"PEAKER",'Final 2014 NQC List'!$S$2:$S$743,"&lt;="&amp;DATE((Y$2-$B$110),12,31))</f>
        <v>3364.8599999999997</v>
      </c>
      <c r="Z110" s="8"/>
    </row>
    <row r="111" spans="1:26" s="19" customFormat="1">
      <c r="B111" s="662"/>
      <c r="C111" s="19" t="s">
        <v>0</v>
      </c>
      <c r="D111" s="3" t="str">
        <f>D63</f>
        <v>Non OTC Thermal</v>
      </c>
      <c r="E111" s="5">
        <v>0</v>
      </c>
      <c r="F111" s="5">
        <f>E111</f>
        <v>0</v>
      </c>
      <c r="G111" s="5">
        <f t="shared" ref="G111:Y111" si="95">F111</f>
        <v>0</v>
      </c>
      <c r="H111" s="5">
        <f t="shared" si="95"/>
        <v>0</v>
      </c>
      <c r="I111" s="5">
        <f t="shared" si="95"/>
        <v>0</v>
      </c>
      <c r="J111" s="5">
        <f t="shared" si="95"/>
        <v>0</v>
      </c>
      <c r="K111" s="5">
        <f t="shared" si="95"/>
        <v>0</v>
      </c>
      <c r="L111" s="5">
        <f t="shared" si="95"/>
        <v>0</v>
      </c>
      <c r="M111" s="5">
        <f t="shared" si="95"/>
        <v>0</v>
      </c>
      <c r="N111" s="5">
        <f t="shared" si="95"/>
        <v>0</v>
      </c>
      <c r="O111" s="5">
        <f t="shared" si="95"/>
        <v>0</v>
      </c>
      <c r="P111" s="5">
        <f t="shared" si="95"/>
        <v>0</v>
      </c>
      <c r="Q111" s="5">
        <f t="shared" si="95"/>
        <v>0</v>
      </c>
      <c r="R111" s="5">
        <f t="shared" si="95"/>
        <v>0</v>
      </c>
      <c r="S111" s="5">
        <f t="shared" si="95"/>
        <v>0</v>
      </c>
      <c r="T111" s="5">
        <f t="shared" si="95"/>
        <v>0</v>
      </c>
      <c r="U111" s="5">
        <f t="shared" si="95"/>
        <v>0</v>
      </c>
      <c r="V111" s="5">
        <f t="shared" si="95"/>
        <v>0</v>
      </c>
      <c r="W111" s="5">
        <f t="shared" si="95"/>
        <v>0</v>
      </c>
      <c r="X111" s="5">
        <f t="shared" si="95"/>
        <v>0</v>
      </c>
      <c r="Y111" s="5">
        <f t="shared" si="95"/>
        <v>0</v>
      </c>
      <c r="Z111" s="8"/>
    </row>
    <row r="112" spans="1:26" s="19" customFormat="1">
      <c r="A112" s="19" t="s">
        <v>4245</v>
      </c>
      <c r="B112" s="663">
        <v>40</v>
      </c>
      <c r="C112" s="19" t="s">
        <v>7</v>
      </c>
      <c r="D112" s="3" t="str">
        <f>D63</f>
        <v>Non OTC Thermal</v>
      </c>
      <c r="E112" s="5">
        <f>SUMIFS('Final 2014 NQC List'!$K$2:$K$743,'Final 2014 NQC List'!$X$2:$X$743,"&lt;&gt;OTC",'Final 2014 NQC List'!$V$2:$V$743,"THERMAL",'Final 2014 NQC List'!$S$2:$S$743,"&lt;="&amp;DATE((E$2-$B$112),12,31))</f>
        <v>849.5</v>
      </c>
      <c r="F112" s="5">
        <f>SUMIFS('Final 2014 NQC List'!$K$2:$K$743,'Final 2014 NQC List'!$X$2:$X$743,"&lt;&gt;OTC",'Final 2014 NQC List'!$V$2:$V$743,"THERMAL",'Final 2014 NQC List'!$S$2:$S$743,"&lt;="&amp;DATE((F$2-$B$112),12,31))</f>
        <v>849.5</v>
      </c>
      <c r="G112" s="5">
        <f>SUMIFS('Final 2014 NQC List'!$K$2:$K$743,'Final 2014 NQC List'!$X$2:$X$743,"&lt;&gt;OTC",'Final 2014 NQC List'!$V$2:$V$743,"THERMAL",'Final 2014 NQC List'!$S$2:$S$743,"&lt;="&amp;DATE((G$2-$B$112),12,31))</f>
        <v>849.5</v>
      </c>
      <c r="H112" s="5">
        <f>SUMIFS('Final 2014 NQC List'!$K$2:$K$743,'Final 2014 NQC List'!$X$2:$X$743,"&lt;&gt;OTC",'Final 2014 NQC List'!$V$2:$V$743,"THERMAL",'Final 2014 NQC List'!$S$2:$S$743,"&lt;="&amp;DATE((H$2-$B$112),12,31))</f>
        <v>849.5</v>
      </c>
      <c r="I112" s="5">
        <f>SUMIFS('Final 2014 NQC List'!$K$2:$K$743,'Final 2014 NQC List'!$X$2:$X$743,"&lt;&gt;OTC",'Final 2014 NQC List'!$V$2:$V$743,"THERMAL",'Final 2014 NQC List'!$S$2:$S$743,"&lt;="&amp;DATE((I$2-$B$112),12,31))</f>
        <v>1340.7</v>
      </c>
      <c r="J112" s="5">
        <f>SUMIFS('Final 2014 NQC List'!$K$2:$K$743,'Final 2014 NQC List'!$X$2:$X$743,"&lt;&gt;OTC",'Final 2014 NQC List'!$V$2:$V$743,"THERMAL",'Final 2014 NQC List'!$S$2:$S$743,"&lt;="&amp;DATE((J$2-$B$112),12,31))</f>
        <v>1340.7</v>
      </c>
      <c r="K112" s="5">
        <f>SUMIFS('Final 2014 NQC List'!$K$2:$K$743,'Final 2014 NQC List'!$X$2:$X$743,"&lt;&gt;OTC",'Final 2014 NQC List'!$V$2:$V$743,"THERMAL",'Final 2014 NQC List'!$S$2:$S$743,"&lt;="&amp;DATE((K$2-$B$112),12,31))</f>
        <v>1340.7</v>
      </c>
      <c r="L112" s="5">
        <f>SUMIFS('Final 2014 NQC List'!$K$2:$K$743,'Final 2014 NQC List'!$X$2:$X$743,"&lt;&gt;OTC",'Final 2014 NQC List'!$V$2:$V$743,"THERMAL",'Final 2014 NQC List'!$S$2:$S$743,"&lt;="&amp;DATE((L$2-$B$112),12,31))</f>
        <v>1340.7</v>
      </c>
      <c r="M112" s="5">
        <f>SUMIFS('Final 2014 NQC List'!$K$2:$K$743,'Final 2014 NQC List'!$X$2:$X$743,"&lt;&gt;OTC",'Final 2014 NQC List'!$V$2:$V$743,"THERMAL",'Final 2014 NQC List'!$S$2:$S$743,"&lt;="&amp;DATE((M$2-$B$112),12,31))</f>
        <v>1340.7</v>
      </c>
      <c r="N112" s="5">
        <f>SUMIFS('Final 2014 NQC List'!$K$2:$K$743,'Final 2014 NQC List'!$X$2:$X$743,"&lt;&gt;OTC",'Final 2014 NQC List'!$V$2:$V$743,"THERMAL",'Final 2014 NQC List'!$S$2:$S$743,"&lt;="&amp;DATE((N$2-$B$112),12,31))</f>
        <v>1340.7</v>
      </c>
      <c r="O112" s="5">
        <f>SUMIFS('Final 2014 NQC List'!$K$2:$K$743,'Final 2014 NQC List'!$X$2:$X$743,"&lt;&gt;OTC",'Final 2014 NQC List'!$V$2:$V$743,"THERMAL",'Final 2014 NQC List'!$S$2:$S$743,"&lt;="&amp;DATE((O$2-$B$112),12,31))</f>
        <v>1340.7</v>
      </c>
      <c r="P112" s="5">
        <f>SUMIFS('Final 2014 NQC List'!$K$2:$K$743,'Final 2014 NQC List'!$X$2:$X$743,"&lt;&gt;OTC",'Final 2014 NQC List'!$V$2:$V$743,"THERMAL",'Final 2014 NQC List'!$S$2:$S$743,"&lt;="&amp;DATE((P$2-$B$112),12,31))</f>
        <v>1340.7</v>
      </c>
      <c r="Q112" s="5">
        <f>SUMIFS('Final 2014 NQC List'!$K$2:$K$743,'Final 2014 NQC List'!$X$2:$X$743,"&lt;&gt;OTC",'Final 2014 NQC List'!$V$2:$V$743,"THERMAL",'Final 2014 NQC List'!$S$2:$S$743,"&lt;="&amp;DATE((Q$2-$B$112),12,31))</f>
        <v>1340.71</v>
      </c>
      <c r="R112" s="5">
        <f>SUMIFS('Final 2014 NQC List'!$K$2:$K$743,'Final 2014 NQC List'!$X$2:$X$743,"&lt;&gt;OTC",'Final 2014 NQC List'!$V$2:$V$743,"THERMAL",'Final 2014 NQC List'!$S$2:$S$743,"&lt;="&amp;DATE((R$2-$B$112),12,31))</f>
        <v>1340.71</v>
      </c>
      <c r="S112" s="5">
        <f>SUMIFS('Final 2014 NQC List'!$K$2:$K$743,'Final 2014 NQC List'!$X$2:$X$743,"&lt;&gt;OTC",'Final 2014 NQC List'!$V$2:$V$743,"THERMAL",'Final 2014 NQC List'!$S$2:$S$743,"&lt;="&amp;DATE((S$2-$B$112),12,31))</f>
        <v>1340.71</v>
      </c>
      <c r="T112" s="5">
        <f>SUMIFS('Final 2014 NQC List'!$K$2:$K$743,'Final 2014 NQC List'!$X$2:$X$743,"&lt;&gt;OTC",'Final 2014 NQC List'!$V$2:$V$743,"THERMAL",'Final 2014 NQC List'!$S$2:$S$743,"&lt;="&amp;DATE((T$2-$B$112),12,31))</f>
        <v>1340.71</v>
      </c>
      <c r="U112" s="5">
        <f>SUMIFS('Final 2014 NQC List'!$K$2:$K$743,'Final 2014 NQC List'!$X$2:$X$743,"&lt;&gt;OTC",'Final 2014 NQC List'!$V$2:$V$743,"THERMAL",'Final 2014 NQC List'!$S$2:$S$743,"&lt;="&amp;DATE((U$2-$B$112),12,31))</f>
        <v>1340.71</v>
      </c>
      <c r="V112" s="5">
        <f>SUMIFS('Final 2014 NQC List'!$K$2:$K$743,'Final 2014 NQC List'!$X$2:$X$743,"&lt;&gt;OTC",'Final 2014 NQC List'!$V$2:$V$743,"THERMAL",'Final 2014 NQC List'!$S$2:$S$743,"&lt;="&amp;DATE((V$2-$B$112),12,31))</f>
        <v>1340.71</v>
      </c>
      <c r="W112" s="5">
        <f>SUMIFS('Final 2014 NQC List'!$K$2:$K$743,'Final 2014 NQC List'!$X$2:$X$743,"&lt;&gt;OTC",'Final 2014 NQC List'!$V$2:$V$743,"THERMAL",'Final 2014 NQC List'!$S$2:$S$743,"&lt;="&amp;DATE((W$2-$B$112),12,31))</f>
        <v>1340.71</v>
      </c>
      <c r="X112" s="5">
        <f>SUMIFS('Final 2014 NQC List'!$K$2:$K$743,'Final 2014 NQC List'!$X$2:$X$743,"&lt;&gt;OTC",'Final 2014 NQC List'!$V$2:$V$743,"THERMAL",'Final 2014 NQC List'!$S$2:$S$743,"&lt;="&amp;DATE((X$2-$B$112),12,31))</f>
        <v>1340.71</v>
      </c>
      <c r="Y112" s="5">
        <f>SUMIFS('Final 2014 NQC List'!$K$2:$K$743,'Final 2014 NQC List'!$X$2:$X$743,"&lt;&gt;OTC",'Final 2014 NQC List'!$V$2:$V$743,"THERMAL",'Final 2014 NQC List'!$S$2:$S$743,"&lt;="&amp;DATE((Y$2-$B$112),12,31))</f>
        <v>1340.71</v>
      </c>
      <c r="Z112" s="8"/>
    </row>
    <row r="113" spans="1:26" s="19" customFormat="1">
      <c r="A113" s="19" t="s">
        <v>4245</v>
      </c>
      <c r="B113" s="663">
        <v>25</v>
      </c>
      <c r="C113" s="19" t="s">
        <v>1</v>
      </c>
      <c r="D113" s="3" t="str">
        <f>D63</f>
        <v>Non OTC Thermal</v>
      </c>
      <c r="E113" s="5">
        <f>SUMIFS('Final 2014 NQC List'!$K$2:$K$743,'Final 2014 NQC List'!$X$2:$X$743,"&lt;&gt;OTC",'Final 2014 NQC List'!$V$2:$V$743,"THERMAL",'Final 2014 NQC List'!$S$2:$S$743,"&lt;="&amp;DATE((E$2-$B$113),12,31))</f>
        <v>1340.71</v>
      </c>
      <c r="F113" s="5">
        <f>SUMIFS('Final 2014 NQC List'!$K$2:$K$743,'Final 2014 NQC List'!$X$2:$X$743,"&lt;&gt;OTC",'Final 2014 NQC List'!$V$2:$V$743,"THERMAL",'Final 2014 NQC List'!$S$2:$S$743,"&lt;="&amp;DATE((F$2-$B$113),12,31))</f>
        <v>1340.71</v>
      </c>
      <c r="G113" s="5">
        <f>SUMIFS('Final 2014 NQC List'!$K$2:$K$743,'Final 2014 NQC List'!$X$2:$X$743,"&lt;&gt;OTC",'Final 2014 NQC List'!$V$2:$V$743,"THERMAL",'Final 2014 NQC List'!$S$2:$S$743,"&lt;="&amp;DATE((G$2-$B$113),12,31))</f>
        <v>1340.71</v>
      </c>
      <c r="H113" s="5">
        <f>SUMIFS('Final 2014 NQC List'!$K$2:$K$743,'Final 2014 NQC List'!$X$2:$X$743,"&lt;&gt;OTC",'Final 2014 NQC List'!$V$2:$V$743,"THERMAL",'Final 2014 NQC List'!$S$2:$S$743,"&lt;="&amp;DATE((H$2-$B$113),12,31))</f>
        <v>1340.71</v>
      </c>
      <c r="I113" s="5">
        <f>SUMIFS('Final 2014 NQC List'!$K$2:$K$743,'Final 2014 NQC List'!$X$2:$X$743,"&lt;&gt;OTC",'Final 2014 NQC List'!$V$2:$V$743,"THERMAL",'Final 2014 NQC List'!$S$2:$S$743,"&lt;="&amp;DATE((I$2-$B$113),12,31))</f>
        <v>1340.71</v>
      </c>
      <c r="J113" s="5">
        <f>SUMIFS('Final 2014 NQC List'!$K$2:$K$743,'Final 2014 NQC List'!$X$2:$X$743,"&lt;&gt;OTC",'Final 2014 NQC List'!$V$2:$V$743,"THERMAL",'Final 2014 NQC List'!$S$2:$S$743,"&lt;="&amp;DATE((J$2-$B$113),12,31))</f>
        <v>1340.71</v>
      </c>
      <c r="K113" s="5">
        <f>SUMIFS('Final 2014 NQC List'!$K$2:$K$743,'Final 2014 NQC List'!$X$2:$X$743,"&lt;&gt;OTC",'Final 2014 NQC List'!$V$2:$V$743,"THERMAL",'Final 2014 NQC List'!$S$2:$S$743,"&lt;="&amp;DATE((K$2-$B$113),12,31))</f>
        <v>1340.71</v>
      </c>
      <c r="L113" s="5">
        <f>SUMIFS('Final 2014 NQC List'!$K$2:$K$743,'Final 2014 NQC List'!$X$2:$X$743,"&lt;&gt;OTC",'Final 2014 NQC List'!$V$2:$V$743,"THERMAL",'Final 2014 NQC List'!$S$2:$S$743,"&lt;="&amp;DATE((L$2-$B$113),12,31))</f>
        <v>1340.71</v>
      </c>
      <c r="M113" s="5">
        <f>SUMIFS('Final 2014 NQC List'!$K$2:$K$743,'Final 2014 NQC List'!$X$2:$X$743,"&lt;&gt;OTC",'Final 2014 NQC List'!$V$2:$V$743,"THERMAL",'Final 2014 NQC List'!$S$2:$S$743,"&lt;="&amp;DATE((M$2-$B$113),12,31))</f>
        <v>1340.71</v>
      </c>
      <c r="N113" s="5">
        <f>SUMIFS('Final 2014 NQC List'!$K$2:$K$743,'Final 2014 NQC List'!$X$2:$X$743,"&lt;&gt;OTC",'Final 2014 NQC List'!$V$2:$V$743,"THERMAL",'Final 2014 NQC List'!$S$2:$S$743,"&lt;="&amp;DATE((N$2-$B$113),12,31))</f>
        <v>1340.71</v>
      </c>
      <c r="O113" s="5">
        <f>SUMIFS('Final 2014 NQC List'!$K$2:$K$743,'Final 2014 NQC List'!$X$2:$X$743,"&lt;&gt;OTC",'Final 2014 NQC List'!$V$2:$V$743,"THERMAL",'Final 2014 NQC List'!$S$2:$S$743,"&lt;="&amp;DATE((O$2-$B$113),12,31))</f>
        <v>1340.71</v>
      </c>
      <c r="P113" s="5">
        <f>SUMIFS('Final 2014 NQC List'!$K$2:$K$743,'Final 2014 NQC List'!$X$2:$X$743,"&lt;&gt;OTC",'Final 2014 NQC List'!$V$2:$V$743,"THERMAL",'Final 2014 NQC List'!$S$2:$S$743,"&lt;="&amp;DATE((P$2-$B$113),12,31))</f>
        <v>1340.71</v>
      </c>
      <c r="Q113" s="5">
        <f>SUMIFS('Final 2014 NQC List'!$K$2:$K$743,'Final 2014 NQC List'!$X$2:$X$743,"&lt;&gt;OTC",'Final 2014 NQC List'!$V$2:$V$743,"THERMAL",'Final 2014 NQC List'!$S$2:$S$743,"&lt;="&amp;DATE((Q$2-$B$113),12,31))</f>
        <v>3191.1</v>
      </c>
      <c r="R113" s="5">
        <f>SUMIFS('Final 2014 NQC List'!$K$2:$K$743,'Final 2014 NQC List'!$X$2:$X$743,"&lt;&gt;OTC",'Final 2014 NQC List'!$V$2:$V$743,"THERMAL",'Final 2014 NQC List'!$S$2:$S$743,"&lt;="&amp;DATE((R$2-$B$113),12,31))</f>
        <v>4004.1</v>
      </c>
      <c r="S113" s="5">
        <f>SUMIFS('Final 2014 NQC List'!$K$2:$K$743,'Final 2014 NQC List'!$X$2:$X$743,"&lt;&gt;OTC",'Final 2014 NQC List'!$V$2:$V$743,"THERMAL",'Final 2014 NQC List'!$S$2:$S$743,"&lt;="&amp;DATE((S$2-$B$113),12,31))</f>
        <v>7300.7899999999991</v>
      </c>
      <c r="T113" s="5">
        <f>SUMIFS('Final 2014 NQC List'!$K$2:$K$743,'Final 2014 NQC List'!$X$2:$X$743,"&lt;&gt;OTC",'Final 2014 NQC List'!$V$2:$V$743,"THERMAL",'Final 2014 NQC List'!$S$2:$S$743,"&lt;="&amp;DATE((T$2-$B$113),12,31))</f>
        <v>7300.7899999999991</v>
      </c>
      <c r="U113" s="5">
        <f>SUMIFS('Final 2014 NQC List'!$K$2:$K$743,'Final 2014 NQC List'!$X$2:$X$743,"&lt;&gt;OTC",'Final 2014 NQC List'!$V$2:$V$743,"THERMAL",'Final 2014 NQC List'!$S$2:$S$743,"&lt;="&amp;DATE((U$2-$B$113),12,31))</f>
        <v>9400.31</v>
      </c>
      <c r="V113" s="5">
        <f>SUMIFS('Final 2014 NQC List'!$K$2:$K$743,'Final 2014 NQC List'!$X$2:$X$743,"&lt;&gt;OTC",'Final 2014 NQC List'!$V$2:$V$743,"THERMAL",'Final 2014 NQC List'!$S$2:$S$743,"&lt;="&amp;DATE((V$2-$B$113),12,31))</f>
        <v>10455.678346451612</v>
      </c>
      <c r="W113" s="5">
        <f>SUMIFS('Final 2014 NQC List'!$K$2:$K$743,'Final 2014 NQC List'!$X$2:$X$743,"&lt;&gt;OTC",'Final 2014 NQC List'!$V$2:$V$743,"THERMAL",'Final 2014 NQC List'!$S$2:$S$743,"&lt;="&amp;DATE((W$2-$B$113),12,31))</f>
        <v>10455.678346451612</v>
      </c>
      <c r="X113" s="5">
        <f>SUMIFS('Final 2014 NQC List'!$K$2:$K$743,'Final 2014 NQC List'!$X$2:$X$743,"&lt;&gt;OTC",'Final 2014 NQC List'!$V$2:$V$743,"THERMAL",'Final 2014 NQC List'!$S$2:$S$743,"&lt;="&amp;DATE((X$2-$B$113),12,31))</f>
        <v>10455.678346451612</v>
      </c>
      <c r="Y113" s="5">
        <f>SUMIFS('Final 2014 NQC List'!$K$2:$K$743,'Final 2014 NQC List'!$X$2:$X$743,"&lt;&gt;OTC",'Final 2014 NQC List'!$V$2:$V$743,"THERMAL",'Final 2014 NQC List'!$S$2:$S$743,"&lt;="&amp;DATE((Y$2-$B$113),12,31))</f>
        <v>11954.278346451614</v>
      </c>
      <c r="Z113" s="8"/>
    </row>
    <row r="114" spans="1:26" s="19" customFormat="1">
      <c r="B114" s="662"/>
      <c r="D114" s="3"/>
      <c r="E114" s="5"/>
      <c r="F114" s="5"/>
      <c r="G114" s="5"/>
      <c r="H114" s="5"/>
      <c r="I114" s="5"/>
      <c r="J114" s="5"/>
      <c r="K114" s="5"/>
      <c r="L114" s="5"/>
      <c r="M114" s="5"/>
      <c r="N114" s="5"/>
      <c r="O114" s="5"/>
      <c r="P114" s="5"/>
      <c r="Q114" s="5"/>
      <c r="R114" s="5"/>
      <c r="S114" s="5"/>
      <c r="T114" s="5"/>
      <c r="U114" s="5"/>
      <c r="V114" s="5"/>
      <c r="W114" s="5"/>
      <c r="X114" s="5"/>
      <c r="Y114" s="5"/>
      <c r="Z114" s="8"/>
    </row>
    <row r="115" spans="1:26" s="19" customFormat="1">
      <c r="A115"/>
      <c r="B115"/>
      <c r="C115"/>
      <c r="D115"/>
      <c r="E115"/>
      <c r="F115"/>
      <c r="G115"/>
      <c r="H115"/>
      <c r="I115"/>
      <c r="J115"/>
      <c r="K115"/>
      <c r="L115"/>
      <c r="M115"/>
      <c r="N115"/>
      <c r="O115"/>
      <c r="P115"/>
      <c r="Q115"/>
      <c r="R115"/>
      <c r="S115"/>
      <c r="T115"/>
      <c r="U115"/>
      <c r="V115"/>
      <c r="W115"/>
      <c r="X115"/>
      <c r="Y115"/>
      <c r="Z115" s="8"/>
    </row>
    <row r="116" spans="1:26" s="19" customFormat="1">
      <c r="A116"/>
      <c r="B116"/>
      <c r="C116"/>
      <c r="D116"/>
      <c r="E116"/>
      <c r="F116"/>
      <c r="G116"/>
      <c r="H116"/>
      <c r="I116"/>
      <c r="J116"/>
      <c r="K116"/>
      <c r="L116"/>
      <c r="M116"/>
      <c r="N116"/>
      <c r="O116"/>
      <c r="P116"/>
      <c r="Q116"/>
      <c r="R116"/>
      <c r="S116"/>
      <c r="T116"/>
      <c r="U116"/>
      <c r="V116"/>
      <c r="W116"/>
      <c r="X116"/>
      <c r="Y116"/>
      <c r="Z116" s="8"/>
    </row>
  </sheetData>
  <pageMargins left="0.25" right="0.25" top="0.75" bottom="0.75" header="0.3" footer="0.3"/>
  <pageSetup paperSize="17" scale="41" orientation="landscape" horizontalDpi="4294967295" verticalDpi="4294967295"/>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S1673"/>
  <sheetViews>
    <sheetView showGridLines="0" zoomScale="75" zoomScaleNormal="75" zoomScalePageLayoutView="75" workbookViewId="0">
      <selection sqref="A1:F1"/>
    </sheetView>
  </sheetViews>
  <sheetFormatPr defaultColWidth="9.140625" defaultRowHeight="15"/>
  <cols>
    <col min="1" max="1" width="13.42578125" style="20" bestFit="1" customWidth="1"/>
    <col min="2" max="2" width="21.85546875" style="20" bestFit="1" customWidth="1"/>
    <col min="3" max="3" width="5.42578125" style="20" customWidth="1"/>
    <col min="4" max="4" width="13.7109375" style="20" bestFit="1" customWidth="1"/>
    <col min="5" max="5" width="27.140625" style="20" bestFit="1" customWidth="1"/>
    <col min="6" max="6" width="36.42578125" style="20" bestFit="1" customWidth="1"/>
    <col min="7" max="7" width="20.140625" style="20" customWidth="1"/>
    <col min="8" max="8" width="12.42578125" style="20" customWidth="1"/>
    <col min="9" max="9" width="36.42578125" style="20" customWidth="1"/>
    <col min="10" max="10" width="33" style="20" customWidth="1"/>
    <col min="11" max="11" width="32.140625" style="20" customWidth="1"/>
    <col min="12" max="12" width="26.42578125" style="20" customWidth="1"/>
    <col min="13" max="13" width="7.7109375" style="20" customWidth="1"/>
    <col min="14" max="14" width="17.7109375" style="20" customWidth="1"/>
    <col min="15" max="15" width="19.42578125" style="20" bestFit="1" customWidth="1"/>
    <col min="16" max="16" width="36.42578125" style="20" bestFit="1" customWidth="1"/>
    <col min="17" max="17" width="35.42578125" style="20" bestFit="1" customWidth="1"/>
    <col min="18" max="18" width="18.85546875" style="20" bestFit="1" customWidth="1"/>
    <col min="19" max="19" width="36.42578125" style="20" bestFit="1" customWidth="1"/>
    <col min="20" max="16384" width="9.140625" style="20"/>
  </cols>
  <sheetData>
    <row r="1" spans="1:19" ht="17.25" customHeight="1">
      <c r="A1" s="915" t="s">
        <v>13</v>
      </c>
      <c r="B1" s="915"/>
      <c r="C1" s="915"/>
      <c r="D1" s="915"/>
      <c r="E1" s="915"/>
      <c r="F1" s="915"/>
      <c r="G1" s="916" t="s">
        <v>14</v>
      </c>
      <c r="H1" s="916"/>
      <c r="I1" s="916"/>
      <c r="J1" s="916"/>
      <c r="O1" s="262" t="s">
        <v>4700</v>
      </c>
    </row>
    <row r="2" spans="1:19" ht="15.75">
      <c r="A2" s="917" t="s">
        <v>15</v>
      </c>
      <c r="B2" s="917"/>
      <c r="C2" s="917"/>
      <c r="D2" s="917"/>
      <c r="E2" s="917"/>
      <c r="F2" s="917"/>
      <c r="G2" s="21" t="s">
        <v>16</v>
      </c>
      <c r="H2" s="918" t="s">
        <v>17</v>
      </c>
      <c r="I2" s="918"/>
      <c r="J2" s="918"/>
      <c r="O2" s="262" t="s">
        <v>4701</v>
      </c>
    </row>
    <row r="3" spans="1:19" ht="15.75">
      <c r="A3" s="917" t="s">
        <v>4699</v>
      </c>
      <c r="B3" s="917"/>
      <c r="C3" s="917"/>
      <c r="D3" s="917"/>
      <c r="E3" s="917"/>
      <c r="F3" s="917"/>
      <c r="G3" s="22" t="s">
        <v>16</v>
      </c>
      <c r="H3" s="919" t="s">
        <v>18</v>
      </c>
      <c r="I3" s="919"/>
      <c r="J3" s="919"/>
      <c r="O3" s="262" t="s">
        <v>4791</v>
      </c>
    </row>
    <row r="4" spans="1:19">
      <c r="A4" s="912"/>
      <c r="B4" s="912"/>
      <c r="C4" s="912"/>
      <c r="D4" s="912"/>
      <c r="E4" s="912"/>
      <c r="F4" s="912"/>
      <c r="G4" s="23" t="s">
        <v>16</v>
      </c>
      <c r="H4" s="913" t="s">
        <v>19</v>
      </c>
      <c r="I4" s="913"/>
      <c r="J4" s="913"/>
      <c r="O4" s="262" t="s">
        <v>4792</v>
      </c>
    </row>
    <row r="5" spans="1:19" ht="15.75">
      <c r="A5" s="914"/>
      <c r="B5" s="914"/>
      <c r="C5" s="914"/>
      <c r="D5" s="914"/>
      <c r="E5" s="914"/>
      <c r="F5" s="914"/>
      <c r="O5" s="262" t="s">
        <v>4795</v>
      </c>
    </row>
    <row r="6" spans="1:19" s="265" customFormat="1" ht="60" customHeight="1">
      <c r="A6" s="264" t="s">
        <v>3100</v>
      </c>
      <c r="B6" s="264" t="s">
        <v>3101</v>
      </c>
      <c r="C6" s="264" t="s">
        <v>3102</v>
      </c>
      <c r="D6" s="264" t="s">
        <v>3103</v>
      </c>
      <c r="E6" s="264" t="s">
        <v>3104</v>
      </c>
      <c r="F6" s="264" t="s">
        <v>3105</v>
      </c>
      <c r="G6" s="264" t="s">
        <v>4540</v>
      </c>
      <c r="H6" s="264" t="s">
        <v>3106</v>
      </c>
      <c r="I6" s="264" t="s">
        <v>3107</v>
      </c>
      <c r="J6" s="264" t="s">
        <v>3108</v>
      </c>
      <c r="K6" s="264" t="s">
        <v>3109</v>
      </c>
      <c r="L6" s="264" t="s">
        <v>3110</v>
      </c>
      <c r="M6" s="264" t="s">
        <v>3111</v>
      </c>
      <c r="N6" s="264" t="s">
        <v>3112</v>
      </c>
      <c r="O6" s="264" t="s">
        <v>4541</v>
      </c>
      <c r="P6" s="264" t="s">
        <v>3113</v>
      </c>
      <c r="Q6" s="264" t="s">
        <v>3114</v>
      </c>
      <c r="R6" s="264" t="s">
        <v>4542</v>
      </c>
      <c r="S6" s="264" t="s">
        <v>4543</v>
      </c>
    </row>
    <row r="7" spans="1:19">
      <c r="A7" s="28">
        <v>113600</v>
      </c>
      <c r="B7" s="28" t="s">
        <v>20</v>
      </c>
      <c r="C7" s="28" t="s">
        <v>21</v>
      </c>
      <c r="D7" s="28" t="s">
        <v>21</v>
      </c>
      <c r="E7" s="28" t="s">
        <v>4702</v>
      </c>
      <c r="F7" s="28" t="s">
        <v>4703</v>
      </c>
      <c r="G7" s="28">
        <v>0.6</v>
      </c>
      <c r="H7" s="28" t="s">
        <v>24</v>
      </c>
      <c r="I7" s="28" t="s">
        <v>4704</v>
      </c>
      <c r="J7" s="28" t="s">
        <v>788</v>
      </c>
      <c r="K7" s="28" t="s">
        <v>2258</v>
      </c>
      <c r="L7" s="28" t="s">
        <v>888</v>
      </c>
      <c r="M7" s="28" t="s">
        <v>193</v>
      </c>
      <c r="N7" s="28" t="s">
        <v>194</v>
      </c>
      <c r="O7" s="29">
        <v>41353</v>
      </c>
      <c r="P7" s="28"/>
      <c r="Q7" s="28"/>
      <c r="R7" s="28">
        <v>0.6</v>
      </c>
      <c r="S7" s="28" t="s">
        <v>29</v>
      </c>
    </row>
    <row r="8" spans="1:19" ht="29.25">
      <c r="A8" s="24">
        <v>100</v>
      </c>
      <c r="B8" s="24" t="s">
        <v>20</v>
      </c>
      <c r="C8" s="24" t="s">
        <v>30</v>
      </c>
      <c r="D8" s="24" t="s">
        <v>30</v>
      </c>
      <c r="E8" s="24" t="s">
        <v>1110</v>
      </c>
      <c r="F8" s="24" t="s">
        <v>1111</v>
      </c>
      <c r="G8" s="24">
        <v>55.2</v>
      </c>
      <c r="H8" s="24" t="s">
        <v>24</v>
      </c>
      <c r="I8" s="24" t="s">
        <v>1112</v>
      </c>
      <c r="J8" s="24" t="s">
        <v>694</v>
      </c>
      <c r="K8" s="24" t="s">
        <v>580</v>
      </c>
      <c r="L8" s="24" t="s">
        <v>240</v>
      </c>
      <c r="M8" s="24" t="s">
        <v>193</v>
      </c>
      <c r="N8" s="24" t="s">
        <v>194</v>
      </c>
      <c r="O8" s="25">
        <v>31048</v>
      </c>
      <c r="P8" s="24"/>
      <c r="Q8" s="24"/>
      <c r="R8" s="24">
        <v>82.86</v>
      </c>
      <c r="S8" s="24" t="s">
        <v>29</v>
      </c>
    </row>
    <row r="9" spans="1:19">
      <c r="A9" s="26">
        <v>102</v>
      </c>
      <c r="B9" s="26" t="s">
        <v>20</v>
      </c>
      <c r="C9" s="26" t="s">
        <v>30</v>
      </c>
      <c r="D9" s="26" t="s">
        <v>21</v>
      </c>
      <c r="E9" s="26"/>
      <c r="F9" s="26" t="s">
        <v>1113</v>
      </c>
      <c r="G9" s="26"/>
      <c r="H9" s="26" t="s">
        <v>24</v>
      </c>
      <c r="I9" s="26" t="s">
        <v>1112</v>
      </c>
      <c r="J9" s="26" t="s">
        <v>694</v>
      </c>
      <c r="K9" s="26" t="s">
        <v>580</v>
      </c>
      <c r="L9" s="26" t="s">
        <v>240</v>
      </c>
      <c r="M9" s="26" t="s">
        <v>193</v>
      </c>
      <c r="N9" s="26" t="s">
        <v>194</v>
      </c>
      <c r="O9" s="27">
        <v>31048</v>
      </c>
      <c r="P9" s="26"/>
      <c r="Q9" s="26"/>
      <c r="R9" s="26">
        <v>21.45</v>
      </c>
      <c r="S9" s="26" t="s">
        <v>29</v>
      </c>
    </row>
    <row r="10" spans="1:19">
      <c r="A10" s="26">
        <v>103</v>
      </c>
      <c r="B10" s="26" t="s">
        <v>20</v>
      </c>
      <c r="C10" s="26" t="s">
        <v>30</v>
      </c>
      <c r="D10" s="26" t="s">
        <v>21</v>
      </c>
      <c r="E10" s="26"/>
      <c r="F10" s="26" t="s">
        <v>1263</v>
      </c>
      <c r="G10" s="26"/>
      <c r="H10" s="26" t="s">
        <v>24</v>
      </c>
      <c r="I10" s="26" t="s">
        <v>1112</v>
      </c>
      <c r="J10" s="26" t="s">
        <v>694</v>
      </c>
      <c r="K10" s="26" t="s">
        <v>580</v>
      </c>
      <c r="L10" s="26" t="s">
        <v>240</v>
      </c>
      <c r="M10" s="26" t="s">
        <v>193</v>
      </c>
      <c r="N10" s="26" t="s">
        <v>194</v>
      </c>
      <c r="O10" s="27">
        <v>31413</v>
      </c>
      <c r="P10" s="26"/>
      <c r="Q10" s="26"/>
      <c r="R10" s="26">
        <v>21.45</v>
      </c>
      <c r="S10" s="26" t="s">
        <v>29</v>
      </c>
    </row>
    <row r="11" spans="1:19">
      <c r="A11" s="26">
        <v>104</v>
      </c>
      <c r="B11" s="26" t="s">
        <v>20</v>
      </c>
      <c r="C11" s="26" t="s">
        <v>30</v>
      </c>
      <c r="D11" s="26" t="s">
        <v>21</v>
      </c>
      <c r="E11" s="26"/>
      <c r="F11" s="26" t="s">
        <v>1114</v>
      </c>
      <c r="G11" s="26"/>
      <c r="H11" s="26" t="s">
        <v>24</v>
      </c>
      <c r="I11" s="26" t="s">
        <v>1112</v>
      </c>
      <c r="J11" s="26" t="s">
        <v>694</v>
      </c>
      <c r="K11" s="26" t="s">
        <v>580</v>
      </c>
      <c r="L11" s="26" t="s">
        <v>240</v>
      </c>
      <c r="M11" s="26" t="s">
        <v>193</v>
      </c>
      <c r="N11" s="26" t="s">
        <v>194</v>
      </c>
      <c r="O11" s="27">
        <v>31048</v>
      </c>
      <c r="P11" s="26"/>
      <c r="Q11" s="26"/>
      <c r="R11" s="26">
        <v>3</v>
      </c>
      <c r="S11" s="26" t="s">
        <v>29</v>
      </c>
    </row>
    <row r="12" spans="1:19">
      <c r="A12" s="26">
        <v>105</v>
      </c>
      <c r="B12" s="26" t="s">
        <v>20</v>
      </c>
      <c r="C12" s="26" t="s">
        <v>30</v>
      </c>
      <c r="D12" s="26" t="s">
        <v>21</v>
      </c>
      <c r="E12" s="26"/>
      <c r="F12" s="26" t="s">
        <v>1115</v>
      </c>
      <c r="G12" s="26"/>
      <c r="H12" s="26" t="s">
        <v>24</v>
      </c>
      <c r="I12" s="26" t="s">
        <v>1112</v>
      </c>
      <c r="J12" s="26" t="s">
        <v>694</v>
      </c>
      <c r="K12" s="26" t="s">
        <v>580</v>
      </c>
      <c r="L12" s="26" t="s">
        <v>240</v>
      </c>
      <c r="M12" s="26" t="s">
        <v>193</v>
      </c>
      <c r="N12" s="26" t="s">
        <v>194</v>
      </c>
      <c r="O12" s="27">
        <v>31048</v>
      </c>
      <c r="P12" s="26"/>
      <c r="Q12" s="26"/>
      <c r="R12" s="26">
        <v>3</v>
      </c>
      <c r="S12" s="26" t="s">
        <v>29</v>
      </c>
    </row>
    <row r="13" spans="1:19">
      <c r="A13" s="26">
        <v>101</v>
      </c>
      <c r="B13" s="26" t="s">
        <v>20</v>
      </c>
      <c r="C13" s="26" t="s">
        <v>30</v>
      </c>
      <c r="D13" s="26" t="s">
        <v>21</v>
      </c>
      <c r="E13" s="26"/>
      <c r="F13" s="26" t="s">
        <v>1119</v>
      </c>
      <c r="G13" s="26"/>
      <c r="H13" s="26" t="s">
        <v>24</v>
      </c>
      <c r="I13" s="26" t="s">
        <v>1112</v>
      </c>
      <c r="J13" s="26" t="s">
        <v>694</v>
      </c>
      <c r="K13" s="26" t="s">
        <v>580</v>
      </c>
      <c r="L13" s="26" t="s">
        <v>240</v>
      </c>
      <c r="M13" s="26" t="s">
        <v>193</v>
      </c>
      <c r="N13" s="26" t="s">
        <v>194</v>
      </c>
      <c r="O13" s="27">
        <v>31048</v>
      </c>
      <c r="P13" s="26"/>
      <c r="Q13" s="26"/>
      <c r="R13" s="26">
        <v>21.45</v>
      </c>
      <c r="S13" s="26" t="s">
        <v>29</v>
      </c>
    </row>
    <row r="14" spans="1:19">
      <c r="A14" s="26">
        <v>201</v>
      </c>
      <c r="B14" s="26" t="s">
        <v>20</v>
      </c>
      <c r="C14" s="26" t="s">
        <v>30</v>
      </c>
      <c r="D14" s="26" t="s">
        <v>21</v>
      </c>
      <c r="E14" s="26"/>
      <c r="F14" s="26" t="s">
        <v>1116</v>
      </c>
      <c r="G14" s="26"/>
      <c r="H14" s="26" t="s">
        <v>24</v>
      </c>
      <c r="I14" s="26" t="s">
        <v>1112</v>
      </c>
      <c r="J14" s="26" t="s">
        <v>694</v>
      </c>
      <c r="K14" s="26" t="s">
        <v>580</v>
      </c>
      <c r="L14" s="26" t="s">
        <v>240</v>
      </c>
      <c r="M14" s="26" t="s">
        <v>193</v>
      </c>
      <c r="N14" s="26" t="s">
        <v>194</v>
      </c>
      <c r="O14" s="27">
        <v>31048</v>
      </c>
      <c r="P14" s="26"/>
      <c r="Q14" s="26"/>
      <c r="R14" s="26">
        <v>3.17</v>
      </c>
      <c r="S14" s="26" t="s">
        <v>29</v>
      </c>
    </row>
    <row r="15" spans="1:19">
      <c r="A15" s="26">
        <v>202</v>
      </c>
      <c r="B15" s="26" t="s">
        <v>20</v>
      </c>
      <c r="C15" s="26" t="s">
        <v>30</v>
      </c>
      <c r="D15" s="26" t="s">
        <v>21</v>
      </c>
      <c r="E15" s="26"/>
      <c r="F15" s="26" t="s">
        <v>1117</v>
      </c>
      <c r="G15" s="26"/>
      <c r="H15" s="26" t="s">
        <v>24</v>
      </c>
      <c r="I15" s="26" t="s">
        <v>1112</v>
      </c>
      <c r="J15" s="26" t="s">
        <v>694</v>
      </c>
      <c r="K15" s="26" t="s">
        <v>580</v>
      </c>
      <c r="L15" s="26" t="s">
        <v>240</v>
      </c>
      <c r="M15" s="26" t="s">
        <v>193</v>
      </c>
      <c r="N15" s="26" t="s">
        <v>194</v>
      </c>
      <c r="O15" s="27">
        <v>31048</v>
      </c>
      <c r="P15" s="26"/>
      <c r="Q15" s="26"/>
      <c r="R15" s="26">
        <v>3.17</v>
      </c>
      <c r="S15" s="26" t="s">
        <v>29</v>
      </c>
    </row>
    <row r="16" spans="1:19">
      <c r="A16" s="26">
        <v>203</v>
      </c>
      <c r="B16" s="26" t="s">
        <v>20</v>
      </c>
      <c r="C16" s="26" t="s">
        <v>30</v>
      </c>
      <c r="D16" s="26" t="s">
        <v>21</v>
      </c>
      <c r="E16" s="26"/>
      <c r="F16" s="26" t="s">
        <v>1118</v>
      </c>
      <c r="G16" s="26"/>
      <c r="H16" s="26" t="s">
        <v>24</v>
      </c>
      <c r="I16" s="26" t="s">
        <v>1112</v>
      </c>
      <c r="J16" s="26" t="s">
        <v>694</v>
      </c>
      <c r="K16" s="26" t="s">
        <v>580</v>
      </c>
      <c r="L16" s="26" t="s">
        <v>240</v>
      </c>
      <c r="M16" s="26" t="s">
        <v>193</v>
      </c>
      <c r="N16" s="26" t="s">
        <v>194</v>
      </c>
      <c r="O16" s="27">
        <v>31048</v>
      </c>
      <c r="P16" s="26"/>
      <c r="Q16" s="26"/>
      <c r="R16" s="26">
        <v>3.17</v>
      </c>
      <c r="S16" s="26" t="s">
        <v>29</v>
      </c>
    </row>
    <row r="17" spans="1:19">
      <c r="A17" s="26">
        <v>106</v>
      </c>
      <c r="B17" s="26" t="s">
        <v>20</v>
      </c>
      <c r="C17" s="26" t="s">
        <v>30</v>
      </c>
      <c r="D17" s="26" t="s">
        <v>21</v>
      </c>
      <c r="E17" s="26"/>
      <c r="F17" s="26" t="s">
        <v>1264</v>
      </c>
      <c r="G17" s="26"/>
      <c r="H17" s="26" t="s">
        <v>24</v>
      </c>
      <c r="I17" s="26" t="s">
        <v>1112</v>
      </c>
      <c r="J17" s="26" t="s">
        <v>694</v>
      </c>
      <c r="K17" s="26" t="s">
        <v>580</v>
      </c>
      <c r="L17" s="26" t="s">
        <v>240</v>
      </c>
      <c r="M17" s="26" t="s">
        <v>193</v>
      </c>
      <c r="N17" s="26" t="s">
        <v>194</v>
      </c>
      <c r="O17" s="27">
        <v>31413</v>
      </c>
      <c r="P17" s="26"/>
      <c r="Q17" s="26"/>
      <c r="R17" s="26">
        <v>3</v>
      </c>
      <c r="S17" s="26" t="s">
        <v>29</v>
      </c>
    </row>
    <row r="18" spans="1:19">
      <c r="A18" s="24">
        <v>1400</v>
      </c>
      <c r="B18" s="24" t="s">
        <v>20</v>
      </c>
      <c r="C18" s="24" t="s">
        <v>21</v>
      </c>
      <c r="D18" s="24" t="s">
        <v>30</v>
      </c>
      <c r="E18" s="24" t="s">
        <v>31</v>
      </c>
      <c r="F18" s="24" t="s">
        <v>32</v>
      </c>
      <c r="G18" s="24">
        <v>2</v>
      </c>
      <c r="H18" s="24" t="s">
        <v>24</v>
      </c>
      <c r="I18" s="24" t="s">
        <v>4</v>
      </c>
      <c r="J18" s="24" t="s">
        <v>25</v>
      </c>
      <c r="K18" s="24" t="s">
        <v>25</v>
      </c>
      <c r="L18" s="24" t="s">
        <v>26</v>
      </c>
      <c r="M18" s="24" t="s">
        <v>27</v>
      </c>
      <c r="N18" s="24" t="s">
        <v>28</v>
      </c>
      <c r="O18" s="25">
        <v>732</v>
      </c>
      <c r="P18" s="24"/>
      <c r="Q18" s="24" t="s">
        <v>33</v>
      </c>
      <c r="R18" s="24">
        <v>2</v>
      </c>
      <c r="S18" s="24" t="s">
        <v>29</v>
      </c>
    </row>
    <row r="19" spans="1:19">
      <c r="A19" s="26">
        <v>1402</v>
      </c>
      <c r="B19" s="26" t="s">
        <v>20</v>
      </c>
      <c r="C19" s="26" t="s">
        <v>21</v>
      </c>
      <c r="D19" s="26" t="s">
        <v>21</v>
      </c>
      <c r="E19" s="26"/>
      <c r="F19" s="26" t="s">
        <v>35</v>
      </c>
      <c r="G19" s="26"/>
      <c r="H19" s="26" t="s">
        <v>24</v>
      </c>
      <c r="I19" s="26" t="s">
        <v>4</v>
      </c>
      <c r="J19" s="26" t="s">
        <v>25</v>
      </c>
      <c r="K19" s="26" t="s">
        <v>25</v>
      </c>
      <c r="L19" s="26" t="s">
        <v>26</v>
      </c>
      <c r="M19" s="26" t="s">
        <v>27</v>
      </c>
      <c r="N19" s="26" t="s">
        <v>28</v>
      </c>
      <c r="O19" s="27">
        <v>732</v>
      </c>
      <c r="P19" s="26"/>
      <c r="Q19" s="26" t="s">
        <v>33</v>
      </c>
      <c r="R19" s="26">
        <v>1</v>
      </c>
      <c r="S19" s="26" t="s">
        <v>29</v>
      </c>
    </row>
    <row r="20" spans="1:19">
      <c r="A20" s="26">
        <v>1401</v>
      </c>
      <c r="B20" s="26" t="s">
        <v>20</v>
      </c>
      <c r="C20" s="26" t="s">
        <v>21</v>
      </c>
      <c r="D20" s="26" t="s">
        <v>21</v>
      </c>
      <c r="E20" s="26"/>
      <c r="F20" s="26" t="s">
        <v>34</v>
      </c>
      <c r="G20" s="26"/>
      <c r="H20" s="26" t="s">
        <v>24</v>
      </c>
      <c r="I20" s="26" t="s">
        <v>4</v>
      </c>
      <c r="J20" s="26" t="s">
        <v>25</v>
      </c>
      <c r="K20" s="26" t="s">
        <v>25</v>
      </c>
      <c r="L20" s="26" t="s">
        <v>26</v>
      </c>
      <c r="M20" s="26" t="s">
        <v>27</v>
      </c>
      <c r="N20" s="26" t="s">
        <v>28</v>
      </c>
      <c r="O20" s="27">
        <v>732</v>
      </c>
      <c r="P20" s="26"/>
      <c r="Q20" s="26" t="s">
        <v>33</v>
      </c>
      <c r="R20" s="26">
        <v>1</v>
      </c>
      <c r="S20" s="26" t="s">
        <v>29</v>
      </c>
    </row>
    <row r="21" spans="1:19">
      <c r="A21" s="28">
        <v>108900</v>
      </c>
      <c r="B21" s="28" t="s">
        <v>20</v>
      </c>
      <c r="C21" s="28" t="s">
        <v>21</v>
      </c>
      <c r="D21" s="28" t="s">
        <v>21</v>
      </c>
      <c r="E21" s="28" t="s">
        <v>4395</v>
      </c>
      <c r="F21" s="28" t="s">
        <v>4396</v>
      </c>
      <c r="G21" s="28">
        <v>230</v>
      </c>
      <c r="H21" s="28" t="s">
        <v>5</v>
      </c>
      <c r="I21" s="28" t="s">
        <v>5</v>
      </c>
      <c r="J21" s="28" t="s">
        <v>1025</v>
      </c>
      <c r="K21" s="28" t="s">
        <v>2138</v>
      </c>
      <c r="L21" s="28" t="s">
        <v>1026</v>
      </c>
      <c r="M21" s="28" t="s">
        <v>38</v>
      </c>
      <c r="N21" s="28" t="s">
        <v>39</v>
      </c>
      <c r="O21" s="29">
        <v>41365</v>
      </c>
      <c r="P21" s="28" t="s">
        <v>4397</v>
      </c>
      <c r="Q21" s="28"/>
      <c r="R21" s="28">
        <v>250</v>
      </c>
      <c r="S21" s="28" t="s">
        <v>29</v>
      </c>
    </row>
    <row r="22" spans="1:19" ht="57.75">
      <c r="A22" s="28">
        <v>103500</v>
      </c>
      <c r="B22" s="28" t="s">
        <v>20</v>
      </c>
      <c r="C22" s="28" t="s">
        <v>21</v>
      </c>
      <c r="D22" s="28" t="s">
        <v>21</v>
      </c>
      <c r="E22" s="28" t="s">
        <v>3060</v>
      </c>
      <c r="F22" s="28" t="s">
        <v>3061</v>
      </c>
      <c r="G22" s="28">
        <v>290</v>
      </c>
      <c r="H22" s="28" t="s">
        <v>143</v>
      </c>
      <c r="I22" s="28" t="s">
        <v>3062</v>
      </c>
      <c r="J22" s="28" t="s">
        <v>1025</v>
      </c>
      <c r="K22" s="28" t="s">
        <v>2138</v>
      </c>
      <c r="L22" s="28" t="s">
        <v>1026</v>
      </c>
      <c r="M22" s="28" t="s">
        <v>38</v>
      </c>
      <c r="N22" s="28" t="s">
        <v>28</v>
      </c>
      <c r="O22" s="29">
        <v>40930</v>
      </c>
      <c r="P22" s="28" t="s">
        <v>3063</v>
      </c>
      <c r="Q22" s="28"/>
      <c r="R22" s="28">
        <v>290</v>
      </c>
      <c r="S22" s="28" t="s">
        <v>29</v>
      </c>
    </row>
    <row r="23" spans="1:19">
      <c r="A23" s="28">
        <v>400</v>
      </c>
      <c r="B23" s="28" t="s">
        <v>20</v>
      </c>
      <c r="C23" s="28" t="s">
        <v>21</v>
      </c>
      <c r="D23" s="28" t="s">
        <v>21</v>
      </c>
      <c r="E23" s="28" t="s">
        <v>1265</v>
      </c>
      <c r="F23" s="28" t="s">
        <v>1266</v>
      </c>
      <c r="G23" s="28">
        <v>23.8</v>
      </c>
      <c r="H23" s="28" t="s">
        <v>24</v>
      </c>
      <c r="I23" s="28" t="s">
        <v>859</v>
      </c>
      <c r="J23" s="28" t="s">
        <v>295</v>
      </c>
      <c r="K23" s="28" t="s">
        <v>580</v>
      </c>
      <c r="L23" s="28" t="s">
        <v>240</v>
      </c>
      <c r="M23" s="28" t="s">
        <v>27</v>
      </c>
      <c r="N23" s="28" t="s">
        <v>28</v>
      </c>
      <c r="O23" s="29">
        <v>31413</v>
      </c>
      <c r="P23" s="28" t="s">
        <v>4398</v>
      </c>
      <c r="Q23" s="28"/>
      <c r="R23" s="28">
        <v>25.4</v>
      </c>
      <c r="S23" s="28" t="s">
        <v>29</v>
      </c>
    </row>
    <row r="24" spans="1:19">
      <c r="A24" s="28">
        <v>500</v>
      </c>
      <c r="B24" s="28" t="s">
        <v>20</v>
      </c>
      <c r="C24" s="28" t="s">
        <v>21</v>
      </c>
      <c r="D24" s="28" t="s">
        <v>21</v>
      </c>
      <c r="E24" s="28" t="s">
        <v>1267</v>
      </c>
      <c r="F24" s="28" t="s">
        <v>1268</v>
      </c>
      <c r="G24" s="28">
        <v>25.4</v>
      </c>
      <c r="H24" s="28" t="s">
        <v>24</v>
      </c>
      <c r="I24" s="28" t="s">
        <v>859</v>
      </c>
      <c r="J24" s="28" t="s">
        <v>295</v>
      </c>
      <c r="K24" s="28" t="s">
        <v>580</v>
      </c>
      <c r="L24" s="28" t="s">
        <v>240</v>
      </c>
      <c r="M24" s="28" t="s">
        <v>27</v>
      </c>
      <c r="N24" s="28" t="s">
        <v>28</v>
      </c>
      <c r="O24" s="29">
        <v>31413</v>
      </c>
      <c r="P24" s="28"/>
      <c r="Q24" s="28"/>
      <c r="R24" s="28">
        <v>25.4</v>
      </c>
      <c r="S24" s="28" t="s">
        <v>29</v>
      </c>
    </row>
    <row r="25" spans="1:19">
      <c r="A25" s="28">
        <v>600</v>
      </c>
      <c r="B25" s="28" t="s">
        <v>20</v>
      </c>
      <c r="C25" s="28" t="s">
        <v>21</v>
      </c>
      <c r="D25" s="28" t="s">
        <v>21</v>
      </c>
      <c r="E25" s="28" t="s">
        <v>379</v>
      </c>
      <c r="F25" s="28" t="s">
        <v>380</v>
      </c>
      <c r="G25" s="28">
        <v>174.56</v>
      </c>
      <c r="H25" s="28" t="s">
        <v>5</v>
      </c>
      <c r="I25" s="28" t="s">
        <v>369</v>
      </c>
      <c r="J25" s="28" t="s">
        <v>365</v>
      </c>
      <c r="K25" s="28" t="s">
        <v>366</v>
      </c>
      <c r="L25" s="28" t="s">
        <v>240</v>
      </c>
      <c r="M25" s="28" t="s">
        <v>38</v>
      </c>
      <c r="N25" s="28" t="s">
        <v>39</v>
      </c>
      <c r="O25" s="29">
        <v>20455</v>
      </c>
      <c r="P25" s="28"/>
      <c r="Q25" s="28"/>
      <c r="R25" s="28">
        <v>175</v>
      </c>
      <c r="S25" s="28" t="s">
        <v>29</v>
      </c>
    </row>
    <row r="26" spans="1:19">
      <c r="A26" s="28">
        <v>700</v>
      </c>
      <c r="B26" s="28" t="s">
        <v>20</v>
      </c>
      <c r="C26" s="28" t="s">
        <v>21</v>
      </c>
      <c r="D26" s="28" t="s">
        <v>21</v>
      </c>
      <c r="E26" s="28" t="s">
        <v>385</v>
      </c>
      <c r="F26" s="28" t="s">
        <v>386</v>
      </c>
      <c r="G26" s="28">
        <v>175</v>
      </c>
      <c r="H26" s="28" t="s">
        <v>5</v>
      </c>
      <c r="I26" s="28" t="s">
        <v>369</v>
      </c>
      <c r="J26" s="28" t="s">
        <v>365</v>
      </c>
      <c r="K26" s="28" t="s">
        <v>366</v>
      </c>
      <c r="L26" s="28" t="s">
        <v>240</v>
      </c>
      <c r="M26" s="28" t="s">
        <v>38</v>
      </c>
      <c r="N26" s="28" t="s">
        <v>39</v>
      </c>
      <c r="O26" s="29">
        <v>20821</v>
      </c>
      <c r="P26" s="28"/>
      <c r="Q26" s="28"/>
      <c r="R26" s="28">
        <v>176</v>
      </c>
      <c r="S26" s="28" t="s">
        <v>29</v>
      </c>
    </row>
    <row r="27" spans="1:19">
      <c r="A27" s="28">
        <v>800</v>
      </c>
      <c r="B27" s="28" t="s">
        <v>20</v>
      </c>
      <c r="C27" s="28" t="s">
        <v>21</v>
      </c>
      <c r="D27" s="28" t="s">
        <v>21</v>
      </c>
      <c r="E27" s="28" t="s">
        <v>441</v>
      </c>
      <c r="F27" s="28" t="s">
        <v>442</v>
      </c>
      <c r="G27" s="28">
        <v>332.18</v>
      </c>
      <c r="H27" s="28" t="s">
        <v>5</v>
      </c>
      <c r="I27" s="28" t="s">
        <v>369</v>
      </c>
      <c r="J27" s="28" t="s">
        <v>365</v>
      </c>
      <c r="K27" s="28" t="s">
        <v>366</v>
      </c>
      <c r="L27" s="28" t="s">
        <v>240</v>
      </c>
      <c r="M27" s="28" t="s">
        <v>38</v>
      </c>
      <c r="N27" s="28" t="s">
        <v>39</v>
      </c>
      <c r="O27" s="29">
        <v>22282</v>
      </c>
      <c r="P27" s="28"/>
      <c r="Q27" s="28"/>
      <c r="R27" s="28">
        <v>322</v>
      </c>
      <c r="S27" s="28" t="s">
        <v>29</v>
      </c>
    </row>
    <row r="28" spans="1:19">
      <c r="A28" s="28">
        <v>900</v>
      </c>
      <c r="B28" s="28" t="s">
        <v>20</v>
      </c>
      <c r="C28" s="28" t="s">
        <v>21</v>
      </c>
      <c r="D28" s="28" t="s">
        <v>21</v>
      </c>
      <c r="E28" s="28" t="s">
        <v>448</v>
      </c>
      <c r="F28" s="28" t="s">
        <v>449</v>
      </c>
      <c r="G28" s="28">
        <v>335.67</v>
      </c>
      <c r="H28" s="28" t="s">
        <v>5</v>
      </c>
      <c r="I28" s="28" t="s">
        <v>369</v>
      </c>
      <c r="J28" s="28" t="s">
        <v>365</v>
      </c>
      <c r="K28" s="28" t="s">
        <v>366</v>
      </c>
      <c r="L28" s="28" t="s">
        <v>240</v>
      </c>
      <c r="M28" s="28" t="s">
        <v>38</v>
      </c>
      <c r="N28" s="28" t="s">
        <v>39</v>
      </c>
      <c r="O28" s="29">
        <v>22647</v>
      </c>
      <c r="P28" s="28"/>
      <c r="Q28" s="28"/>
      <c r="R28" s="28">
        <v>320</v>
      </c>
      <c r="S28" s="28" t="s">
        <v>29</v>
      </c>
    </row>
    <row r="29" spans="1:19">
      <c r="A29" s="28">
        <v>1000</v>
      </c>
      <c r="B29" s="28" t="s">
        <v>20</v>
      </c>
      <c r="C29" s="28" t="s">
        <v>21</v>
      </c>
      <c r="D29" s="28" t="s">
        <v>21</v>
      </c>
      <c r="E29" s="28" t="s">
        <v>2239</v>
      </c>
      <c r="F29" s="28" t="s">
        <v>2240</v>
      </c>
      <c r="G29" s="28">
        <v>497.97</v>
      </c>
      <c r="H29" s="28" t="s">
        <v>5</v>
      </c>
      <c r="I29" s="28" t="s">
        <v>369</v>
      </c>
      <c r="J29" s="28" t="s">
        <v>365</v>
      </c>
      <c r="K29" s="28" t="s">
        <v>366</v>
      </c>
      <c r="L29" s="28" t="s">
        <v>240</v>
      </c>
      <c r="M29" s="28" t="s">
        <v>38</v>
      </c>
      <c r="N29" s="28" t="s">
        <v>39</v>
      </c>
      <c r="O29" s="29">
        <v>36161</v>
      </c>
      <c r="P29" s="28"/>
      <c r="Q29" s="28"/>
      <c r="R29" s="28">
        <v>482</v>
      </c>
      <c r="S29" s="28" t="s">
        <v>29</v>
      </c>
    </row>
    <row r="30" spans="1:19">
      <c r="A30" s="28">
        <v>1100</v>
      </c>
      <c r="B30" s="28" t="s">
        <v>20</v>
      </c>
      <c r="C30" s="28" t="s">
        <v>21</v>
      </c>
      <c r="D30" s="28" t="s">
        <v>21</v>
      </c>
      <c r="E30" s="28" t="s">
        <v>508</v>
      </c>
      <c r="F30" s="28" t="s">
        <v>509</v>
      </c>
      <c r="G30" s="28">
        <v>495</v>
      </c>
      <c r="H30" s="28" t="s">
        <v>5</v>
      </c>
      <c r="I30" s="28" t="s">
        <v>369</v>
      </c>
      <c r="J30" s="28" t="s">
        <v>365</v>
      </c>
      <c r="K30" s="28" t="s">
        <v>366</v>
      </c>
      <c r="L30" s="28" t="s">
        <v>240</v>
      </c>
      <c r="M30" s="28" t="s">
        <v>38</v>
      </c>
      <c r="N30" s="28" t="s">
        <v>39</v>
      </c>
      <c r="O30" s="29">
        <v>24108</v>
      </c>
      <c r="P30" s="28"/>
      <c r="Q30" s="28"/>
      <c r="R30" s="28">
        <v>481</v>
      </c>
      <c r="S30" s="28" t="s">
        <v>29</v>
      </c>
    </row>
    <row r="31" spans="1:19">
      <c r="A31" s="28">
        <v>1300</v>
      </c>
      <c r="B31" s="28" t="s">
        <v>20</v>
      </c>
      <c r="C31" s="28" t="s">
        <v>21</v>
      </c>
      <c r="D31" s="28" t="s">
        <v>21</v>
      </c>
      <c r="E31" s="28" t="s">
        <v>1269</v>
      </c>
      <c r="F31" s="28" t="s">
        <v>1270</v>
      </c>
      <c r="G31" s="28">
        <v>16</v>
      </c>
      <c r="H31" s="28" t="s">
        <v>5</v>
      </c>
      <c r="I31" s="28" t="s">
        <v>541</v>
      </c>
      <c r="J31" s="28" t="s">
        <v>25</v>
      </c>
      <c r="K31" s="28" t="s">
        <v>25</v>
      </c>
      <c r="L31" s="28" t="s">
        <v>26</v>
      </c>
      <c r="M31" s="28" t="s">
        <v>38</v>
      </c>
      <c r="N31" s="28" t="s">
        <v>39</v>
      </c>
      <c r="O31" s="29">
        <v>31413</v>
      </c>
      <c r="P31" s="28"/>
      <c r="Q31" s="28"/>
      <c r="R31" s="28">
        <v>18</v>
      </c>
      <c r="S31" s="28" t="s">
        <v>29</v>
      </c>
    </row>
    <row r="32" spans="1:19">
      <c r="A32" s="28">
        <v>108100</v>
      </c>
      <c r="B32" s="28" t="s">
        <v>20</v>
      </c>
      <c r="C32" s="28" t="s">
        <v>21</v>
      </c>
      <c r="D32" s="28" t="s">
        <v>21</v>
      </c>
      <c r="E32" s="28" t="s">
        <v>4399</v>
      </c>
      <c r="F32" s="28" t="s">
        <v>4400</v>
      </c>
      <c r="G32" s="28">
        <v>50</v>
      </c>
      <c r="H32" s="28" t="s">
        <v>24</v>
      </c>
      <c r="I32" s="28" t="s">
        <v>4401</v>
      </c>
      <c r="J32" s="28" t="s">
        <v>1025</v>
      </c>
      <c r="K32" s="28" t="s">
        <v>2138</v>
      </c>
      <c r="L32" s="28" t="s">
        <v>1026</v>
      </c>
      <c r="M32" s="28" t="s">
        <v>27</v>
      </c>
      <c r="N32" s="28" t="s">
        <v>28</v>
      </c>
      <c r="O32" s="29">
        <v>41341</v>
      </c>
      <c r="P32" s="28"/>
      <c r="Q32" s="28"/>
      <c r="R32" s="28">
        <v>50</v>
      </c>
      <c r="S32" s="28" t="s">
        <v>29</v>
      </c>
    </row>
    <row r="33" spans="1:19">
      <c r="A33" s="28">
        <v>108200</v>
      </c>
      <c r="B33" s="28" t="s">
        <v>20</v>
      </c>
      <c r="C33" s="28" t="s">
        <v>21</v>
      </c>
      <c r="D33" s="28" t="s">
        <v>21</v>
      </c>
      <c r="E33" s="28" t="s">
        <v>4402</v>
      </c>
      <c r="F33" s="28" t="s">
        <v>4403</v>
      </c>
      <c r="G33" s="28">
        <v>20</v>
      </c>
      <c r="H33" s="28" t="s">
        <v>24</v>
      </c>
      <c r="I33" s="28" t="s">
        <v>4403</v>
      </c>
      <c r="J33" s="28" t="s">
        <v>1025</v>
      </c>
      <c r="K33" s="28" t="s">
        <v>2138</v>
      </c>
      <c r="L33" s="28" t="s">
        <v>1026</v>
      </c>
      <c r="M33" s="28" t="s">
        <v>27</v>
      </c>
      <c r="N33" s="28" t="s">
        <v>28</v>
      </c>
      <c r="O33" s="29">
        <v>41341</v>
      </c>
      <c r="P33" s="28"/>
      <c r="Q33" s="28"/>
      <c r="R33" s="28">
        <v>20</v>
      </c>
      <c r="S33" s="28" t="s">
        <v>29</v>
      </c>
    </row>
    <row r="34" spans="1:19">
      <c r="A34" s="28">
        <v>107800</v>
      </c>
      <c r="B34" s="28" t="s">
        <v>20</v>
      </c>
      <c r="C34" s="28" t="s">
        <v>21</v>
      </c>
      <c r="D34" s="28" t="s">
        <v>21</v>
      </c>
      <c r="E34" s="28" t="s">
        <v>4404</v>
      </c>
      <c r="F34" s="28" t="s">
        <v>4405</v>
      </c>
      <c r="G34" s="28">
        <v>66</v>
      </c>
      <c r="H34" s="28" t="s">
        <v>5</v>
      </c>
      <c r="I34" s="28" t="s">
        <v>4406</v>
      </c>
      <c r="J34" s="28" t="s">
        <v>1025</v>
      </c>
      <c r="K34" s="28" t="s">
        <v>2138</v>
      </c>
      <c r="L34" s="28" t="s">
        <v>1026</v>
      </c>
      <c r="M34" s="28" t="s">
        <v>38</v>
      </c>
      <c r="N34" s="28" t="s">
        <v>39</v>
      </c>
      <c r="O34" s="29">
        <v>41292</v>
      </c>
      <c r="P34" s="28"/>
      <c r="Q34" s="28"/>
      <c r="R34" s="28">
        <v>66</v>
      </c>
      <c r="S34" s="28" t="s">
        <v>29</v>
      </c>
    </row>
    <row r="35" spans="1:19">
      <c r="A35" s="28">
        <v>107200</v>
      </c>
      <c r="B35" s="28" t="s">
        <v>20</v>
      </c>
      <c r="C35" s="28" t="s">
        <v>30</v>
      </c>
      <c r="D35" s="28" t="s">
        <v>21</v>
      </c>
      <c r="E35" s="28" t="s">
        <v>4407</v>
      </c>
      <c r="F35" s="28" t="s">
        <v>4408</v>
      </c>
      <c r="G35" s="28">
        <v>168</v>
      </c>
      <c r="H35" s="28" t="s">
        <v>5</v>
      </c>
      <c r="I35" s="28" t="s">
        <v>4409</v>
      </c>
      <c r="J35" s="28" t="s">
        <v>781</v>
      </c>
      <c r="K35" s="28" t="s">
        <v>781</v>
      </c>
      <c r="L35" s="28" t="s">
        <v>781</v>
      </c>
      <c r="M35" s="28" t="s">
        <v>38</v>
      </c>
      <c r="N35" s="28" t="s">
        <v>39</v>
      </c>
      <c r="O35" s="29">
        <v>41275</v>
      </c>
      <c r="P35" s="28"/>
      <c r="Q35" s="28"/>
      <c r="R35" s="28">
        <v>168</v>
      </c>
      <c r="S35" s="28" t="s">
        <v>29</v>
      </c>
    </row>
    <row r="36" spans="1:19" ht="29.25">
      <c r="A36" s="28">
        <v>112600</v>
      </c>
      <c r="B36" s="28" t="s">
        <v>20</v>
      </c>
      <c r="C36" s="28" t="s">
        <v>21</v>
      </c>
      <c r="D36" s="28" t="s">
        <v>21</v>
      </c>
      <c r="E36" s="28" t="s">
        <v>4608</v>
      </c>
      <c r="F36" s="28" t="s">
        <v>4705</v>
      </c>
      <c r="G36" s="28">
        <v>2.1</v>
      </c>
      <c r="H36" s="28" t="s">
        <v>24</v>
      </c>
      <c r="I36" s="28" t="s">
        <v>4706</v>
      </c>
      <c r="J36" s="28" t="s">
        <v>788</v>
      </c>
      <c r="K36" s="28" t="s">
        <v>296</v>
      </c>
      <c r="L36" s="28" t="s">
        <v>888</v>
      </c>
      <c r="M36" s="28" t="s">
        <v>3325</v>
      </c>
      <c r="N36" s="28" t="s">
        <v>28</v>
      </c>
      <c r="O36" s="29">
        <v>41179</v>
      </c>
      <c r="P36" s="28"/>
      <c r="Q36" s="28"/>
      <c r="R36" s="28">
        <v>4</v>
      </c>
      <c r="S36" s="28" t="s">
        <v>29</v>
      </c>
    </row>
    <row r="37" spans="1:19">
      <c r="A37" s="28">
        <v>1500</v>
      </c>
      <c r="B37" s="28" t="s">
        <v>20</v>
      </c>
      <c r="C37" s="28" t="s">
        <v>21</v>
      </c>
      <c r="D37" s="28" t="s">
        <v>21</v>
      </c>
      <c r="E37" s="28" t="s">
        <v>1922</v>
      </c>
      <c r="F37" s="28" t="s">
        <v>1923</v>
      </c>
      <c r="G37" s="28">
        <v>42.81</v>
      </c>
      <c r="H37" s="28" t="s">
        <v>5</v>
      </c>
      <c r="I37" s="28" t="s">
        <v>1924</v>
      </c>
      <c r="J37" s="28" t="s">
        <v>295</v>
      </c>
      <c r="K37" s="28" t="s">
        <v>580</v>
      </c>
      <c r="L37" s="28" t="s">
        <v>240</v>
      </c>
      <c r="M37" s="28" t="s">
        <v>38</v>
      </c>
      <c r="N37" s="28" t="s">
        <v>1925</v>
      </c>
      <c r="O37" s="29">
        <v>32874</v>
      </c>
      <c r="P37" s="28"/>
      <c r="Q37" s="28"/>
      <c r="R37" s="28">
        <v>49.2</v>
      </c>
      <c r="S37" s="28" t="s">
        <v>29</v>
      </c>
    </row>
    <row r="38" spans="1:19">
      <c r="A38" s="28">
        <v>108300</v>
      </c>
      <c r="B38" s="28" t="s">
        <v>20</v>
      </c>
      <c r="C38" s="28" t="s">
        <v>21</v>
      </c>
      <c r="D38" s="28" t="s">
        <v>21</v>
      </c>
      <c r="E38" s="28" t="s">
        <v>4410</v>
      </c>
      <c r="F38" s="28" t="s">
        <v>4411</v>
      </c>
      <c r="G38" s="28">
        <v>20</v>
      </c>
      <c r="H38" s="28" t="s">
        <v>5</v>
      </c>
      <c r="I38" s="28" t="s">
        <v>4412</v>
      </c>
      <c r="J38" s="28" t="s">
        <v>1025</v>
      </c>
      <c r="K38" s="28" t="s">
        <v>2138</v>
      </c>
      <c r="L38" s="28" t="s">
        <v>1026</v>
      </c>
      <c r="M38" s="28" t="s">
        <v>38</v>
      </c>
      <c r="N38" s="28" t="s">
        <v>39</v>
      </c>
      <c r="O38" s="29">
        <v>41358</v>
      </c>
      <c r="P38" s="28"/>
      <c r="Q38" s="28"/>
      <c r="R38" s="28">
        <v>20</v>
      </c>
      <c r="S38" s="28" t="s">
        <v>29</v>
      </c>
    </row>
    <row r="39" spans="1:19" ht="29.25">
      <c r="A39" s="28">
        <v>110500</v>
      </c>
      <c r="B39" s="28" t="s">
        <v>20</v>
      </c>
      <c r="C39" s="28" t="s">
        <v>21</v>
      </c>
      <c r="D39" s="28" t="s">
        <v>21</v>
      </c>
      <c r="E39" s="28" t="s">
        <v>4707</v>
      </c>
      <c r="F39" s="28" t="s">
        <v>4708</v>
      </c>
      <c r="G39" s="28">
        <v>127</v>
      </c>
      <c r="H39" s="28" t="s">
        <v>143</v>
      </c>
      <c r="I39" s="28" t="s">
        <v>4709</v>
      </c>
      <c r="J39" s="28" t="s">
        <v>1025</v>
      </c>
      <c r="K39" s="28" t="s">
        <v>2138</v>
      </c>
      <c r="L39" s="28" t="s">
        <v>1026</v>
      </c>
      <c r="M39" s="28" t="s">
        <v>38</v>
      </c>
      <c r="N39" s="28" t="s">
        <v>144</v>
      </c>
      <c r="O39" s="29">
        <v>41583</v>
      </c>
      <c r="P39" s="28"/>
      <c r="Q39" s="28"/>
      <c r="R39" s="28">
        <v>127</v>
      </c>
      <c r="S39" s="28" t="s">
        <v>29</v>
      </c>
    </row>
    <row r="40" spans="1:19" ht="29.25">
      <c r="A40" s="28">
        <v>108000</v>
      </c>
      <c r="B40" s="28" t="s">
        <v>20</v>
      </c>
      <c r="C40" s="28" t="s">
        <v>21</v>
      </c>
      <c r="D40" s="28" t="s">
        <v>21</v>
      </c>
      <c r="E40" s="28" t="s">
        <v>4413</v>
      </c>
      <c r="F40" s="28" t="s">
        <v>4414</v>
      </c>
      <c r="G40" s="28">
        <v>20</v>
      </c>
      <c r="H40" s="28" t="s">
        <v>24</v>
      </c>
      <c r="I40" s="28" t="s">
        <v>4415</v>
      </c>
      <c r="J40" s="28" t="s">
        <v>1025</v>
      </c>
      <c r="K40" s="28" t="s">
        <v>2138</v>
      </c>
      <c r="L40" s="28" t="s">
        <v>1026</v>
      </c>
      <c r="M40" s="28" t="s">
        <v>27</v>
      </c>
      <c r="N40" s="28" t="s">
        <v>28</v>
      </c>
      <c r="O40" s="29">
        <v>41341</v>
      </c>
      <c r="P40" s="28"/>
      <c r="Q40" s="28"/>
      <c r="R40" s="28">
        <v>20</v>
      </c>
      <c r="S40" s="28" t="s">
        <v>29</v>
      </c>
    </row>
    <row r="41" spans="1:19">
      <c r="A41" s="28">
        <v>101600</v>
      </c>
      <c r="B41" s="28" t="s">
        <v>20</v>
      </c>
      <c r="C41" s="28" t="s">
        <v>21</v>
      </c>
      <c r="D41" s="28" t="s">
        <v>21</v>
      </c>
      <c r="E41" s="28" t="s">
        <v>3011</v>
      </c>
      <c r="F41" s="28" t="s">
        <v>3012</v>
      </c>
      <c r="G41" s="28">
        <v>6</v>
      </c>
      <c r="H41" s="28" t="s">
        <v>24</v>
      </c>
      <c r="I41" s="28" t="s">
        <v>3013</v>
      </c>
      <c r="J41" s="28" t="s">
        <v>1025</v>
      </c>
      <c r="K41" s="28" t="s">
        <v>2138</v>
      </c>
      <c r="L41" s="28" t="s">
        <v>1026</v>
      </c>
      <c r="M41" s="28" t="s">
        <v>27</v>
      </c>
      <c r="N41" s="28" t="s">
        <v>1420</v>
      </c>
      <c r="O41" s="29">
        <v>40760</v>
      </c>
      <c r="P41" s="28"/>
      <c r="Q41" s="28"/>
      <c r="R41" s="28">
        <v>6</v>
      </c>
      <c r="S41" s="28" t="s">
        <v>29</v>
      </c>
    </row>
    <row r="42" spans="1:19" ht="29.25">
      <c r="A42" s="28">
        <v>2200</v>
      </c>
      <c r="B42" s="28" t="s">
        <v>20</v>
      </c>
      <c r="C42" s="28" t="s">
        <v>30</v>
      </c>
      <c r="D42" s="28" t="s">
        <v>21</v>
      </c>
      <c r="E42" s="28" t="s">
        <v>1120</v>
      </c>
      <c r="F42" s="28" t="s">
        <v>1121</v>
      </c>
      <c r="G42" s="28">
        <v>2.5</v>
      </c>
      <c r="H42" s="28" t="s">
        <v>24</v>
      </c>
      <c r="I42" s="28" t="s">
        <v>1122</v>
      </c>
      <c r="J42" s="28" t="s">
        <v>788</v>
      </c>
      <c r="K42" s="28" t="s">
        <v>296</v>
      </c>
      <c r="L42" s="28" t="s">
        <v>888</v>
      </c>
      <c r="M42" s="28" t="s">
        <v>27</v>
      </c>
      <c r="N42" s="28" t="s">
        <v>28</v>
      </c>
      <c r="O42" s="29">
        <v>31048</v>
      </c>
      <c r="P42" s="28"/>
      <c r="Q42" s="28"/>
      <c r="R42" s="28">
        <v>3</v>
      </c>
      <c r="S42" s="28" t="s">
        <v>29</v>
      </c>
    </row>
    <row r="43" spans="1:19" ht="29.25">
      <c r="A43" s="24">
        <v>2900</v>
      </c>
      <c r="B43" s="24" t="s">
        <v>20</v>
      </c>
      <c r="C43" s="24" t="s">
        <v>21</v>
      </c>
      <c r="D43" s="24" t="s">
        <v>30</v>
      </c>
      <c r="E43" s="24" t="s">
        <v>115</v>
      </c>
      <c r="F43" s="24" t="s">
        <v>116</v>
      </c>
      <c r="G43" s="24">
        <v>820</v>
      </c>
      <c r="H43" s="24" t="s">
        <v>5</v>
      </c>
      <c r="I43" s="24" t="s">
        <v>5</v>
      </c>
      <c r="J43" s="24" t="s">
        <v>25</v>
      </c>
      <c r="K43" s="24" t="s">
        <v>25</v>
      </c>
      <c r="L43" s="24" t="s">
        <v>26</v>
      </c>
      <c r="M43" s="24" t="s">
        <v>38</v>
      </c>
      <c r="N43" s="24" t="s">
        <v>39</v>
      </c>
      <c r="O43" s="25">
        <v>4750</v>
      </c>
      <c r="P43" s="24"/>
      <c r="Q43" s="24"/>
      <c r="R43" s="24">
        <v>821</v>
      </c>
      <c r="S43" s="24" t="s">
        <v>29</v>
      </c>
    </row>
    <row r="44" spans="1:19">
      <c r="A44" s="26">
        <v>2923</v>
      </c>
      <c r="B44" s="26" t="s">
        <v>20</v>
      </c>
      <c r="C44" s="26" t="s">
        <v>21</v>
      </c>
      <c r="D44" s="26" t="s">
        <v>21</v>
      </c>
      <c r="E44" s="26" t="s">
        <v>381</v>
      </c>
      <c r="F44" s="26" t="s">
        <v>382</v>
      </c>
      <c r="G44" s="26">
        <v>10.8</v>
      </c>
      <c r="H44" s="26" t="s">
        <v>5</v>
      </c>
      <c r="I44" s="26" t="s">
        <v>5</v>
      </c>
      <c r="J44" s="26" t="s">
        <v>25</v>
      </c>
      <c r="K44" s="26" t="s">
        <v>25</v>
      </c>
      <c r="L44" s="26" t="s">
        <v>26</v>
      </c>
      <c r="M44" s="26" t="s">
        <v>38</v>
      </c>
      <c r="N44" s="26" t="s">
        <v>39</v>
      </c>
      <c r="O44" s="27">
        <v>20455</v>
      </c>
      <c r="P44" s="26"/>
      <c r="Q44" s="26"/>
      <c r="R44" s="26">
        <v>10.5</v>
      </c>
      <c r="S44" s="26" t="s">
        <v>29</v>
      </c>
    </row>
    <row r="45" spans="1:19">
      <c r="A45" s="26">
        <v>2901</v>
      </c>
      <c r="B45" s="26" t="s">
        <v>20</v>
      </c>
      <c r="C45" s="26" t="s">
        <v>21</v>
      </c>
      <c r="D45" s="26" t="s">
        <v>21</v>
      </c>
      <c r="E45" s="26" t="s">
        <v>117</v>
      </c>
      <c r="F45" s="26" t="s">
        <v>118</v>
      </c>
      <c r="G45" s="26">
        <v>19.8</v>
      </c>
      <c r="H45" s="26" t="s">
        <v>5</v>
      </c>
      <c r="I45" s="26" t="s">
        <v>5</v>
      </c>
      <c r="J45" s="26" t="s">
        <v>25</v>
      </c>
      <c r="K45" s="26" t="s">
        <v>25</v>
      </c>
      <c r="L45" s="26" t="s">
        <v>26</v>
      </c>
      <c r="M45" s="26" t="s">
        <v>38</v>
      </c>
      <c r="N45" s="26" t="s">
        <v>39</v>
      </c>
      <c r="O45" s="27">
        <v>4750</v>
      </c>
      <c r="P45" s="26"/>
      <c r="Q45" s="26"/>
      <c r="R45" s="26">
        <v>21</v>
      </c>
      <c r="S45" s="26" t="s">
        <v>29</v>
      </c>
    </row>
    <row r="46" spans="1:19">
      <c r="A46" s="26">
        <v>2902</v>
      </c>
      <c r="B46" s="26" t="s">
        <v>20</v>
      </c>
      <c r="C46" s="26" t="s">
        <v>21</v>
      </c>
      <c r="D46" s="26" t="s">
        <v>21</v>
      </c>
      <c r="E46" s="26" t="s">
        <v>119</v>
      </c>
      <c r="F46" s="26" t="s">
        <v>120</v>
      </c>
      <c r="G46" s="26">
        <v>15.8</v>
      </c>
      <c r="H46" s="26" t="s">
        <v>5</v>
      </c>
      <c r="I46" s="26" t="s">
        <v>5</v>
      </c>
      <c r="J46" s="26" t="s">
        <v>25</v>
      </c>
      <c r="K46" s="26" t="s">
        <v>25</v>
      </c>
      <c r="L46" s="26" t="s">
        <v>26</v>
      </c>
      <c r="M46" s="26" t="s">
        <v>38</v>
      </c>
      <c r="N46" s="26" t="s">
        <v>39</v>
      </c>
      <c r="O46" s="27">
        <v>4750</v>
      </c>
      <c r="P46" s="26"/>
      <c r="Q46" s="26"/>
      <c r="R46" s="26">
        <v>17</v>
      </c>
      <c r="S46" s="26" t="s">
        <v>29</v>
      </c>
    </row>
    <row r="47" spans="1:19">
      <c r="A47" s="26">
        <v>2903</v>
      </c>
      <c r="B47" s="26" t="s">
        <v>20</v>
      </c>
      <c r="C47" s="26" t="s">
        <v>21</v>
      </c>
      <c r="D47" s="26" t="s">
        <v>21</v>
      </c>
      <c r="E47" s="26" t="s">
        <v>212</v>
      </c>
      <c r="F47" s="26" t="s">
        <v>213</v>
      </c>
      <c r="G47" s="26">
        <v>21.6</v>
      </c>
      <c r="H47" s="26" t="s">
        <v>5</v>
      </c>
      <c r="I47" s="26" t="s">
        <v>5</v>
      </c>
      <c r="J47" s="26" t="s">
        <v>25</v>
      </c>
      <c r="K47" s="26" t="s">
        <v>25</v>
      </c>
      <c r="L47" s="26" t="s">
        <v>26</v>
      </c>
      <c r="M47" s="26" t="s">
        <v>38</v>
      </c>
      <c r="N47" s="26" t="s">
        <v>39</v>
      </c>
      <c r="O47" s="27">
        <v>8402</v>
      </c>
      <c r="P47" s="26"/>
      <c r="Q47" s="26"/>
      <c r="R47" s="26">
        <v>21</v>
      </c>
      <c r="S47" s="26" t="s">
        <v>29</v>
      </c>
    </row>
    <row r="48" spans="1:19">
      <c r="A48" s="26">
        <v>2904</v>
      </c>
      <c r="B48" s="26" t="s">
        <v>20</v>
      </c>
      <c r="C48" s="26" t="s">
        <v>21</v>
      </c>
      <c r="D48" s="26" t="s">
        <v>21</v>
      </c>
      <c r="E48" s="26" t="s">
        <v>226</v>
      </c>
      <c r="F48" s="26" t="s">
        <v>227</v>
      </c>
      <c r="G48" s="26">
        <v>31.2</v>
      </c>
      <c r="H48" s="26" t="s">
        <v>5</v>
      </c>
      <c r="I48" s="26" t="s">
        <v>5</v>
      </c>
      <c r="J48" s="26" t="s">
        <v>25</v>
      </c>
      <c r="K48" s="26" t="s">
        <v>25</v>
      </c>
      <c r="L48" s="26" t="s">
        <v>26</v>
      </c>
      <c r="M48" s="26" t="s">
        <v>38</v>
      </c>
      <c r="N48" s="26" t="s">
        <v>39</v>
      </c>
      <c r="O48" s="27">
        <v>9133</v>
      </c>
      <c r="P48" s="26"/>
      <c r="Q48" s="26"/>
      <c r="R48" s="26">
        <v>31.2</v>
      </c>
      <c r="S48" s="26" t="s">
        <v>29</v>
      </c>
    </row>
    <row r="49" spans="1:19">
      <c r="A49" s="26">
        <v>2905</v>
      </c>
      <c r="B49" s="26" t="s">
        <v>20</v>
      </c>
      <c r="C49" s="26" t="s">
        <v>21</v>
      </c>
      <c r="D49" s="26" t="s">
        <v>21</v>
      </c>
      <c r="E49" s="26" t="s">
        <v>244</v>
      </c>
      <c r="F49" s="26" t="s">
        <v>245</v>
      </c>
      <c r="G49" s="26">
        <v>55</v>
      </c>
      <c r="H49" s="26" t="s">
        <v>5</v>
      </c>
      <c r="I49" s="26" t="s">
        <v>5</v>
      </c>
      <c r="J49" s="26" t="s">
        <v>25</v>
      </c>
      <c r="K49" s="26" t="s">
        <v>25</v>
      </c>
      <c r="L49" s="26" t="s">
        <v>26</v>
      </c>
      <c r="M49" s="26" t="s">
        <v>38</v>
      </c>
      <c r="N49" s="26" t="s">
        <v>39</v>
      </c>
      <c r="O49" s="27">
        <v>10228</v>
      </c>
      <c r="P49" s="26"/>
      <c r="Q49" s="26"/>
      <c r="R49" s="26">
        <v>49.3</v>
      </c>
      <c r="S49" s="26" t="s">
        <v>29</v>
      </c>
    </row>
    <row r="50" spans="1:19">
      <c r="A50" s="26">
        <v>2906</v>
      </c>
      <c r="B50" s="26" t="s">
        <v>20</v>
      </c>
      <c r="C50" s="26" t="s">
        <v>21</v>
      </c>
      <c r="D50" s="26" t="s">
        <v>21</v>
      </c>
      <c r="E50" s="26" t="s">
        <v>246</v>
      </c>
      <c r="F50" s="26" t="s">
        <v>247</v>
      </c>
      <c r="G50" s="26">
        <v>55</v>
      </c>
      <c r="H50" s="26" t="s">
        <v>5</v>
      </c>
      <c r="I50" s="26" t="s">
        <v>5</v>
      </c>
      <c r="J50" s="26" t="s">
        <v>25</v>
      </c>
      <c r="K50" s="26" t="s">
        <v>25</v>
      </c>
      <c r="L50" s="26" t="s">
        <v>26</v>
      </c>
      <c r="M50" s="26" t="s">
        <v>38</v>
      </c>
      <c r="N50" s="26" t="s">
        <v>39</v>
      </c>
      <c r="O50" s="27">
        <v>10228</v>
      </c>
      <c r="P50" s="26"/>
      <c r="Q50" s="26"/>
      <c r="R50" s="26">
        <v>49.2</v>
      </c>
      <c r="S50" s="26" t="s">
        <v>29</v>
      </c>
    </row>
    <row r="51" spans="1:19">
      <c r="A51" s="26">
        <v>2907</v>
      </c>
      <c r="B51" s="26" t="s">
        <v>20</v>
      </c>
      <c r="C51" s="26" t="s">
        <v>21</v>
      </c>
      <c r="D51" s="26" t="s">
        <v>21</v>
      </c>
      <c r="E51" s="26" t="s">
        <v>121</v>
      </c>
      <c r="F51" s="26" t="s">
        <v>122</v>
      </c>
      <c r="G51" s="26">
        <v>15.8</v>
      </c>
      <c r="H51" s="26" t="s">
        <v>5</v>
      </c>
      <c r="I51" s="26" t="s">
        <v>5</v>
      </c>
      <c r="J51" s="26" t="s">
        <v>25</v>
      </c>
      <c r="K51" s="26" t="s">
        <v>25</v>
      </c>
      <c r="L51" s="26" t="s">
        <v>26</v>
      </c>
      <c r="M51" s="26" t="s">
        <v>38</v>
      </c>
      <c r="N51" s="26" t="s">
        <v>39</v>
      </c>
      <c r="O51" s="27">
        <v>4750</v>
      </c>
      <c r="P51" s="26"/>
      <c r="Q51" s="26"/>
      <c r="R51" s="26">
        <v>20</v>
      </c>
      <c r="S51" s="26" t="s">
        <v>29</v>
      </c>
    </row>
    <row r="52" spans="1:19">
      <c r="A52" s="26">
        <v>2908</v>
      </c>
      <c r="B52" s="26" t="s">
        <v>20</v>
      </c>
      <c r="C52" s="26" t="s">
        <v>21</v>
      </c>
      <c r="D52" s="26" t="s">
        <v>21</v>
      </c>
      <c r="E52" s="26" t="s">
        <v>138</v>
      </c>
      <c r="F52" s="26" t="s">
        <v>139</v>
      </c>
      <c r="G52" s="26">
        <v>15.8</v>
      </c>
      <c r="H52" s="26" t="s">
        <v>5</v>
      </c>
      <c r="I52" s="26" t="s">
        <v>5</v>
      </c>
      <c r="J52" s="26" t="s">
        <v>25</v>
      </c>
      <c r="K52" s="26" t="s">
        <v>25</v>
      </c>
      <c r="L52" s="26" t="s">
        <v>26</v>
      </c>
      <c r="M52" s="26" t="s">
        <v>38</v>
      </c>
      <c r="N52" s="26" t="s">
        <v>39</v>
      </c>
      <c r="O52" s="27">
        <v>5115</v>
      </c>
      <c r="P52" s="26"/>
      <c r="Q52" s="26"/>
      <c r="R52" s="26">
        <v>20</v>
      </c>
      <c r="S52" s="26" t="s">
        <v>29</v>
      </c>
    </row>
    <row r="53" spans="1:19">
      <c r="A53" s="26">
        <v>2909</v>
      </c>
      <c r="B53" s="26" t="s">
        <v>20</v>
      </c>
      <c r="C53" s="26" t="s">
        <v>21</v>
      </c>
      <c r="D53" s="26" t="s">
        <v>21</v>
      </c>
      <c r="E53" s="26" t="s">
        <v>169</v>
      </c>
      <c r="F53" s="26" t="s">
        <v>170</v>
      </c>
      <c r="G53" s="26">
        <v>17.5</v>
      </c>
      <c r="H53" s="26" t="s">
        <v>5</v>
      </c>
      <c r="I53" s="26" t="s">
        <v>5</v>
      </c>
      <c r="J53" s="26" t="s">
        <v>25</v>
      </c>
      <c r="K53" s="26" t="s">
        <v>25</v>
      </c>
      <c r="L53" s="26" t="s">
        <v>26</v>
      </c>
      <c r="M53" s="26" t="s">
        <v>38</v>
      </c>
      <c r="N53" s="26" t="s">
        <v>39</v>
      </c>
      <c r="O53" s="27">
        <v>7672</v>
      </c>
      <c r="P53" s="26"/>
      <c r="Q53" s="26"/>
      <c r="R53" s="26">
        <v>16.899999999999999</v>
      </c>
      <c r="S53" s="26" t="s">
        <v>29</v>
      </c>
    </row>
    <row r="54" spans="1:19">
      <c r="A54" s="26">
        <v>2910</v>
      </c>
      <c r="B54" s="26" t="s">
        <v>20</v>
      </c>
      <c r="C54" s="26" t="s">
        <v>21</v>
      </c>
      <c r="D54" s="26" t="s">
        <v>21</v>
      </c>
      <c r="E54" s="26" t="s">
        <v>228</v>
      </c>
      <c r="F54" s="26" t="s">
        <v>229</v>
      </c>
      <c r="G54" s="26">
        <v>17.5</v>
      </c>
      <c r="H54" s="26" t="s">
        <v>5</v>
      </c>
      <c r="I54" s="26" t="s">
        <v>5</v>
      </c>
      <c r="J54" s="26" t="s">
        <v>25</v>
      </c>
      <c r="K54" s="26" t="s">
        <v>25</v>
      </c>
      <c r="L54" s="26" t="s">
        <v>26</v>
      </c>
      <c r="M54" s="26" t="s">
        <v>38</v>
      </c>
      <c r="N54" s="26" t="s">
        <v>39</v>
      </c>
      <c r="O54" s="27">
        <v>9133</v>
      </c>
      <c r="P54" s="26"/>
      <c r="Q54" s="26"/>
      <c r="R54" s="26">
        <v>18.8</v>
      </c>
      <c r="S54" s="26" t="s">
        <v>29</v>
      </c>
    </row>
    <row r="55" spans="1:19">
      <c r="A55" s="26">
        <v>2911</v>
      </c>
      <c r="B55" s="26" t="s">
        <v>20</v>
      </c>
      <c r="C55" s="26" t="s">
        <v>21</v>
      </c>
      <c r="D55" s="26" t="s">
        <v>21</v>
      </c>
      <c r="E55" s="26" t="s">
        <v>214</v>
      </c>
      <c r="F55" s="26" t="s">
        <v>215</v>
      </c>
      <c r="G55" s="26">
        <v>34</v>
      </c>
      <c r="H55" s="26" t="s">
        <v>5</v>
      </c>
      <c r="I55" s="26" t="s">
        <v>5</v>
      </c>
      <c r="J55" s="26" t="s">
        <v>25</v>
      </c>
      <c r="K55" s="26" t="s">
        <v>25</v>
      </c>
      <c r="L55" s="26" t="s">
        <v>26</v>
      </c>
      <c r="M55" s="26" t="s">
        <v>38</v>
      </c>
      <c r="N55" s="26" t="s">
        <v>39</v>
      </c>
      <c r="O55" s="27">
        <v>8402</v>
      </c>
      <c r="P55" s="26"/>
      <c r="Q55" s="26"/>
      <c r="R55" s="26">
        <v>34.5</v>
      </c>
      <c r="S55" s="26" t="s">
        <v>29</v>
      </c>
    </row>
    <row r="56" spans="1:19">
      <c r="A56" s="26">
        <v>2912</v>
      </c>
      <c r="B56" s="26" t="s">
        <v>20</v>
      </c>
      <c r="C56" s="26" t="s">
        <v>21</v>
      </c>
      <c r="D56" s="26" t="s">
        <v>21</v>
      </c>
      <c r="E56" s="26" t="s">
        <v>216</v>
      </c>
      <c r="F56" s="26" t="s">
        <v>217</v>
      </c>
      <c r="G56" s="26">
        <v>34</v>
      </c>
      <c r="H56" s="26" t="s">
        <v>5</v>
      </c>
      <c r="I56" s="26" t="s">
        <v>5</v>
      </c>
      <c r="J56" s="26" t="s">
        <v>25</v>
      </c>
      <c r="K56" s="26" t="s">
        <v>25</v>
      </c>
      <c r="L56" s="26" t="s">
        <v>26</v>
      </c>
      <c r="M56" s="26" t="s">
        <v>38</v>
      </c>
      <c r="N56" s="26" t="s">
        <v>39</v>
      </c>
      <c r="O56" s="27">
        <v>8402</v>
      </c>
      <c r="P56" s="26"/>
      <c r="Q56" s="26"/>
      <c r="R56" s="26">
        <v>34.5</v>
      </c>
      <c r="S56" s="26" t="s">
        <v>29</v>
      </c>
    </row>
    <row r="57" spans="1:19">
      <c r="A57" s="26">
        <v>2913</v>
      </c>
      <c r="B57" s="26" t="s">
        <v>20</v>
      </c>
      <c r="C57" s="26" t="s">
        <v>21</v>
      </c>
      <c r="D57" s="26" t="s">
        <v>21</v>
      </c>
      <c r="E57" s="26" t="s">
        <v>218</v>
      </c>
      <c r="F57" s="26" t="s">
        <v>219</v>
      </c>
      <c r="G57" s="26">
        <v>34</v>
      </c>
      <c r="H57" s="26" t="s">
        <v>5</v>
      </c>
      <c r="I57" s="26" t="s">
        <v>5</v>
      </c>
      <c r="J57" s="26" t="s">
        <v>25</v>
      </c>
      <c r="K57" s="26" t="s">
        <v>25</v>
      </c>
      <c r="L57" s="26" t="s">
        <v>26</v>
      </c>
      <c r="M57" s="26" t="s">
        <v>38</v>
      </c>
      <c r="N57" s="26" t="s">
        <v>39</v>
      </c>
      <c r="O57" s="27">
        <v>8402</v>
      </c>
      <c r="P57" s="26"/>
      <c r="Q57" s="26"/>
      <c r="R57" s="26">
        <v>34.299999999999997</v>
      </c>
      <c r="S57" s="26" t="s">
        <v>29</v>
      </c>
    </row>
    <row r="58" spans="1:19">
      <c r="A58" s="26">
        <v>2914</v>
      </c>
      <c r="B58" s="26" t="s">
        <v>20</v>
      </c>
      <c r="C58" s="26" t="s">
        <v>21</v>
      </c>
      <c r="D58" s="26" t="s">
        <v>21</v>
      </c>
      <c r="E58" s="26" t="s">
        <v>331</v>
      </c>
      <c r="F58" s="26" t="s">
        <v>332</v>
      </c>
      <c r="G58" s="26">
        <v>36</v>
      </c>
      <c r="H58" s="26" t="s">
        <v>5</v>
      </c>
      <c r="I58" s="26" t="s">
        <v>5</v>
      </c>
      <c r="J58" s="26" t="s">
        <v>25</v>
      </c>
      <c r="K58" s="26" t="s">
        <v>25</v>
      </c>
      <c r="L58" s="26" t="s">
        <v>26</v>
      </c>
      <c r="M58" s="26" t="s">
        <v>38</v>
      </c>
      <c r="N58" s="26" t="s">
        <v>39</v>
      </c>
      <c r="O58" s="27">
        <v>17533</v>
      </c>
      <c r="P58" s="26"/>
      <c r="Q58" s="26"/>
      <c r="R58" s="26">
        <v>40.5</v>
      </c>
      <c r="S58" s="26" t="s">
        <v>29</v>
      </c>
    </row>
    <row r="59" spans="1:19">
      <c r="A59" s="26">
        <v>2915</v>
      </c>
      <c r="B59" s="26" t="s">
        <v>20</v>
      </c>
      <c r="C59" s="26" t="s">
        <v>21</v>
      </c>
      <c r="D59" s="26" t="s">
        <v>21</v>
      </c>
      <c r="E59" s="26" t="s">
        <v>749</v>
      </c>
      <c r="F59" s="26" t="s">
        <v>750</v>
      </c>
      <c r="G59" s="26"/>
      <c r="H59" s="26" t="s">
        <v>5</v>
      </c>
      <c r="I59" s="26" t="s">
        <v>5</v>
      </c>
      <c r="J59" s="26" t="s">
        <v>25</v>
      </c>
      <c r="K59" s="26" t="s">
        <v>25</v>
      </c>
      <c r="L59" s="26" t="s">
        <v>26</v>
      </c>
      <c r="M59" s="26" t="s">
        <v>38</v>
      </c>
      <c r="N59" s="26" t="s">
        <v>39</v>
      </c>
      <c r="O59" s="27">
        <v>29221</v>
      </c>
      <c r="P59" s="26"/>
      <c r="Q59" s="26"/>
      <c r="R59" s="26">
        <v>38.1</v>
      </c>
      <c r="S59" s="26" t="s">
        <v>29</v>
      </c>
    </row>
    <row r="60" spans="1:19">
      <c r="A60" s="26">
        <v>2916</v>
      </c>
      <c r="B60" s="26" t="s">
        <v>20</v>
      </c>
      <c r="C60" s="26" t="s">
        <v>21</v>
      </c>
      <c r="D60" s="26" t="s">
        <v>21</v>
      </c>
      <c r="E60" s="26" t="s">
        <v>356</v>
      </c>
      <c r="F60" s="26" t="s">
        <v>357</v>
      </c>
      <c r="G60" s="26">
        <v>50</v>
      </c>
      <c r="H60" s="26" t="s">
        <v>5</v>
      </c>
      <c r="I60" s="26" t="s">
        <v>5</v>
      </c>
      <c r="J60" s="26" t="s">
        <v>25</v>
      </c>
      <c r="K60" s="26" t="s">
        <v>25</v>
      </c>
      <c r="L60" s="26" t="s">
        <v>26</v>
      </c>
      <c r="M60" s="26" t="s">
        <v>38</v>
      </c>
      <c r="N60" s="26" t="s">
        <v>39</v>
      </c>
      <c r="O60" s="27">
        <v>18629</v>
      </c>
      <c r="P60" s="26"/>
      <c r="Q60" s="26"/>
      <c r="R60" s="26">
        <v>50.1</v>
      </c>
      <c r="S60" s="26" t="s">
        <v>29</v>
      </c>
    </row>
    <row r="61" spans="1:19">
      <c r="A61" s="26">
        <v>2917</v>
      </c>
      <c r="B61" s="26" t="s">
        <v>20</v>
      </c>
      <c r="C61" s="26" t="s">
        <v>21</v>
      </c>
      <c r="D61" s="26" t="s">
        <v>21</v>
      </c>
      <c r="E61" s="26" t="s">
        <v>358</v>
      </c>
      <c r="F61" s="26" t="s">
        <v>359</v>
      </c>
      <c r="G61" s="26">
        <v>50</v>
      </c>
      <c r="H61" s="26" t="s">
        <v>5</v>
      </c>
      <c r="I61" s="26" t="s">
        <v>5</v>
      </c>
      <c r="J61" s="26" t="s">
        <v>25</v>
      </c>
      <c r="K61" s="26" t="s">
        <v>25</v>
      </c>
      <c r="L61" s="26" t="s">
        <v>26</v>
      </c>
      <c r="M61" s="26" t="s">
        <v>38</v>
      </c>
      <c r="N61" s="26" t="s">
        <v>39</v>
      </c>
      <c r="O61" s="27">
        <v>18629</v>
      </c>
      <c r="P61" s="26"/>
      <c r="Q61" s="26"/>
      <c r="R61" s="26">
        <v>50.1</v>
      </c>
      <c r="S61" s="26" t="s">
        <v>29</v>
      </c>
    </row>
    <row r="62" spans="1:19">
      <c r="A62" s="26">
        <v>2918</v>
      </c>
      <c r="B62" s="26" t="s">
        <v>20</v>
      </c>
      <c r="C62" s="26" t="s">
        <v>21</v>
      </c>
      <c r="D62" s="26" t="s">
        <v>21</v>
      </c>
      <c r="E62" s="26" t="s">
        <v>171</v>
      </c>
      <c r="F62" s="26" t="s">
        <v>172</v>
      </c>
      <c r="G62" s="26">
        <v>30</v>
      </c>
      <c r="H62" s="26" t="s">
        <v>5</v>
      </c>
      <c r="I62" s="26" t="s">
        <v>5</v>
      </c>
      <c r="J62" s="26" t="s">
        <v>25</v>
      </c>
      <c r="K62" s="26" t="s">
        <v>25</v>
      </c>
      <c r="L62" s="26" t="s">
        <v>26</v>
      </c>
      <c r="M62" s="26" t="s">
        <v>38</v>
      </c>
      <c r="N62" s="26" t="s">
        <v>39</v>
      </c>
      <c r="O62" s="27">
        <v>7672</v>
      </c>
      <c r="P62" s="26"/>
      <c r="Q62" s="26"/>
      <c r="R62" s="26">
        <v>25.8</v>
      </c>
      <c r="S62" s="26" t="s">
        <v>29</v>
      </c>
    </row>
    <row r="63" spans="1:19">
      <c r="A63" s="26">
        <v>2919</v>
      </c>
      <c r="B63" s="26" t="s">
        <v>20</v>
      </c>
      <c r="C63" s="26" t="s">
        <v>21</v>
      </c>
      <c r="D63" s="26" t="s">
        <v>21</v>
      </c>
      <c r="E63" s="26" t="s">
        <v>258</v>
      </c>
      <c r="F63" s="26" t="s">
        <v>259</v>
      </c>
      <c r="G63" s="26">
        <v>45</v>
      </c>
      <c r="H63" s="26" t="s">
        <v>5</v>
      </c>
      <c r="I63" s="26" t="s">
        <v>5</v>
      </c>
      <c r="J63" s="26" t="s">
        <v>25</v>
      </c>
      <c r="K63" s="26" t="s">
        <v>25</v>
      </c>
      <c r="L63" s="26" t="s">
        <v>26</v>
      </c>
      <c r="M63" s="26" t="s">
        <v>38</v>
      </c>
      <c r="N63" s="26" t="s">
        <v>39</v>
      </c>
      <c r="O63" s="27">
        <v>10594</v>
      </c>
      <c r="P63" s="26"/>
      <c r="Q63" s="26"/>
      <c r="R63" s="26">
        <v>38.700000000000003</v>
      </c>
      <c r="S63" s="26" t="s">
        <v>29</v>
      </c>
    </row>
    <row r="64" spans="1:19" ht="29.25">
      <c r="A64" s="26">
        <v>2921</v>
      </c>
      <c r="B64" s="26" t="s">
        <v>20</v>
      </c>
      <c r="C64" s="26" t="s">
        <v>21</v>
      </c>
      <c r="D64" s="26" t="s">
        <v>21</v>
      </c>
      <c r="E64" s="26" t="s">
        <v>429</v>
      </c>
      <c r="F64" s="26" t="s">
        <v>430</v>
      </c>
      <c r="G64" s="26">
        <v>95</v>
      </c>
      <c r="H64" s="26" t="s">
        <v>5</v>
      </c>
      <c r="I64" s="26" t="s">
        <v>5</v>
      </c>
      <c r="J64" s="26" t="s">
        <v>25</v>
      </c>
      <c r="K64" s="26" t="s">
        <v>25</v>
      </c>
      <c r="L64" s="26" t="s">
        <v>26</v>
      </c>
      <c r="M64" s="26" t="s">
        <v>38</v>
      </c>
      <c r="N64" s="26" t="s">
        <v>39</v>
      </c>
      <c r="O64" s="27">
        <v>21916</v>
      </c>
      <c r="P64" s="26"/>
      <c r="Q64" s="26"/>
      <c r="R64" s="26">
        <v>93.5</v>
      </c>
      <c r="S64" s="26" t="s">
        <v>29</v>
      </c>
    </row>
    <row r="65" spans="1:19" ht="29.25">
      <c r="A65" s="26">
        <v>2922</v>
      </c>
      <c r="B65" s="26" t="s">
        <v>20</v>
      </c>
      <c r="C65" s="26" t="s">
        <v>21</v>
      </c>
      <c r="D65" s="26" t="s">
        <v>21</v>
      </c>
      <c r="E65" s="26" t="s">
        <v>431</v>
      </c>
      <c r="F65" s="26" t="s">
        <v>432</v>
      </c>
      <c r="G65" s="26">
        <v>95</v>
      </c>
      <c r="H65" s="26" t="s">
        <v>5</v>
      </c>
      <c r="I65" s="26" t="s">
        <v>5</v>
      </c>
      <c r="J65" s="26" t="s">
        <v>25</v>
      </c>
      <c r="K65" s="26" t="s">
        <v>25</v>
      </c>
      <c r="L65" s="26" t="s">
        <v>26</v>
      </c>
      <c r="M65" s="26" t="s">
        <v>38</v>
      </c>
      <c r="N65" s="26" t="s">
        <v>39</v>
      </c>
      <c r="O65" s="27">
        <v>21916</v>
      </c>
      <c r="P65" s="26"/>
      <c r="Q65" s="26"/>
      <c r="R65" s="26">
        <v>93.5</v>
      </c>
      <c r="S65" s="26" t="s">
        <v>29</v>
      </c>
    </row>
    <row r="66" spans="1:19">
      <c r="A66" s="28">
        <v>3000</v>
      </c>
      <c r="B66" s="28" t="s">
        <v>20</v>
      </c>
      <c r="C66" s="28" t="s">
        <v>30</v>
      </c>
      <c r="D66" s="28" t="s">
        <v>21</v>
      </c>
      <c r="E66" s="28" t="s">
        <v>1445</v>
      </c>
      <c r="F66" s="28" t="s">
        <v>1446</v>
      </c>
      <c r="G66" s="28">
        <v>5</v>
      </c>
      <c r="H66" s="28" t="s">
        <v>24</v>
      </c>
      <c r="I66" s="28" t="s">
        <v>1447</v>
      </c>
      <c r="J66" s="28" t="s">
        <v>25</v>
      </c>
      <c r="K66" s="28" t="s">
        <v>25</v>
      </c>
      <c r="L66" s="28" t="s">
        <v>26</v>
      </c>
      <c r="M66" s="28" t="s">
        <v>27</v>
      </c>
      <c r="N66" s="28" t="s">
        <v>28</v>
      </c>
      <c r="O66" s="29">
        <v>31778</v>
      </c>
      <c r="P66" s="28"/>
      <c r="Q66" s="28"/>
      <c r="R66" s="28">
        <v>5</v>
      </c>
      <c r="S66" s="28" t="s">
        <v>29</v>
      </c>
    </row>
    <row r="67" spans="1:19" ht="29.25">
      <c r="A67" s="24">
        <v>3100</v>
      </c>
      <c r="B67" s="24" t="s">
        <v>20</v>
      </c>
      <c r="C67" s="24" t="s">
        <v>21</v>
      </c>
      <c r="D67" s="24" t="s">
        <v>30</v>
      </c>
      <c r="E67" s="24" t="s">
        <v>78</v>
      </c>
      <c r="F67" s="24" t="s">
        <v>79</v>
      </c>
      <c r="G67" s="24">
        <v>13.4</v>
      </c>
      <c r="H67" s="24" t="s">
        <v>5</v>
      </c>
      <c r="I67" s="24" t="s">
        <v>5</v>
      </c>
      <c r="J67" s="24" t="s">
        <v>25</v>
      </c>
      <c r="K67" s="24" t="s">
        <v>25</v>
      </c>
      <c r="L67" s="24" t="s">
        <v>26</v>
      </c>
      <c r="M67" s="24" t="s">
        <v>38</v>
      </c>
      <c r="N67" s="24" t="s">
        <v>39</v>
      </c>
      <c r="O67" s="25">
        <v>2923</v>
      </c>
      <c r="P67" s="24"/>
      <c r="Q67" s="24"/>
      <c r="R67" s="24">
        <v>14.18</v>
      </c>
      <c r="S67" s="24" t="s">
        <v>29</v>
      </c>
    </row>
    <row r="68" spans="1:19">
      <c r="A68" s="26">
        <v>3101</v>
      </c>
      <c r="B68" s="26" t="s">
        <v>20</v>
      </c>
      <c r="C68" s="26" t="s">
        <v>21</v>
      </c>
      <c r="D68" s="26" t="s">
        <v>21</v>
      </c>
      <c r="E68" s="26"/>
      <c r="F68" s="26" t="s">
        <v>80</v>
      </c>
      <c r="G68" s="26"/>
      <c r="H68" s="26" t="s">
        <v>5</v>
      </c>
      <c r="I68" s="26" t="s">
        <v>5</v>
      </c>
      <c r="J68" s="26" t="s">
        <v>25</v>
      </c>
      <c r="K68" s="26" t="s">
        <v>25</v>
      </c>
      <c r="L68" s="26" t="s">
        <v>26</v>
      </c>
      <c r="M68" s="26" t="s">
        <v>38</v>
      </c>
      <c r="N68" s="26" t="s">
        <v>39</v>
      </c>
      <c r="O68" s="27">
        <v>2923</v>
      </c>
      <c r="P68" s="26"/>
      <c r="Q68" s="26"/>
      <c r="R68" s="26">
        <v>2.73</v>
      </c>
      <c r="S68" s="26" t="s">
        <v>29</v>
      </c>
    </row>
    <row r="69" spans="1:19">
      <c r="A69" s="26">
        <v>3102</v>
      </c>
      <c r="B69" s="26" t="s">
        <v>20</v>
      </c>
      <c r="C69" s="26" t="s">
        <v>21</v>
      </c>
      <c r="D69" s="26" t="s">
        <v>21</v>
      </c>
      <c r="E69" s="26"/>
      <c r="F69" s="26" t="s">
        <v>81</v>
      </c>
      <c r="G69" s="26"/>
      <c r="H69" s="26" t="s">
        <v>5</v>
      </c>
      <c r="I69" s="26" t="s">
        <v>5</v>
      </c>
      <c r="J69" s="26" t="s">
        <v>25</v>
      </c>
      <c r="K69" s="26" t="s">
        <v>25</v>
      </c>
      <c r="L69" s="26" t="s">
        <v>26</v>
      </c>
      <c r="M69" s="26" t="s">
        <v>38</v>
      </c>
      <c r="N69" s="26" t="s">
        <v>39</v>
      </c>
      <c r="O69" s="27">
        <v>2923</v>
      </c>
      <c r="P69" s="26"/>
      <c r="Q69" s="26"/>
      <c r="R69" s="26">
        <v>2.73</v>
      </c>
      <c r="S69" s="26" t="s">
        <v>29</v>
      </c>
    </row>
    <row r="70" spans="1:19">
      <c r="A70" s="26">
        <v>3106</v>
      </c>
      <c r="B70" s="26" t="s">
        <v>20</v>
      </c>
      <c r="C70" s="26" t="s">
        <v>21</v>
      </c>
      <c r="D70" s="26" t="s">
        <v>21</v>
      </c>
      <c r="E70" s="26"/>
      <c r="F70" s="26" t="s">
        <v>123</v>
      </c>
      <c r="G70" s="26"/>
      <c r="H70" s="26" t="s">
        <v>5</v>
      </c>
      <c r="I70" s="26" t="s">
        <v>5</v>
      </c>
      <c r="J70" s="26" t="s">
        <v>25</v>
      </c>
      <c r="K70" s="26" t="s">
        <v>25</v>
      </c>
      <c r="L70" s="26" t="s">
        <v>26</v>
      </c>
      <c r="M70" s="26" t="s">
        <v>38</v>
      </c>
      <c r="N70" s="26" t="s">
        <v>39</v>
      </c>
      <c r="O70" s="27">
        <v>4750</v>
      </c>
      <c r="P70" s="26"/>
      <c r="Q70" s="26"/>
      <c r="R70" s="26">
        <v>2.2000000000000002</v>
      </c>
      <c r="S70" s="26" t="s">
        <v>29</v>
      </c>
    </row>
    <row r="71" spans="1:19">
      <c r="A71" s="26">
        <v>3104</v>
      </c>
      <c r="B71" s="26" t="s">
        <v>20</v>
      </c>
      <c r="C71" s="26" t="s">
        <v>21</v>
      </c>
      <c r="D71" s="26" t="s">
        <v>21</v>
      </c>
      <c r="E71" s="26"/>
      <c r="F71" s="26" t="s">
        <v>315</v>
      </c>
      <c r="G71" s="26"/>
      <c r="H71" s="26" t="s">
        <v>5</v>
      </c>
      <c r="I71" s="26" t="s">
        <v>5</v>
      </c>
      <c r="J71" s="26" t="s">
        <v>25</v>
      </c>
      <c r="K71" s="26" t="s">
        <v>25</v>
      </c>
      <c r="L71" s="26" t="s">
        <v>26</v>
      </c>
      <c r="M71" s="26" t="s">
        <v>38</v>
      </c>
      <c r="N71" s="26" t="s">
        <v>39</v>
      </c>
      <c r="O71" s="27">
        <v>15707</v>
      </c>
      <c r="P71" s="26"/>
      <c r="Q71" s="26"/>
      <c r="R71" s="26">
        <v>2</v>
      </c>
      <c r="S71" s="26" t="s">
        <v>29</v>
      </c>
    </row>
    <row r="72" spans="1:19">
      <c r="A72" s="26">
        <v>3105</v>
      </c>
      <c r="B72" s="26" t="s">
        <v>20</v>
      </c>
      <c r="C72" s="26" t="s">
        <v>21</v>
      </c>
      <c r="D72" s="26" t="s">
        <v>21</v>
      </c>
      <c r="E72" s="26"/>
      <c r="F72" s="26" t="s">
        <v>160</v>
      </c>
      <c r="G72" s="26"/>
      <c r="H72" s="26" t="s">
        <v>5</v>
      </c>
      <c r="I72" s="26" t="s">
        <v>5</v>
      </c>
      <c r="J72" s="26" t="s">
        <v>25</v>
      </c>
      <c r="K72" s="26" t="s">
        <v>25</v>
      </c>
      <c r="L72" s="26" t="s">
        <v>26</v>
      </c>
      <c r="M72" s="26" t="s">
        <v>38</v>
      </c>
      <c r="N72" s="26" t="s">
        <v>39</v>
      </c>
      <c r="O72" s="27">
        <v>6941</v>
      </c>
      <c r="P72" s="26"/>
      <c r="Q72" s="26"/>
      <c r="R72" s="26">
        <v>1.8</v>
      </c>
      <c r="S72" s="26" t="s">
        <v>29</v>
      </c>
    </row>
    <row r="73" spans="1:19">
      <c r="A73" s="26">
        <v>3103</v>
      </c>
      <c r="B73" s="26" t="s">
        <v>20</v>
      </c>
      <c r="C73" s="26" t="s">
        <v>21</v>
      </c>
      <c r="D73" s="26" t="s">
        <v>21</v>
      </c>
      <c r="E73" s="26"/>
      <c r="F73" s="26" t="s">
        <v>109</v>
      </c>
      <c r="G73" s="26"/>
      <c r="H73" s="26" t="s">
        <v>5</v>
      </c>
      <c r="I73" s="26" t="s">
        <v>5</v>
      </c>
      <c r="J73" s="26" t="s">
        <v>25</v>
      </c>
      <c r="K73" s="26" t="s">
        <v>25</v>
      </c>
      <c r="L73" s="26" t="s">
        <v>26</v>
      </c>
      <c r="M73" s="26" t="s">
        <v>38</v>
      </c>
      <c r="N73" s="26" t="s">
        <v>39</v>
      </c>
      <c r="O73" s="27">
        <v>4019</v>
      </c>
      <c r="P73" s="26"/>
      <c r="Q73" s="26"/>
      <c r="R73" s="26">
        <v>2.73</v>
      </c>
      <c r="S73" s="26" t="s">
        <v>29</v>
      </c>
    </row>
    <row r="74" spans="1:19" ht="29.25">
      <c r="A74" s="24">
        <v>3200</v>
      </c>
      <c r="B74" s="24" t="s">
        <v>20</v>
      </c>
      <c r="C74" s="24" t="s">
        <v>21</v>
      </c>
      <c r="D74" s="24" t="s">
        <v>30</v>
      </c>
      <c r="E74" s="24" t="s">
        <v>58</v>
      </c>
      <c r="F74" s="24" t="s">
        <v>59</v>
      </c>
      <c r="G74" s="24">
        <v>15.8</v>
      </c>
      <c r="H74" s="24" t="s">
        <v>5</v>
      </c>
      <c r="I74" s="24" t="s">
        <v>5</v>
      </c>
      <c r="J74" s="24" t="s">
        <v>25</v>
      </c>
      <c r="K74" s="24" t="s">
        <v>25</v>
      </c>
      <c r="L74" s="24" t="s">
        <v>26</v>
      </c>
      <c r="M74" s="24" t="s">
        <v>38</v>
      </c>
      <c r="N74" s="24" t="s">
        <v>39</v>
      </c>
      <c r="O74" s="25">
        <v>1828</v>
      </c>
      <c r="P74" s="24"/>
      <c r="Q74" s="24"/>
      <c r="R74" s="24">
        <v>15.9</v>
      </c>
      <c r="S74" s="24" t="s">
        <v>29</v>
      </c>
    </row>
    <row r="75" spans="1:19">
      <c r="A75" s="26">
        <v>3201</v>
      </c>
      <c r="B75" s="26" t="s">
        <v>20</v>
      </c>
      <c r="C75" s="26" t="s">
        <v>21</v>
      </c>
      <c r="D75" s="26" t="s">
        <v>21</v>
      </c>
      <c r="E75" s="26"/>
      <c r="F75" s="26" t="s">
        <v>124</v>
      </c>
      <c r="G75" s="26"/>
      <c r="H75" s="26" t="s">
        <v>5</v>
      </c>
      <c r="I75" s="26" t="s">
        <v>5</v>
      </c>
      <c r="J75" s="26" t="s">
        <v>25</v>
      </c>
      <c r="K75" s="26" t="s">
        <v>25</v>
      </c>
      <c r="L75" s="26" t="s">
        <v>26</v>
      </c>
      <c r="M75" s="26" t="s">
        <v>38</v>
      </c>
      <c r="N75" s="26" t="s">
        <v>39</v>
      </c>
      <c r="O75" s="27">
        <v>4750</v>
      </c>
      <c r="P75" s="26"/>
      <c r="Q75" s="26"/>
      <c r="R75" s="26">
        <v>2.6</v>
      </c>
      <c r="S75" s="26" t="s">
        <v>29</v>
      </c>
    </row>
    <row r="76" spans="1:19">
      <c r="A76" s="26">
        <v>3202</v>
      </c>
      <c r="B76" s="26" t="s">
        <v>20</v>
      </c>
      <c r="C76" s="26" t="s">
        <v>21</v>
      </c>
      <c r="D76" s="26" t="s">
        <v>21</v>
      </c>
      <c r="E76" s="26"/>
      <c r="F76" s="26" t="s">
        <v>125</v>
      </c>
      <c r="G76" s="26"/>
      <c r="H76" s="26" t="s">
        <v>5</v>
      </c>
      <c r="I76" s="26" t="s">
        <v>5</v>
      </c>
      <c r="J76" s="26" t="s">
        <v>25</v>
      </c>
      <c r="K76" s="26" t="s">
        <v>25</v>
      </c>
      <c r="L76" s="26" t="s">
        <v>26</v>
      </c>
      <c r="M76" s="26" t="s">
        <v>38</v>
      </c>
      <c r="N76" s="26" t="s">
        <v>39</v>
      </c>
      <c r="O76" s="27">
        <v>4750</v>
      </c>
      <c r="P76" s="26"/>
      <c r="Q76" s="26"/>
      <c r="R76" s="26">
        <v>2.6</v>
      </c>
      <c r="S76" s="26" t="s">
        <v>29</v>
      </c>
    </row>
    <row r="77" spans="1:19">
      <c r="A77" s="26">
        <v>3203</v>
      </c>
      <c r="B77" s="26" t="s">
        <v>20</v>
      </c>
      <c r="C77" s="26" t="s">
        <v>21</v>
      </c>
      <c r="D77" s="26" t="s">
        <v>21</v>
      </c>
      <c r="E77" s="26"/>
      <c r="F77" s="26" t="s">
        <v>126</v>
      </c>
      <c r="G77" s="26"/>
      <c r="H77" s="26" t="s">
        <v>5</v>
      </c>
      <c r="I77" s="26" t="s">
        <v>5</v>
      </c>
      <c r="J77" s="26" t="s">
        <v>25</v>
      </c>
      <c r="K77" s="26" t="s">
        <v>25</v>
      </c>
      <c r="L77" s="26" t="s">
        <v>26</v>
      </c>
      <c r="M77" s="26" t="s">
        <v>38</v>
      </c>
      <c r="N77" s="26" t="s">
        <v>39</v>
      </c>
      <c r="O77" s="27">
        <v>4750</v>
      </c>
      <c r="P77" s="26"/>
      <c r="Q77" s="26"/>
      <c r="R77" s="26">
        <v>2.7</v>
      </c>
      <c r="S77" s="26" t="s">
        <v>29</v>
      </c>
    </row>
    <row r="78" spans="1:19">
      <c r="A78" s="26">
        <v>3208</v>
      </c>
      <c r="B78" s="26" t="s">
        <v>20</v>
      </c>
      <c r="C78" s="26" t="s">
        <v>21</v>
      </c>
      <c r="D78" s="26" t="s">
        <v>21</v>
      </c>
      <c r="E78" s="26"/>
      <c r="F78" s="26" t="s">
        <v>84</v>
      </c>
      <c r="G78" s="26"/>
      <c r="H78" s="26" t="s">
        <v>5</v>
      </c>
      <c r="I78" s="26" t="s">
        <v>5</v>
      </c>
      <c r="J78" s="26" t="s">
        <v>25</v>
      </c>
      <c r="K78" s="26" t="s">
        <v>25</v>
      </c>
      <c r="L78" s="26" t="s">
        <v>26</v>
      </c>
      <c r="M78" s="26" t="s">
        <v>38</v>
      </c>
      <c r="N78" s="26" t="s">
        <v>39</v>
      </c>
      <c r="O78" s="27">
        <v>3289</v>
      </c>
      <c r="P78" s="26"/>
      <c r="Q78" s="26"/>
      <c r="R78" s="26">
        <v>2</v>
      </c>
      <c r="S78" s="26" t="s">
        <v>29</v>
      </c>
    </row>
    <row r="79" spans="1:19">
      <c r="A79" s="26">
        <v>3205</v>
      </c>
      <c r="B79" s="26" t="s">
        <v>20</v>
      </c>
      <c r="C79" s="26" t="s">
        <v>21</v>
      </c>
      <c r="D79" s="26" t="s">
        <v>21</v>
      </c>
      <c r="E79" s="26"/>
      <c r="F79" s="26" t="s">
        <v>61</v>
      </c>
      <c r="G79" s="26"/>
      <c r="H79" s="26" t="s">
        <v>5</v>
      </c>
      <c r="I79" s="26" t="s">
        <v>5</v>
      </c>
      <c r="J79" s="26" t="s">
        <v>25</v>
      </c>
      <c r="K79" s="26" t="s">
        <v>25</v>
      </c>
      <c r="L79" s="26" t="s">
        <v>26</v>
      </c>
      <c r="M79" s="26" t="s">
        <v>38</v>
      </c>
      <c r="N79" s="26" t="s">
        <v>39</v>
      </c>
      <c r="O79" s="27">
        <v>1828</v>
      </c>
      <c r="P79" s="26"/>
      <c r="Q79" s="26"/>
      <c r="R79" s="26">
        <v>1</v>
      </c>
      <c r="S79" s="26" t="s">
        <v>29</v>
      </c>
    </row>
    <row r="80" spans="1:19">
      <c r="A80" s="26">
        <v>3206</v>
      </c>
      <c r="B80" s="26" t="s">
        <v>20</v>
      </c>
      <c r="C80" s="26" t="s">
        <v>21</v>
      </c>
      <c r="D80" s="26" t="s">
        <v>21</v>
      </c>
      <c r="E80" s="26"/>
      <c r="F80" s="26" t="s">
        <v>62</v>
      </c>
      <c r="G80" s="26"/>
      <c r="H80" s="26" t="s">
        <v>5</v>
      </c>
      <c r="I80" s="26" t="s">
        <v>5</v>
      </c>
      <c r="J80" s="26" t="s">
        <v>25</v>
      </c>
      <c r="K80" s="26" t="s">
        <v>25</v>
      </c>
      <c r="L80" s="26" t="s">
        <v>26</v>
      </c>
      <c r="M80" s="26" t="s">
        <v>38</v>
      </c>
      <c r="N80" s="26" t="s">
        <v>39</v>
      </c>
      <c r="O80" s="27">
        <v>2193</v>
      </c>
      <c r="P80" s="26"/>
      <c r="Q80" s="26"/>
      <c r="R80" s="26">
        <v>2</v>
      </c>
      <c r="S80" s="26" t="s">
        <v>29</v>
      </c>
    </row>
    <row r="81" spans="1:19">
      <c r="A81" s="26">
        <v>3207</v>
      </c>
      <c r="B81" s="26" t="s">
        <v>20</v>
      </c>
      <c r="C81" s="26" t="s">
        <v>21</v>
      </c>
      <c r="D81" s="26" t="s">
        <v>21</v>
      </c>
      <c r="E81" s="26"/>
      <c r="F81" s="26" t="s">
        <v>66</v>
      </c>
      <c r="G81" s="26"/>
      <c r="H81" s="26" t="s">
        <v>5</v>
      </c>
      <c r="I81" s="26" t="s">
        <v>5</v>
      </c>
      <c r="J81" s="26" t="s">
        <v>25</v>
      </c>
      <c r="K81" s="26" t="s">
        <v>25</v>
      </c>
      <c r="L81" s="26" t="s">
        <v>26</v>
      </c>
      <c r="M81" s="26" t="s">
        <v>38</v>
      </c>
      <c r="N81" s="26" t="s">
        <v>39</v>
      </c>
      <c r="O81" s="27">
        <v>2558</v>
      </c>
      <c r="P81" s="26"/>
      <c r="Q81" s="26"/>
      <c r="R81" s="26">
        <v>2</v>
      </c>
      <c r="S81" s="26" t="s">
        <v>29</v>
      </c>
    </row>
    <row r="82" spans="1:19">
      <c r="A82" s="26">
        <v>3204</v>
      </c>
      <c r="B82" s="26" t="s">
        <v>20</v>
      </c>
      <c r="C82" s="26" t="s">
        <v>21</v>
      </c>
      <c r="D82" s="26" t="s">
        <v>21</v>
      </c>
      <c r="E82" s="26"/>
      <c r="F82" s="26" t="s">
        <v>60</v>
      </c>
      <c r="G82" s="26"/>
      <c r="H82" s="26" t="s">
        <v>5</v>
      </c>
      <c r="I82" s="26" t="s">
        <v>5</v>
      </c>
      <c r="J82" s="26" t="s">
        <v>25</v>
      </c>
      <c r="K82" s="26" t="s">
        <v>25</v>
      </c>
      <c r="L82" s="26" t="s">
        <v>26</v>
      </c>
      <c r="M82" s="26" t="s">
        <v>38</v>
      </c>
      <c r="N82" s="26" t="s">
        <v>39</v>
      </c>
      <c r="O82" s="27">
        <v>1828</v>
      </c>
      <c r="P82" s="26"/>
      <c r="Q82" s="26"/>
      <c r="R82" s="26">
        <v>1</v>
      </c>
      <c r="S82" s="26" t="s">
        <v>29</v>
      </c>
    </row>
    <row r="83" spans="1:19">
      <c r="A83" s="28">
        <v>3300</v>
      </c>
      <c r="B83" s="28" t="s">
        <v>20</v>
      </c>
      <c r="C83" s="28" t="s">
        <v>21</v>
      </c>
      <c r="D83" s="28" t="s">
        <v>21</v>
      </c>
      <c r="E83" s="28" t="s">
        <v>1626</v>
      </c>
      <c r="F83" s="28" t="s">
        <v>1627</v>
      </c>
      <c r="G83" s="28">
        <v>6.2</v>
      </c>
      <c r="H83" s="28" t="s">
        <v>24</v>
      </c>
      <c r="I83" s="28" t="s">
        <v>773</v>
      </c>
      <c r="J83" s="28" t="s">
        <v>25</v>
      </c>
      <c r="K83" s="28" t="s">
        <v>25</v>
      </c>
      <c r="L83" s="28" t="s">
        <v>26</v>
      </c>
      <c r="M83" s="28" t="s">
        <v>27</v>
      </c>
      <c r="N83" s="28" t="s">
        <v>28</v>
      </c>
      <c r="O83" s="29">
        <v>32143</v>
      </c>
      <c r="P83" s="28"/>
      <c r="Q83" s="28"/>
      <c r="R83" s="28">
        <v>6.2</v>
      </c>
      <c r="S83" s="28" t="s">
        <v>29</v>
      </c>
    </row>
    <row r="84" spans="1:19" ht="29.25">
      <c r="A84" s="24">
        <v>84700</v>
      </c>
      <c r="B84" s="24" t="s">
        <v>20</v>
      </c>
      <c r="C84" s="24" t="s">
        <v>30</v>
      </c>
      <c r="D84" s="24" t="s">
        <v>30</v>
      </c>
      <c r="E84" s="24" t="s">
        <v>3115</v>
      </c>
      <c r="F84" s="24" t="s">
        <v>3116</v>
      </c>
      <c r="G84" s="24">
        <v>8</v>
      </c>
      <c r="H84" s="24" t="s">
        <v>5</v>
      </c>
      <c r="I84" s="24" t="s">
        <v>3117</v>
      </c>
      <c r="J84" s="24" t="s">
        <v>295</v>
      </c>
      <c r="K84" s="24" t="s">
        <v>580</v>
      </c>
      <c r="L84" s="24" t="s">
        <v>1169</v>
      </c>
      <c r="M84" s="24" t="s">
        <v>38</v>
      </c>
      <c r="N84" s="24" t="s">
        <v>39</v>
      </c>
      <c r="O84" s="24" t="s">
        <v>4687</v>
      </c>
      <c r="P84" s="24"/>
      <c r="Q84" s="24"/>
      <c r="R84" s="24">
        <v>8</v>
      </c>
      <c r="S84" s="24" t="s">
        <v>29</v>
      </c>
    </row>
    <row r="85" spans="1:19" ht="29.25">
      <c r="A85" s="26">
        <v>84702</v>
      </c>
      <c r="B85" s="26" t="s">
        <v>20</v>
      </c>
      <c r="C85" s="26" t="s">
        <v>21</v>
      </c>
      <c r="D85" s="26" t="s">
        <v>21</v>
      </c>
      <c r="E85" s="26"/>
      <c r="F85" s="26" t="s">
        <v>3119</v>
      </c>
      <c r="G85" s="26"/>
      <c r="H85" s="26" t="s">
        <v>5</v>
      </c>
      <c r="I85" s="26" t="s">
        <v>3117</v>
      </c>
      <c r="J85" s="26" t="s">
        <v>295</v>
      </c>
      <c r="K85" s="26" t="s">
        <v>580</v>
      </c>
      <c r="L85" s="26" t="s">
        <v>1169</v>
      </c>
      <c r="M85" s="26" t="s">
        <v>38</v>
      </c>
      <c r="N85" s="26" t="s">
        <v>39</v>
      </c>
      <c r="O85" s="26" t="s">
        <v>4687</v>
      </c>
      <c r="P85" s="26"/>
      <c r="Q85" s="26"/>
      <c r="R85" s="26">
        <v>4</v>
      </c>
      <c r="S85" s="26" t="s">
        <v>29</v>
      </c>
    </row>
    <row r="86" spans="1:19" ht="29.25">
      <c r="A86" s="26">
        <v>84701</v>
      </c>
      <c r="B86" s="26" t="s">
        <v>20</v>
      </c>
      <c r="C86" s="26" t="s">
        <v>21</v>
      </c>
      <c r="D86" s="26" t="s">
        <v>21</v>
      </c>
      <c r="E86" s="26"/>
      <c r="F86" s="26" t="s">
        <v>3118</v>
      </c>
      <c r="G86" s="26"/>
      <c r="H86" s="26" t="s">
        <v>5</v>
      </c>
      <c r="I86" s="26" t="s">
        <v>3117</v>
      </c>
      <c r="J86" s="26" t="s">
        <v>295</v>
      </c>
      <c r="K86" s="26" t="s">
        <v>580</v>
      </c>
      <c r="L86" s="26" t="s">
        <v>1169</v>
      </c>
      <c r="M86" s="26" t="s">
        <v>38</v>
      </c>
      <c r="N86" s="26" t="s">
        <v>39</v>
      </c>
      <c r="O86" s="26" t="s">
        <v>4687</v>
      </c>
      <c r="P86" s="26"/>
      <c r="Q86" s="26"/>
      <c r="R86" s="26">
        <v>4</v>
      </c>
      <c r="S86" s="26" t="s">
        <v>29</v>
      </c>
    </row>
    <row r="87" spans="1:19">
      <c r="A87" s="28">
        <v>3400</v>
      </c>
      <c r="B87" s="28" t="s">
        <v>20</v>
      </c>
      <c r="C87" s="28" t="s">
        <v>21</v>
      </c>
      <c r="D87" s="28" t="s">
        <v>21</v>
      </c>
      <c r="E87" s="28" t="s">
        <v>2471</v>
      </c>
      <c r="F87" s="28" t="s">
        <v>2472</v>
      </c>
      <c r="G87" s="28">
        <v>48.98</v>
      </c>
      <c r="H87" s="28" t="s">
        <v>143</v>
      </c>
      <c r="I87" s="28" t="s">
        <v>2470</v>
      </c>
      <c r="J87" s="28" t="s">
        <v>295</v>
      </c>
      <c r="K87" s="28" t="s">
        <v>580</v>
      </c>
      <c r="L87" s="28" t="s">
        <v>240</v>
      </c>
      <c r="M87" s="28" t="s">
        <v>38</v>
      </c>
      <c r="N87" s="28" t="s">
        <v>144</v>
      </c>
      <c r="O87" s="29">
        <v>37190</v>
      </c>
      <c r="P87" s="28"/>
      <c r="Q87" s="28"/>
      <c r="R87" s="28">
        <v>49.96</v>
      </c>
      <c r="S87" s="28" t="s">
        <v>29</v>
      </c>
    </row>
    <row r="88" spans="1:19" ht="43.5">
      <c r="A88" s="24">
        <v>3500</v>
      </c>
      <c r="B88" s="24" t="s">
        <v>20</v>
      </c>
      <c r="C88" s="24" t="s">
        <v>21</v>
      </c>
      <c r="D88" s="24" t="s">
        <v>30</v>
      </c>
      <c r="E88" s="24" t="s">
        <v>45</v>
      </c>
      <c r="F88" s="24" t="s">
        <v>46</v>
      </c>
      <c r="G88" s="24">
        <v>11</v>
      </c>
      <c r="H88" s="24" t="s">
        <v>5</v>
      </c>
      <c r="I88" s="24" t="s">
        <v>5</v>
      </c>
      <c r="J88" s="24" t="s">
        <v>25</v>
      </c>
      <c r="K88" s="24" t="s">
        <v>25</v>
      </c>
      <c r="L88" s="24" t="s">
        <v>26</v>
      </c>
      <c r="M88" s="24" t="s">
        <v>38</v>
      </c>
      <c r="N88" s="24" t="s">
        <v>39</v>
      </c>
      <c r="O88" s="25">
        <v>1462</v>
      </c>
      <c r="P88" s="24" t="s">
        <v>40</v>
      </c>
      <c r="Q88" s="24"/>
      <c r="R88" s="24">
        <v>11</v>
      </c>
      <c r="S88" s="24" t="s">
        <v>29</v>
      </c>
    </row>
    <row r="89" spans="1:19">
      <c r="A89" s="26">
        <v>3501</v>
      </c>
      <c r="B89" s="26" t="s">
        <v>20</v>
      </c>
      <c r="C89" s="26" t="s">
        <v>21</v>
      </c>
      <c r="D89" s="26" t="s">
        <v>21</v>
      </c>
      <c r="E89" s="26"/>
      <c r="F89" s="26" t="s">
        <v>47</v>
      </c>
      <c r="G89" s="26"/>
      <c r="H89" s="26" t="s">
        <v>5</v>
      </c>
      <c r="I89" s="26" t="s">
        <v>5</v>
      </c>
      <c r="J89" s="26" t="s">
        <v>25</v>
      </c>
      <c r="K89" s="26" t="s">
        <v>25</v>
      </c>
      <c r="L89" s="26" t="s">
        <v>26</v>
      </c>
      <c r="M89" s="26" t="s">
        <v>38</v>
      </c>
      <c r="N89" s="26" t="s">
        <v>39</v>
      </c>
      <c r="O89" s="27">
        <v>1462</v>
      </c>
      <c r="P89" s="26"/>
      <c r="Q89" s="26"/>
      <c r="R89" s="26">
        <v>2.1</v>
      </c>
      <c r="S89" s="26" t="s">
        <v>29</v>
      </c>
    </row>
    <row r="90" spans="1:19">
      <c r="A90" s="26">
        <v>3503</v>
      </c>
      <c r="B90" s="26" t="s">
        <v>20</v>
      </c>
      <c r="C90" s="26" t="s">
        <v>21</v>
      </c>
      <c r="D90" s="26" t="s">
        <v>21</v>
      </c>
      <c r="E90" s="26"/>
      <c r="F90" s="26" t="s">
        <v>291</v>
      </c>
      <c r="G90" s="26"/>
      <c r="H90" s="26" t="s">
        <v>5</v>
      </c>
      <c r="I90" s="26" t="s">
        <v>5</v>
      </c>
      <c r="J90" s="26" t="s">
        <v>25</v>
      </c>
      <c r="K90" s="26" t="s">
        <v>25</v>
      </c>
      <c r="L90" s="26" t="s">
        <v>26</v>
      </c>
      <c r="M90" s="26" t="s">
        <v>38</v>
      </c>
      <c r="N90" s="26" t="s">
        <v>39</v>
      </c>
      <c r="O90" s="27">
        <v>11689</v>
      </c>
      <c r="P90" s="26"/>
      <c r="Q90" s="26"/>
      <c r="R90" s="26">
        <v>6.4</v>
      </c>
      <c r="S90" s="26" t="s">
        <v>29</v>
      </c>
    </row>
    <row r="91" spans="1:19">
      <c r="A91" s="26">
        <v>3502</v>
      </c>
      <c r="B91" s="26" t="s">
        <v>20</v>
      </c>
      <c r="C91" s="26" t="s">
        <v>21</v>
      </c>
      <c r="D91" s="26" t="s">
        <v>21</v>
      </c>
      <c r="E91" s="26"/>
      <c r="F91" s="26" t="s">
        <v>48</v>
      </c>
      <c r="G91" s="26"/>
      <c r="H91" s="26" t="s">
        <v>5</v>
      </c>
      <c r="I91" s="26" t="s">
        <v>5</v>
      </c>
      <c r="J91" s="26" t="s">
        <v>25</v>
      </c>
      <c r="K91" s="26" t="s">
        <v>25</v>
      </c>
      <c r="L91" s="26" t="s">
        <v>26</v>
      </c>
      <c r="M91" s="26" t="s">
        <v>38</v>
      </c>
      <c r="N91" s="26" t="s">
        <v>39</v>
      </c>
      <c r="O91" s="27">
        <v>1462</v>
      </c>
      <c r="P91" s="26"/>
      <c r="Q91" s="26"/>
      <c r="R91" s="26">
        <v>2.5</v>
      </c>
      <c r="S91" s="26" t="s">
        <v>29</v>
      </c>
    </row>
    <row r="92" spans="1:19" ht="43.5">
      <c r="A92" s="28">
        <v>1700</v>
      </c>
      <c r="B92" s="28" t="s">
        <v>20</v>
      </c>
      <c r="C92" s="28" t="s">
        <v>30</v>
      </c>
      <c r="D92" s="28" t="s">
        <v>21</v>
      </c>
      <c r="E92" s="28" t="s">
        <v>792</v>
      </c>
      <c r="F92" s="28" t="s">
        <v>793</v>
      </c>
      <c r="G92" s="28">
        <v>29</v>
      </c>
      <c r="H92" s="28" t="s">
        <v>5</v>
      </c>
      <c r="I92" s="28" t="s">
        <v>794</v>
      </c>
      <c r="J92" s="28" t="s">
        <v>694</v>
      </c>
      <c r="K92" s="28" t="s">
        <v>366</v>
      </c>
      <c r="L92" s="28" t="s">
        <v>712</v>
      </c>
      <c r="M92" s="28" t="s">
        <v>38</v>
      </c>
      <c r="N92" s="28" t="s">
        <v>39</v>
      </c>
      <c r="O92" s="29">
        <v>29952</v>
      </c>
      <c r="P92" s="28"/>
      <c r="Q92" s="28"/>
      <c r="R92" s="28">
        <v>35.799999999999997</v>
      </c>
      <c r="S92" s="28" t="s">
        <v>29</v>
      </c>
    </row>
    <row r="93" spans="1:19" ht="29.25">
      <c r="A93" s="24">
        <v>3900</v>
      </c>
      <c r="B93" s="24" t="s">
        <v>20</v>
      </c>
      <c r="C93" s="24" t="s">
        <v>21</v>
      </c>
      <c r="D93" s="24" t="s">
        <v>30</v>
      </c>
      <c r="E93" s="24" t="s">
        <v>248</v>
      </c>
      <c r="F93" s="24" t="s">
        <v>249</v>
      </c>
      <c r="G93" s="24">
        <v>59</v>
      </c>
      <c r="H93" s="24" t="s">
        <v>24</v>
      </c>
      <c r="I93" s="24" t="s">
        <v>4</v>
      </c>
      <c r="J93" s="24" t="s">
        <v>25</v>
      </c>
      <c r="K93" s="24" t="s">
        <v>25</v>
      </c>
      <c r="L93" s="24" t="s">
        <v>26</v>
      </c>
      <c r="M93" s="24" t="s">
        <v>27</v>
      </c>
      <c r="N93" s="24" t="s">
        <v>28</v>
      </c>
      <c r="O93" s="25">
        <v>10228</v>
      </c>
      <c r="P93" s="24"/>
      <c r="Q93" s="24" t="s">
        <v>175</v>
      </c>
      <c r="R93" s="24">
        <v>59</v>
      </c>
      <c r="S93" s="24" t="s">
        <v>29</v>
      </c>
    </row>
    <row r="94" spans="1:19">
      <c r="A94" s="26">
        <v>3901</v>
      </c>
      <c r="B94" s="26" t="s">
        <v>20</v>
      </c>
      <c r="C94" s="26" t="s">
        <v>21</v>
      </c>
      <c r="D94" s="26" t="s">
        <v>21</v>
      </c>
      <c r="E94" s="26" t="s">
        <v>250</v>
      </c>
      <c r="F94" s="26" t="s">
        <v>251</v>
      </c>
      <c r="G94" s="26">
        <v>33</v>
      </c>
      <c r="H94" s="26" t="s">
        <v>24</v>
      </c>
      <c r="I94" s="26" t="s">
        <v>4</v>
      </c>
      <c r="J94" s="26" t="s">
        <v>25</v>
      </c>
      <c r="K94" s="26" t="s">
        <v>25</v>
      </c>
      <c r="L94" s="26" t="s">
        <v>26</v>
      </c>
      <c r="M94" s="26" t="s">
        <v>27</v>
      </c>
      <c r="N94" s="26" t="s">
        <v>28</v>
      </c>
      <c r="O94" s="27">
        <v>10228</v>
      </c>
      <c r="P94" s="26"/>
      <c r="Q94" s="26" t="s">
        <v>175</v>
      </c>
      <c r="R94" s="26">
        <v>33</v>
      </c>
      <c r="S94" s="26" t="s">
        <v>29</v>
      </c>
    </row>
    <row r="95" spans="1:19">
      <c r="A95" s="26">
        <v>3902</v>
      </c>
      <c r="B95" s="26" t="s">
        <v>20</v>
      </c>
      <c r="C95" s="26" t="s">
        <v>21</v>
      </c>
      <c r="D95" s="26" t="s">
        <v>21</v>
      </c>
      <c r="E95" s="26" t="s">
        <v>252</v>
      </c>
      <c r="F95" s="26" t="s">
        <v>253</v>
      </c>
      <c r="G95" s="26">
        <v>32.5</v>
      </c>
      <c r="H95" s="26" t="s">
        <v>24</v>
      </c>
      <c r="I95" s="26" t="s">
        <v>4</v>
      </c>
      <c r="J95" s="26" t="s">
        <v>25</v>
      </c>
      <c r="K95" s="26" t="s">
        <v>25</v>
      </c>
      <c r="L95" s="26" t="s">
        <v>26</v>
      </c>
      <c r="M95" s="26" t="s">
        <v>27</v>
      </c>
      <c r="N95" s="26" t="s">
        <v>28</v>
      </c>
      <c r="O95" s="27">
        <v>10228</v>
      </c>
      <c r="P95" s="26"/>
      <c r="Q95" s="26" t="s">
        <v>175</v>
      </c>
      <c r="R95" s="26">
        <v>32.5</v>
      </c>
      <c r="S95" s="26" t="s">
        <v>29</v>
      </c>
    </row>
    <row r="96" spans="1:19" ht="29.25">
      <c r="A96" s="28">
        <v>37400</v>
      </c>
      <c r="B96" s="28" t="s">
        <v>20</v>
      </c>
      <c r="C96" s="28" t="s">
        <v>21</v>
      </c>
      <c r="D96" s="28" t="s">
        <v>21</v>
      </c>
      <c r="E96" s="28" t="s">
        <v>974</v>
      </c>
      <c r="F96" s="28" t="s">
        <v>975</v>
      </c>
      <c r="G96" s="28">
        <v>38</v>
      </c>
      <c r="H96" s="28" t="s">
        <v>24</v>
      </c>
      <c r="I96" s="28" t="s">
        <v>976</v>
      </c>
      <c r="J96" s="28" t="s">
        <v>781</v>
      </c>
      <c r="K96" s="28" t="s">
        <v>781</v>
      </c>
      <c r="L96" s="28" t="s">
        <v>781</v>
      </c>
      <c r="M96" s="28" t="s">
        <v>27</v>
      </c>
      <c r="N96" s="28" t="s">
        <v>28</v>
      </c>
      <c r="O96" s="29">
        <v>30674</v>
      </c>
      <c r="P96" s="28"/>
      <c r="Q96" s="28"/>
      <c r="R96" s="28">
        <v>38</v>
      </c>
      <c r="S96" s="28" t="s">
        <v>29</v>
      </c>
    </row>
    <row r="97" spans="1:19" ht="29.25">
      <c r="A97" s="28">
        <v>1800</v>
      </c>
      <c r="B97" s="28" t="s">
        <v>20</v>
      </c>
      <c r="C97" s="28" t="s">
        <v>30</v>
      </c>
      <c r="D97" s="28" t="s">
        <v>21</v>
      </c>
      <c r="E97" s="28" t="s">
        <v>2391</v>
      </c>
      <c r="F97" s="28" t="s">
        <v>2392</v>
      </c>
      <c r="G97" s="28">
        <v>1.3</v>
      </c>
      <c r="H97" s="28" t="s">
        <v>5</v>
      </c>
      <c r="I97" s="28" t="s">
        <v>2393</v>
      </c>
      <c r="J97" s="28" t="s">
        <v>788</v>
      </c>
      <c r="K97" s="28" t="s">
        <v>296</v>
      </c>
      <c r="L97" s="28" t="s">
        <v>888</v>
      </c>
      <c r="M97" s="28" t="s">
        <v>38</v>
      </c>
      <c r="N97" s="28" t="s">
        <v>39</v>
      </c>
      <c r="O97" s="29">
        <v>37110</v>
      </c>
      <c r="P97" s="28" t="s">
        <v>2394</v>
      </c>
      <c r="Q97" s="28"/>
      <c r="R97" s="28">
        <v>1.2</v>
      </c>
      <c r="S97" s="28" t="s">
        <v>29</v>
      </c>
    </row>
    <row r="98" spans="1:19">
      <c r="A98" s="28">
        <v>1900</v>
      </c>
      <c r="B98" s="28" t="s">
        <v>20</v>
      </c>
      <c r="C98" s="28" t="s">
        <v>21</v>
      </c>
      <c r="D98" s="28" t="s">
        <v>21</v>
      </c>
      <c r="E98" s="28" t="s">
        <v>241</v>
      </c>
      <c r="F98" s="28" t="s">
        <v>242</v>
      </c>
      <c r="G98" s="28">
        <v>33</v>
      </c>
      <c r="H98" s="28" t="s">
        <v>24</v>
      </c>
      <c r="I98" s="28" t="s">
        <v>4</v>
      </c>
      <c r="J98" s="28" t="s">
        <v>25</v>
      </c>
      <c r="K98" s="28" t="s">
        <v>25</v>
      </c>
      <c r="L98" s="28" t="s">
        <v>26</v>
      </c>
      <c r="M98" s="28" t="s">
        <v>27</v>
      </c>
      <c r="N98" s="28" t="s">
        <v>28</v>
      </c>
      <c r="O98" s="29">
        <v>9863</v>
      </c>
      <c r="P98" s="28"/>
      <c r="Q98" s="28" t="s">
        <v>243</v>
      </c>
      <c r="R98" s="28">
        <v>34</v>
      </c>
      <c r="S98" s="28" t="s">
        <v>29</v>
      </c>
    </row>
    <row r="99" spans="1:19">
      <c r="A99" s="28">
        <v>2000</v>
      </c>
      <c r="B99" s="28" t="s">
        <v>20</v>
      </c>
      <c r="C99" s="28" t="s">
        <v>21</v>
      </c>
      <c r="D99" s="28" t="s">
        <v>21</v>
      </c>
      <c r="E99" s="28" t="s">
        <v>394</v>
      </c>
      <c r="F99" s="28" t="s">
        <v>395</v>
      </c>
      <c r="G99" s="28">
        <v>52.5</v>
      </c>
      <c r="H99" s="28" t="s">
        <v>24</v>
      </c>
      <c r="I99" s="28" t="s">
        <v>4</v>
      </c>
      <c r="J99" s="28" t="s">
        <v>25</v>
      </c>
      <c r="K99" s="28" t="s">
        <v>25</v>
      </c>
      <c r="L99" s="28" t="s">
        <v>26</v>
      </c>
      <c r="M99" s="28" t="s">
        <v>27</v>
      </c>
      <c r="N99" s="28" t="s">
        <v>28</v>
      </c>
      <c r="O99" s="29">
        <v>21186</v>
      </c>
      <c r="P99" s="28"/>
      <c r="Q99" s="28" t="s">
        <v>243</v>
      </c>
      <c r="R99" s="28">
        <v>52.5</v>
      </c>
      <c r="S99" s="28" t="s">
        <v>29</v>
      </c>
    </row>
    <row r="100" spans="1:19">
      <c r="A100" s="28">
        <v>2100</v>
      </c>
      <c r="B100" s="28" t="s">
        <v>20</v>
      </c>
      <c r="C100" s="28" t="s">
        <v>21</v>
      </c>
      <c r="D100" s="28" t="s">
        <v>21</v>
      </c>
      <c r="E100" s="28" t="s">
        <v>396</v>
      </c>
      <c r="F100" s="28" t="s">
        <v>397</v>
      </c>
      <c r="G100" s="28">
        <v>54.6</v>
      </c>
      <c r="H100" s="28" t="s">
        <v>24</v>
      </c>
      <c r="I100" s="28" t="s">
        <v>4</v>
      </c>
      <c r="J100" s="28" t="s">
        <v>25</v>
      </c>
      <c r="K100" s="28" t="s">
        <v>25</v>
      </c>
      <c r="L100" s="28" t="s">
        <v>26</v>
      </c>
      <c r="M100" s="28" t="s">
        <v>27</v>
      </c>
      <c r="N100" s="28" t="s">
        <v>28</v>
      </c>
      <c r="O100" s="29">
        <v>21186</v>
      </c>
      <c r="P100" s="28"/>
      <c r="Q100" s="28" t="s">
        <v>243</v>
      </c>
      <c r="R100" s="28">
        <v>54.6</v>
      </c>
      <c r="S100" s="28" t="s">
        <v>29</v>
      </c>
    </row>
    <row r="101" spans="1:19">
      <c r="A101" s="24">
        <v>95500</v>
      </c>
      <c r="B101" s="24" t="s">
        <v>20</v>
      </c>
      <c r="C101" s="24" t="s">
        <v>21</v>
      </c>
      <c r="D101" s="24" t="s">
        <v>30</v>
      </c>
      <c r="E101" s="24" t="s">
        <v>2853</v>
      </c>
      <c r="F101" s="24" t="s">
        <v>2854</v>
      </c>
      <c r="G101" s="24">
        <v>47</v>
      </c>
      <c r="H101" s="24" t="s">
        <v>5</v>
      </c>
      <c r="I101" s="24" t="s">
        <v>5</v>
      </c>
      <c r="J101" s="24" t="s">
        <v>295</v>
      </c>
      <c r="K101" s="24" t="s">
        <v>580</v>
      </c>
      <c r="L101" s="24" t="s">
        <v>240</v>
      </c>
      <c r="M101" s="24" t="s">
        <v>38</v>
      </c>
      <c r="N101" s="24" t="s">
        <v>39</v>
      </c>
      <c r="O101" s="25">
        <v>39345</v>
      </c>
      <c r="P101" s="24"/>
      <c r="Q101" s="24"/>
      <c r="R101" s="24">
        <v>49</v>
      </c>
      <c r="S101" s="24" t="s">
        <v>29</v>
      </c>
    </row>
    <row r="102" spans="1:19">
      <c r="A102" s="28">
        <v>2300</v>
      </c>
      <c r="B102" s="28" t="s">
        <v>20</v>
      </c>
      <c r="C102" s="28" t="s">
        <v>21</v>
      </c>
      <c r="D102" s="28" t="s">
        <v>21</v>
      </c>
      <c r="E102" s="28" t="s">
        <v>387</v>
      </c>
      <c r="F102" s="28" t="s">
        <v>388</v>
      </c>
      <c r="G102" s="28">
        <v>11.5</v>
      </c>
      <c r="H102" s="28" t="s">
        <v>24</v>
      </c>
      <c r="I102" s="28" t="s">
        <v>389</v>
      </c>
      <c r="J102" s="28" t="s">
        <v>25</v>
      </c>
      <c r="K102" s="28" t="s">
        <v>25</v>
      </c>
      <c r="L102" s="28" t="s">
        <v>26</v>
      </c>
      <c r="M102" s="28" t="s">
        <v>27</v>
      </c>
      <c r="N102" s="28" t="s">
        <v>28</v>
      </c>
      <c r="O102" s="29">
        <v>20821</v>
      </c>
      <c r="P102" s="28"/>
      <c r="Q102" s="28" t="s">
        <v>312</v>
      </c>
      <c r="R102" s="28">
        <v>11.5</v>
      </c>
      <c r="S102" s="28" t="s">
        <v>29</v>
      </c>
    </row>
    <row r="103" spans="1:19">
      <c r="A103" s="28">
        <v>2400</v>
      </c>
      <c r="B103" s="28" t="s">
        <v>20</v>
      </c>
      <c r="C103" s="28" t="s">
        <v>21</v>
      </c>
      <c r="D103" s="28" t="s">
        <v>21</v>
      </c>
      <c r="E103" s="28" t="s">
        <v>607</v>
      </c>
      <c r="F103" s="28" t="s">
        <v>608</v>
      </c>
      <c r="G103" s="28">
        <v>119</v>
      </c>
      <c r="H103" s="28" t="s">
        <v>24</v>
      </c>
      <c r="I103" s="28" t="s">
        <v>4</v>
      </c>
      <c r="J103" s="28" t="s">
        <v>25</v>
      </c>
      <c r="K103" s="28" t="s">
        <v>25</v>
      </c>
      <c r="L103" s="28" t="s">
        <v>26</v>
      </c>
      <c r="M103" s="28" t="s">
        <v>27</v>
      </c>
      <c r="N103" s="28" t="s">
        <v>28</v>
      </c>
      <c r="O103" s="29">
        <v>25204</v>
      </c>
      <c r="P103" s="28"/>
      <c r="Q103" s="28" t="s">
        <v>175</v>
      </c>
      <c r="R103" s="28">
        <v>119</v>
      </c>
      <c r="S103" s="28" t="s">
        <v>29</v>
      </c>
    </row>
    <row r="104" spans="1:19" ht="29.25">
      <c r="A104" s="24">
        <v>98600</v>
      </c>
      <c r="B104" s="24" t="s">
        <v>20</v>
      </c>
      <c r="C104" s="24" t="s">
        <v>30</v>
      </c>
      <c r="D104" s="24" t="s">
        <v>30</v>
      </c>
      <c r="E104" s="24" t="s">
        <v>1978</v>
      </c>
      <c r="F104" s="24" t="s">
        <v>1979</v>
      </c>
      <c r="G104" s="24">
        <v>40.200000000000003</v>
      </c>
      <c r="H104" s="24" t="s">
        <v>5</v>
      </c>
      <c r="I104" s="24" t="s">
        <v>1980</v>
      </c>
      <c r="J104" s="24" t="s">
        <v>694</v>
      </c>
      <c r="K104" s="24" t="s">
        <v>580</v>
      </c>
      <c r="L104" s="24" t="s">
        <v>240</v>
      </c>
      <c r="M104" s="24" t="s">
        <v>38</v>
      </c>
      <c r="N104" s="24" t="s">
        <v>39</v>
      </c>
      <c r="O104" s="25">
        <v>32938</v>
      </c>
      <c r="P104" s="24"/>
      <c r="Q104" s="24"/>
      <c r="R104" s="24">
        <v>43.52</v>
      </c>
      <c r="S104" s="24" t="s">
        <v>29</v>
      </c>
    </row>
    <row r="105" spans="1:19" ht="29.25">
      <c r="A105" s="26">
        <v>36600</v>
      </c>
      <c r="B105" s="26" t="s">
        <v>87</v>
      </c>
      <c r="C105" s="26" t="s">
        <v>30</v>
      </c>
      <c r="D105" s="26" t="s">
        <v>21</v>
      </c>
      <c r="E105" s="26" t="s">
        <v>1981</v>
      </c>
      <c r="F105" s="26" t="s">
        <v>1982</v>
      </c>
      <c r="G105" s="26">
        <v>22.7</v>
      </c>
      <c r="H105" s="26" t="s">
        <v>5</v>
      </c>
      <c r="I105" s="26">
        <v>2206</v>
      </c>
      <c r="J105" s="26" t="s">
        <v>694</v>
      </c>
      <c r="K105" s="26" t="s">
        <v>366</v>
      </c>
      <c r="L105" s="26" t="s">
        <v>240</v>
      </c>
      <c r="M105" s="26" t="s">
        <v>38</v>
      </c>
      <c r="N105" s="26" t="s">
        <v>39</v>
      </c>
      <c r="O105" s="27">
        <v>32938</v>
      </c>
      <c r="P105" s="26"/>
      <c r="Q105" s="26"/>
      <c r="R105" s="26">
        <v>20.76</v>
      </c>
      <c r="S105" s="26" t="s">
        <v>29</v>
      </c>
    </row>
    <row r="106" spans="1:19" ht="29.25">
      <c r="A106" s="26">
        <v>2500</v>
      </c>
      <c r="B106" s="26" t="s">
        <v>20</v>
      </c>
      <c r="C106" s="26" t="s">
        <v>30</v>
      </c>
      <c r="D106" s="26" t="s">
        <v>21</v>
      </c>
      <c r="E106" s="26" t="s">
        <v>1926</v>
      </c>
      <c r="F106" s="26" t="s">
        <v>1927</v>
      </c>
      <c r="G106" s="26">
        <v>17.5</v>
      </c>
      <c r="H106" s="26" t="s">
        <v>5</v>
      </c>
      <c r="I106" s="26" t="s">
        <v>1928</v>
      </c>
      <c r="J106" s="26" t="s">
        <v>694</v>
      </c>
      <c r="K106" s="26" t="s">
        <v>366</v>
      </c>
      <c r="L106" s="26" t="s">
        <v>240</v>
      </c>
      <c r="M106" s="26" t="s">
        <v>38</v>
      </c>
      <c r="N106" s="26" t="s">
        <v>39</v>
      </c>
      <c r="O106" s="27">
        <v>32874</v>
      </c>
      <c r="P106" s="26"/>
      <c r="Q106" s="26"/>
      <c r="R106" s="26">
        <v>21.4</v>
      </c>
      <c r="S106" s="26" t="s">
        <v>29</v>
      </c>
    </row>
    <row r="107" spans="1:19" ht="29.25">
      <c r="A107" s="28">
        <v>2800</v>
      </c>
      <c r="B107" s="28" t="s">
        <v>20</v>
      </c>
      <c r="C107" s="28" t="s">
        <v>21</v>
      </c>
      <c r="D107" s="28" t="s">
        <v>21</v>
      </c>
      <c r="E107" s="28" t="s">
        <v>1271</v>
      </c>
      <c r="F107" s="28" t="s">
        <v>1272</v>
      </c>
      <c r="G107" s="28">
        <v>0.3</v>
      </c>
      <c r="H107" s="28" t="s">
        <v>5</v>
      </c>
      <c r="I107" s="28" t="s">
        <v>5</v>
      </c>
      <c r="J107" s="28" t="s">
        <v>25</v>
      </c>
      <c r="K107" s="28" t="s">
        <v>25</v>
      </c>
      <c r="L107" s="28" t="s">
        <v>26</v>
      </c>
      <c r="M107" s="28" t="s">
        <v>38</v>
      </c>
      <c r="N107" s="28" t="s">
        <v>39</v>
      </c>
      <c r="O107" s="29">
        <v>31413</v>
      </c>
      <c r="P107" s="28"/>
      <c r="Q107" s="28"/>
      <c r="R107" s="28">
        <v>0.35</v>
      </c>
      <c r="S107" s="28" t="s">
        <v>29</v>
      </c>
    </row>
    <row r="108" spans="1:19">
      <c r="A108" s="28">
        <v>99300</v>
      </c>
      <c r="B108" s="28" t="s">
        <v>20</v>
      </c>
      <c r="C108" s="28" t="s">
        <v>30</v>
      </c>
      <c r="D108" s="28" t="s">
        <v>21</v>
      </c>
      <c r="E108" s="28" t="s">
        <v>2946</v>
      </c>
      <c r="F108" s="28" t="s">
        <v>2947</v>
      </c>
      <c r="G108" s="28">
        <v>12</v>
      </c>
      <c r="H108" s="28" t="s">
        <v>24</v>
      </c>
      <c r="I108" s="28" t="s">
        <v>2948</v>
      </c>
      <c r="J108" s="28" t="s">
        <v>788</v>
      </c>
      <c r="K108" s="28" t="s">
        <v>366</v>
      </c>
      <c r="L108" s="28" t="s">
        <v>789</v>
      </c>
      <c r="M108" s="28" t="s">
        <v>27</v>
      </c>
      <c r="N108" s="28" t="s">
        <v>39</v>
      </c>
      <c r="O108" s="29">
        <v>40430</v>
      </c>
      <c r="P108" s="28"/>
      <c r="Q108" s="28"/>
      <c r="R108" s="28">
        <v>13.8</v>
      </c>
      <c r="S108" s="28" t="s">
        <v>29</v>
      </c>
    </row>
    <row r="109" spans="1:19">
      <c r="A109" s="24">
        <v>98900</v>
      </c>
      <c r="B109" s="24" t="s">
        <v>20</v>
      </c>
      <c r="C109" s="24" t="s">
        <v>21</v>
      </c>
      <c r="D109" s="24" t="s">
        <v>30</v>
      </c>
      <c r="E109" s="24" t="s">
        <v>2932</v>
      </c>
      <c r="F109" s="24" t="s">
        <v>2933</v>
      </c>
      <c r="G109" s="24">
        <v>493</v>
      </c>
      <c r="H109" s="24" t="s">
        <v>5</v>
      </c>
      <c r="I109" s="24" t="s">
        <v>2934</v>
      </c>
      <c r="J109" s="24" t="s">
        <v>365</v>
      </c>
      <c r="K109" s="24" t="s">
        <v>705</v>
      </c>
      <c r="L109" s="24" t="s">
        <v>240</v>
      </c>
      <c r="M109" s="24" t="s">
        <v>38</v>
      </c>
      <c r="N109" s="24" t="s">
        <v>39</v>
      </c>
      <c r="O109" s="25">
        <v>40340</v>
      </c>
      <c r="P109" s="24"/>
      <c r="Q109" s="24"/>
      <c r="R109" s="24">
        <v>560</v>
      </c>
      <c r="S109" s="24" t="s">
        <v>29</v>
      </c>
    </row>
    <row r="110" spans="1:19">
      <c r="A110" s="28">
        <v>98200</v>
      </c>
      <c r="B110" s="28" t="s">
        <v>20</v>
      </c>
      <c r="C110" s="28" t="s">
        <v>21</v>
      </c>
      <c r="D110" s="28" t="s">
        <v>21</v>
      </c>
      <c r="E110" s="28" t="s">
        <v>2919</v>
      </c>
      <c r="F110" s="28" t="s">
        <v>2920</v>
      </c>
      <c r="G110" s="28">
        <v>21</v>
      </c>
      <c r="H110" s="28" t="s">
        <v>5</v>
      </c>
      <c r="I110" s="28" t="s">
        <v>2921</v>
      </c>
      <c r="J110" s="28" t="s">
        <v>1025</v>
      </c>
      <c r="K110" s="28" t="s">
        <v>2138</v>
      </c>
      <c r="L110" s="28" t="s">
        <v>1026</v>
      </c>
      <c r="M110" s="28" t="s">
        <v>38</v>
      </c>
      <c r="N110" s="28" t="s">
        <v>39</v>
      </c>
      <c r="O110" s="29">
        <v>40165</v>
      </c>
      <c r="P110" s="28"/>
      <c r="Q110" s="28"/>
      <c r="R110" s="28">
        <v>21</v>
      </c>
      <c r="S110" s="28" t="s">
        <v>29</v>
      </c>
    </row>
    <row r="111" spans="1:19">
      <c r="A111" s="24">
        <v>95900</v>
      </c>
      <c r="B111" s="24" t="s">
        <v>20</v>
      </c>
      <c r="C111" s="24" t="s">
        <v>21</v>
      </c>
      <c r="D111" s="24" t="s">
        <v>30</v>
      </c>
      <c r="E111" s="24" t="s">
        <v>2861</v>
      </c>
      <c r="F111" s="24" t="s">
        <v>2862</v>
      </c>
      <c r="G111" s="24">
        <v>17</v>
      </c>
      <c r="H111" s="24" t="s">
        <v>24</v>
      </c>
      <c r="I111" s="24" t="s">
        <v>2863</v>
      </c>
      <c r="J111" s="24" t="s">
        <v>644</v>
      </c>
      <c r="K111" s="24" t="s">
        <v>366</v>
      </c>
      <c r="L111" s="24" t="s">
        <v>644</v>
      </c>
      <c r="M111" s="24" t="s">
        <v>27</v>
      </c>
      <c r="N111" s="24" t="s">
        <v>28</v>
      </c>
      <c r="O111" s="25">
        <v>39347</v>
      </c>
      <c r="P111" s="24"/>
      <c r="Q111" s="24"/>
      <c r="R111" s="24">
        <v>55</v>
      </c>
      <c r="S111" s="24" t="s">
        <v>29</v>
      </c>
    </row>
    <row r="112" spans="1:19">
      <c r="A112" s="28">
        <v>106900</v>
      </c>
      <c r="B112" s="28" t="s">
        <v>20</v>
      </c>
      <c r="C112" s="28" t="s">
        <v>21</v>
      </c>
      <c r="D112" s="28" t="s">
        <v>21</v>
      </c>
      <c r="E112" s="28" t="s">
        <v>4416</v>
      </c>
      <c r="F112" s="28" t="s">
        <v>4417</v>
      </c>
      <c r="G112" s="28">
        <v>28.1</v>
      </c>
      <c r="H112" s="28" t="s">
        <v>5</v>
      </c>
      <c r="I112" s="28" t="s">
        <v>4418</v>
      </c>
      <c r="J112" s="28" t="s">
        <v>365</v>
      </c>
      <c r="K112" s="28" t="s">
        <v>705</v>
      </c>
      <c r="L112" s="28" t="s">
        <v>888</v>
      </c>
      <c r="M112" s="28" t="s">
        <v>38</v>
      </c>
      <c r="N112" s="28" t="s">
        <v>39</v>
      </c>
      <c r="O112" s="29">
        <v>41214</v>
      </c>
      <c r="P112" s="28"/>
      <c r="Q112" s="28"/>
      <c r="R112" s="28">
        <v>28.1</v>
      </c>
      <c r="S112" s="28" t="s">
        <v>29</v>
      </c>
    </row>
    <row r="113" spans="1:19">
      <c r="A113" s="28">
        <v>3800</v>
      </c>
      <c r="B113" s="28" t="s">
        <v>20</v>
      </c>
      <c r="C113" s="28" t="s">
        <v>21</v>
      </c>
      <c r="D113" s="28" t="s">
        <v>21</v>
      </c>
      <c r="E113" s="28" t="s">
        <v>483</v>
      </c>
      <c r="F113" s="28" t="s">
        <v>484</v>
      </c>
      <c r="G113" s="28">
        <v>65</v>
      </c>
      <c r="H113" s="28" t="s">
        <v>5</v>
      </c>
      <c r="I113" s="28" t="s">
        <v>485</v>
      </c>
      <c r="J113" s="28" t="s">
        <v>365</v>
      </c>
      <c r="K113" s="28" t="s">
        <v>366</v>
      </c>
      <c r="L113" s="28" t="s">
        <v>240</v>
      </c>
      <c r="M113" s="28" t="s">
        <v>38</v>
      </c>
      <c r="N113" s="28" t="s">
        <v>486</v>
      </c>
      <c r="O113" s="29">
        <v>23743</v>
      </c>
      <c r="P113" s="28"/>
      <c r="Q113" s="28"/>
      <c r="R113" s="28">
        <v>65</v>
      </c>
      <c r="S113" s="28" t="s">
        <v>29</v>
      </c>
    </row>
    <row r="114" spans="1:19" ht="29.25">
      <c r="A114" s="28">
        <v>113000</v>
      </c>
      <c r="B114" s="28" t="s">
        <v>20</v>
      </c>
      <c r="C114" s="28" t="s">
        <v>21</v>
      </c>
      <c r="D114" s="28" t="s">
        <v>21</v>
      </c>
      <c r="E114" s="28" t="s">
        <v>4710</v>
      </c>
      <c r="F114" s="28" t="s">
        <v>4711</v>
      </c>
      <c r="G114" s="28">
        <v>18.399999999999999</v>
      </c>
      <c r="H114" s="28" t="s">
        <v>24</v>
      </c>
      <c r="I114" s="28" t="s">
        <v>4712</v>
      </c>
      <c r="J114" s="28" t="s">
        <v>788</v>
      </c>
      <c r="K114" s="28" t="s">
        <v>366</v>
      </c>
      <c r="L114" s="28" t="s">
        <v>789</v>
      </c>
      <c r="M114" s="28" t="s">
        <v>27</v>
      </c>
      <c r="N114" s="28" t="s">
        <v>1420</v>
      </c>
      <c r="O114" s="29">
        <v>41277</v>
      </c>
      <c r="P114" s="28"/>
      <c r="Q114" s="28"/>
      <c r="R114" s="28">
        <v>20</v>
      </c>
      <c r="S114" s="28" t="s">
        <v>29</v>
      </c>
    </row>
    <row r="115" spans="1:19">
      <c r="A115" s="28">
        <v>4000</v>
      </c>
      <c r="B115" s="28" t="s">
        <v>20</v>
      </c>
      <c r="C115" s="28" t="s">
        <v>21</v>
      </c>
      <c r="D115" s="28" t="s">
        <v>21</v>
      </c>
      <c r="E115" s="28" t="s">
        <v>398</v>
      </c>
      <c r="F115" s="28" t="s">
        <v>399</v>
      </c>
      <c r="G115" s="28">
        <v>41</v>
      </c>
      <c r="H115" s="28" t="s">
        <v>24</v>
      </c>
      <c r="I115" s="28" t="s">
        <v>4</v>
      </c>
      <c r="J115" s="28" t="s">
        <v>25</v>
      </c>
      <c r="K115" s="28" t="s">
        <v>25</v>
      </c>
      <c r="L115" s="28" t="s">
        <v>26</v>
      </c>
      <c r="M115" s="28" t="s">
        <v>27</v>
      </c>
      <c r="N115" s="28" t="s">
        <v>28</v>
      </c>
      <c r="O115" s="29">
        <v>21186</v>
      </c>
      <c r="P115" s="28"/>
      <c r="Q115" s="28" t="s">
        <v>175</v>
      </c>
      <c r="R115" s="28">
        <v>41</v>
      </c>
      <c r="S115" s="28" t="s">
        <v>29</v>
      </c>
    </row>
    <row r="116" spans="1:19" ht="29.25">
      <c r="A116" s="28">
        <v>38300</v>
      </c>
      <c r="B116" s="28" t="s">
        <v>20</v>
      </c>
      <c r="C116" s="28" t="s">
        <v>21</v>
      </c>
      <c r="D116" s="28" t="s">
        <v>21</v>
      </c>
      <c r="E116" s="28" t="s">
        <v>1751</v>
      </c>
      <c r="F116" s="28" t="s">
        <v>1752</v>
      </c>
      <c r="G116" s="28">
        <v>32.6</v>
      </c>
      <c r="H116" s="28" t="s">
        <v>24</v>
      </c>
      <c r="I116" s="28" t="s">
        <v>1753</v>
      </c>
      <c r="J116" s="28" t="s">
        <v>644</v>
      </c>
      <c r="K116" s="28" t="s">
        <v>366</v>
      </c>
      <c r="L116" s="28" t="s">
        <v>644</v>
      </c>
      <c r="M116" s="28" t="s">
        <v>27</v>
      </c>
      <c r="N116" s="28" t="s">
        <v>28</v>
      </c>
      <c r="O116" s="29">
        <v>32488</v>
      </c>
      <c r="P116" s="28"/>
      <c r="Q116" s="28"/>
      <c r="R116" s="28">
        <v>32.6</v>
      </c>
      <c r="S116" s="28" t="s">
        <v>29</v>
      </c>
    </row>
    <row r="117" spans="1:19" ht="29.25">
      <c r="A117" s="24">
        <v>93600</v>
      </c>
      <c r="B117" s="24" t="s">
        <v>20</v>
      </c>
      <c r="C117" s="24" t="s">
        <v>30</v>
      </c>
      <c r="D117" s="24" t="s">
        <v>30</v>
      </c>
      <c r="E117" s="24" t="s">
        <v>3206</v>
      </c>
      <c r="F117" s="24" t="s">
        <v>3207</v>
      </c>
      <c r="G117" s="24">
        <v>22</v>
      </c>
      <c r="H117" s="24" t="s">
        <v>24</v>
      </c>
      <c r="I117" s="24"/>
      <c r="J117" s="24" t="s">
        <v>644</v>
      </c>
      <c r="K117" s="24" t="s">
        <v>1022</v>
      </c>
      <c r="L117" s="24" t="s">
        <v>644</v>
      </c>
      <c r="M117" s="24" t="s">
        <v>27</v>
      </c>
      <c r="N117" s="24" t="s">
        <v>28</v>
      </c>
      <c r="O117" s="263">
        <v>32388</v>
      </c>
      <c r="P117" s="24" t="s">
        <v>3208</v>
      </c>
      <c r="Q117" s="24"/>
      <c r="R117" s="24">
        <v>22</v>
      </c>
      <c r="S117" s="24" t="s">
        <v>29</v>
      </c>
    </row>
    <row r="118" spans="1:19" ht="29.25">
      <c r="A118" s="26">
        <v>38100</v>
      </c>
      <c r="B118" s="26" t="s">
        <v>87</v>
      </c>
      <c r="C118" s="26" t="s">
        <v>30</v>
      </c>
      <c r="D118" s="26" t="s">
        <v>21</v>
      </c>
      <c r="E118" s="26" t="s">
        <v>1724</v>
      </c>
      <c r="F118" s="26" t="s">
        <v>1725</v>
      </c>
      <c r="G118" s="26">
        <v>11.5</v>
      </c>
      <c r="H118" s="26" t="s">
        <v>24</v>
      </c>
      <c r="I118" s="26" t="s">
        <v>1726</v>
      </c>
      <c r="J118" s="26" t="s">
        <v>644</v>
      </c>
      <c r="K118" s="26" t="s">
        <v>366</v>
      </c>
      <c r="L118" s="26" t="s">
        <v>644</v>
      </c>
      <c r="M118" s="26" t="s">
        <v>27</v>
      </c>
      <c r="N118" s="26" t="s">
        <v>28</v>
      </c>
      <c r="O118" s="27">
        <v>32392</v>
      </c>
      <c r="P118" s="26" t="s">
        <v>1720</v>
      </c>
      <c r="Q118" s="26"/>
      <c r="R118" s="26">
        <v>11.5</v>
      </c>
      <c r="S118" s="26" t="s">
        <v>29</v>
      </c>
    </row>
    <row r="119" spans="1:19" ht="29.25">
      <c r="A119" s="26">
        <v>38200</v>
      </c>
      <c r="B119" s="26" t="s">
        <v>87</v>
      </c>
      <c r="C119" s="26" t="s">
        <v>30</v>
      </c>
      <c r="D119" s="26" t="s">
        <v>21</v>
      </c>
      <c r="E119" s="26" t="s">
        <v>1717</v>
      </c>
      <c r="F119" s="26" t="s">
        <v>1718</v>
      </c>
      <c r="G119" s="26">
        <v>11.5</v>
      </c>
      <c r="H119" s="26" t="s">
        <v>24</v>
      </c>
      <c r="I119" s="26" t="s">
        <v>1719</v>
      </c>
      <c r="J119" s="26" t="s">
        <v>644</v>
      </c>
      <c r="K119" s="26" t="s">
        <v>366</v>
      </c>
      <c r="L119" s="26" t="s">
        <v>644</v>
      </c>
      <c r="M119" s="26" t="s">
        <v>27</v>
      </c>
      <c r="N119" s="26" t="s">
        <v>28</v>
      </c>
      <c r="O119" s="27">
        <v>32388</v>
      </c>
      <c r="P119" s="26" t="s">
        <v>1720</v>
      </c>
      <c r="Q119" s="26"/>
      <c r="R119" s="26">
        <v>11.5</v>
      </c>
      <c r="S119" s="26" t="s">
        <v>29</v>
      </c>
    </row>
    <row r="120" spans="1:19" ht="29.25">
      <c r="A120" s="24">
        <v>4400</v>
      </c>
      <c r="B120" s="24" t="s">
        <v>20</v>
      </c>
      <c r="C120" s="24" t="s">
        <v>30</v>
      </c>
      <c r="D120" s="24" t="s">
        <v>30</v>
      </c>
      <c r="E120" s="24" t="s">
        <v>843</v>
      </c>
      <c r="F120" s="24" t="s">
        <v>844</v>
      </c>
      <c r="G120" s="24">
        <v>9.99</v>
      </c>
      <c r="H120" s="24" t="s">
        <v>24</v>
      </c>
      <c r="I120" s="24" t="s">
        <v>273</v>
      </c>
      <c r="J120" s="24" t="s">
        <v>25</v>
      </c>
      <c r="K120" s="24" t="s">
        <v>25</v>
      </c>
      <c r="L120" s="24" t="s">
        <v>26</v>
      </c>
      <c r="M120" s="24" t="s">
        <v>27</v>
      </c>
      <c r="N120" s="24" t="s">
        <v>28</v>
      </c>
      <c r="O120" s="25">
        <v>30317</v>
      </c>
      <c r="P120" s="24"/>
      <c r="Q120" s="24" t="s">
        <v>274</v>
      </c>
      <c r="R120" s="24">
        <v>9.99</v>
      </c>
      <c r="S120" s="24" t="s">
        <v>29</v>
      </c>
    </row>
    <row r="121" spans="1:19">
      <c r="A121" s="26">
        <v>4401</v>
      </c>
      <c r="B121" s="26" t="s">
        <v>20</v>
      </c>
      <c r="C121" s="26" t="s">
        <v>21</v>
      </c>
      <c r="D121" s="26" t="s">
        <v>21</v>
      </c>
      <c r="E121" s="26" t="s">
        <v>845</v>
      </c>
      <c r="F121" s="26" t="s">
        <v>846</v>
      </c>
      <c r="G121" s="26">
        <v>3.3</v>
      </c>
      <c r="H121" s="26" t="s">
        <v>24</v>
      </c>
      <c r="I121" s="26" t="s">
        <v>273</v>
      </c>
      <c r="J121" s="26" t="s">
        <v>25</v>
      </c>
      <c r="K121" s="26" t="s">
        <v>25</v>
      </c>
      <c r="L121" s="26" t="s">
        <v>26</v>
      </c>
      <c r="M121" s="26" t="s">
        <v>27</v>
      </c>
      <c r="N121" s="26" t="s">
        <v>28</v>
      </c>
      <c r="O121" s="27">
        <v>30317</v>
      </c>
      <c r="P121" s="26"/>
      <c r="Q121" s="26" t="s">
        <v>274</v>
      </c>
      <c r="R121" s="26">
        <v>3.33</v>
      </c>
      <c r="S121" s="26" t="s">
        <v>29</v>
      </c>
    </row>
    <row r="122" spans="1:19">
      <c r="A122" s="26">
        <v>4402</v>
      </c>
      <c r="B122" s="26" t="s">
        <v>20</v>
      </c>
      <c r="C122" s="26" t="s">
        <v>21</v>
      </c>
      <c r="D122" s="26" t="s">
        <v>21</v>
      </c>
      <c r="E122" s="26" t="s">
        <v>847</v>
      </c>
      <c r="F122" s="26" t="s">
        <v>848</v>
      </c>
      <c r="G122" s="26">
        <v>3.3</v>
      </c>
      <c r="H122" s="26" t="s">
        <v>24</v>
      </c>
      <c r="I122" s="26" t="s">
        <v>273</v>
      </c>
      <c r="J122" s="26" t="s">
        <v>25</v>
      </c>
      <c r="K122" s="26" t="s">
        <v>25</v>
      </c>
      <c r="L122" s="26" t="s">
        <v>26</v>
      </c>
      <c r="M122" s="26" t="s">
        <v>27</v>
      </c>
      <c r="N122" s="26" t="s">
        <v>28</v>
      </c>
      <c r="O122" s="27">
        <v>30317</v>
      </c>
      <c r="P122" s="26"/>
      <c r="Q122" s="26" t="s">
        <v>274</v>
      </c>
      <c r="R122" s="26">
        <v>3.33</v>
      </c>
      <c r="S122" s="26" t="s">
        <v>29</v>
      </c>
    </row>
    <row r="123" spans="1:19">
      <c r="A123" s="26">
        <v>4403</v>
      </c>
      <c r="B123" s="26" t="s">
        <v>20</v>
      </c>
      <c r="C123" s="26" t="s">
        <v>21</v>
      </c>
      <c r="D123" s="26" t="s">
        <v>21</v>
      </c>
      <c r="E123" s="26" t="s">
        <v>849</v>
      </c>
      <c r="F123" s="26" t="s">
        <v>850</v>
      </c>
      <c r="G123" s="26">
        <v>3.7</v>
      </c>
      <c r="H123" s="26" t="s">
        <v>24</v>
      </c>
      <c r="I123" s="26" t="s">
        <v>273</v>
      </c>
      <c r="J123" s="26" t="s">
        <v>25</v>
      </c>
      <c r="K123" s="26" t="s">
        <v>25</v>
      </c>
      <c r="L123" s="26" t="s">
        <v>26</v>
      </c>
      <c r="M123" s="26" t="s">
        <v>27</v>
      </c>
      <c r="N123" s="26" t="s">
        <v>28</v>
      </c>
      <c r="O123" s="27">
        <v>30317</v>
      </c>
      <c r="P123" s="26"/>
      <c r="Q123" s="26" t="s">
        <v>274</v>
      </c>
      <c r="R123" s="26">
        <v>3.33</v>
      </c>
      <c r="S123" s="26" t="s">
        <v>29</v>
      </c>
    </row>
    <row r="124" spans="1:19" ht="29.25">
      <c r="A124" s="24">
        <v>4600</v>
      </c>
      <c r="B124" s="24" t="s">
        <v>20</v>
      </c>
      <c r="C124" s="24" t="s">
        <v>21</v>
      </c>
      <c r="D124" s="24" t="s">
        <v>30</v>
      </c>
      <c r="E124" s="24" t="s">
        <v>173</v>
      </c>
      <c r="F124" s="24" t="s">
        <v>174</v>
      </c>
      <c r="G124" s="24">
        <v>49</v>
      </c>
      <c r="H124" s="24" t="s">
        <v>24</v>
      </c>
      <c r="I124" s="24" t="s">
        <v>4</v>
      </c>
      <c r="J124" s="24" t="s">
        <v>25</v>
      </c>
      <c r="K124" s="24" t="s">
        <v>25</v>
      </c>
      <c r="L124" s="24" t="s">
        <v>26</v>
      </c>
      <c r="M124" s="24" t="s">
        <v>27</v>
      </c>
      <c r="N124" s="24" t="s">
        <v>28</v>
      </c>
      <c r="O124" s="25">
        <v>7672</v>
      </c>
      <c r="P124" s="24"/>
      <c r="Q124" s="24" t="s">
        <v>175</v>
      </c>
      <c r="R124" s="24">
        <v>48</v>
      </c>
      <c r="S124" s="24" t="s">
        <v>29</v>
      </c>
    </row>
    <row r="125" spans="1:19">
      <c r="A125" s="26">
        <v>4601</v>
      </c>
      <c r="B125" s="26" t="s">
        <v>20</v>
      </c>
      <c r="C125" s="26" t="s">
        <v>21</v>
      </c>
      <c r="D125" s="26" t="s">
        <v>21</v>
      </c>
      <c r="E125" s="26" t="s">
        <v>176</v>
      </c>
      <c r="F125" s="26" t="s">
        <v>177</v>
      </c>
      <c r="G125" s="26">
        <v>25</v>
      </c>
      <c r="H125" s="26" t="s">
        <v>24</v>
      </c>
      <c r="I125" s="26" t="s">
        <v>4</v>
      </c>
      <c r="J125" s="26" t="s">
        <v>25</v>
      </c>
      <c r="K125" s="26" t="s">
        <v>25</v>
      </c>
      <c r="L125" s="26" t="s">
        <v>26</v>
      </c>
      <c r="M125" s="26" t="s">
        <v>27</v>
      </c>
      <c r="N125" s="26" t="s">
        <v>28</v>
      </c>
      <c r="O125" s="27">
        <v>7672</v>
      </c>
      <c r="P125" s="26"/>
      <c r="Q125" s="26" t="s">
        <v>175</v>
      </c>
      <c r="R125" s="26">
        <v>24</v>
      </c>
      <c r="S125" s="26" t="s">
        <v>29</v>
      </c>
    </row>
    <row r="126" spans="1:19">
      <c r="A126" s="26">
        <v>4602</v>
      </c>
      <c r="B126" s="26" t="s">
        <v>20</v>
      </c>
      <c r="C126" s="26" t="s">
        <v>21</v>
      </c>
      <c r="D126" s="26" t="s">
        <v>21</v>
      </c>
      <c r="E126" s="26" t="s">
        <v>222</v>
      </c>
      <c r="F126" s="26" t="s">
        <v>223</v>
      </c>
      <c r="G126" s="26">
        <v>25</v>
      </c>
      <c r="H126" s="26" t="s">
        <v>24</v>
      </c>
      <c r="I126" s="26" t="s">
        <v>4</v>
      </c>
      <c r="J126" s="26" t="s">
        <v>25</v>
      </c>
      <c r="K126" s="26" t="s">
        <v>25</v>
      </c>
      <c r="L126" s="26" t="s">
        <v>26</v>
      </c>
      <c r="M126" s="26" t="s">
        <v>27</v>
      </c>
      <c r="N126" s="26" t="s">
        <v>28</v>
      </c>
      <c r="O126" s="27">
        <v>8767</v>
      </c>
      <c r="P126" s="26"/>
      <c r="Q126" s="26" t="s">
        <v>175</v>
      </c>
      <c r="R126" s="26">
        <v>24</v>
      </c>
      <c r="S126" s="26" t="s">
        <v>29</v>
      </c>
    </row>
    <row r="127" spans="1:19" ht="29.25">
      <c r="A127" s="24">
        <v>4700</v>
      </c>
      <c r="B127" s="24" t="s">
        <v>20</v>
      </c>
      <c r="C127" s="24" t="s">
        <v>21</v>
      </c>
      <c r="D127" s="24" t="s">
        <v>30</v>
      </c>
      <c r="E127" s="24" t="s">
        <v>400</v>
      </c>
      <c r="F127" s="24" t="s">
        <v>401</v>
      </c>
      <c r="G127" s="24">
        <v>122</v>
      </c>
      <c r="H127" s="24" t="s">
        <v>24</v>
      </c>
      <c r="I127" s="24" t="s">
        <v>4</v>
      </c>
      <c r="J127" s="24" t="s">
        <v>25</v>
      </c>
      <c r="K127" s="24" t="s">
        <v>25</v>
      </c>
      <c r="L127" s="24" t="s">
        <v>26</v>
      </c>
      <c r="M127" s="24" t="s">
        <v>27</v>
      </c>
      <c r="N127" s="24" t="s">
        <v>28</v>
      </c>
      <c r="O127" s="25">
        <v>21186</v>
      </c>
      <c r="P127" s="24"/>
      <c r="Q127" s="24" t="s">
        <v>175</v>
      </c>
      <c r="R127" s="24">
        <v>122</v>
      </c>
      <c r="S127" s="24" t="s">
        <v>29</v>
      </c>
    </row>
    <row r="128" spans="1:19">
      <c r="A128" s="26">
        <v>4701</v>
      </c>
      <c r="B128" s="26" t="s">
        <v>20</v>
      </c>
      <c r="C128" s="26" t="s">
        <v>21</v>
      </c>
      <c r="D128" s="26" t="s">
        <v>21</v>
      </c>
      <c r="E128" s="26" t="s">
        <v>402</v>
      </c>
      <c r="F128" s="26" t="s">
        <v>403</v>
      </c>
      <c r="G128" s="26">
        <v>61</v>
      </c>
      <c r="H128" s="26" t="s">
        <v>24</v>
      </c>
      <c r="I128" s="26" t="s">
        <v>4</v>
      </c>
      <c r="J128" s="26" t="s">
        <v>25</v>
      </c>
      <c r="K128" s="26" t="s">
        <v>25</v>
      </c>
      <c r="L128" s="26" t="s">
        <v>26</v>
      </c>
      <c r="M128" s="26" t="s">
        <v>27</v>
      </c>
      <c r="N128" s="26" t="s">
        <v>28</v>
      </c>
      <c r="O128" s="27">
        <v>21186</v>
      </c>
      <c r="P128" s="26"/>
      <c r="Q128" s="26" t="s">
        <v>175</v>
      </c>
      <c r="R128" s="26">
        <v>61</v>
      </c>
      <c r="S128" s="26" t="s">
        <v>29</v>
      </c>
    </row>
    <row r="129" spans="1:19">
      <c r="A129" s="26">
        <v>4702</v>
      </c>
      <c r="B129" s="26" t="s">
        <v>20</v>
      </c>
      <c r="C129" s="26" t="s">
        <v>21</v>
      </c>
      <c r="D129" s="26" t="s">
        <v>21</v>
      </c>
      <c r="E129" s="26" t="s">
        <v>404</v>
      </c>
      <c r="F129" s="26" t="s">
        <v>405</v>
      </c>
      <c r="G129" s="26">
        <v>61</v>
      </c>
      <c r="H129" s="26" t="s">
        <v>24</v>
      </c>
      <c r="I129" s="26" t="s">
        <v>4</v>
      </c>
      <c r="J129" s="26" t="s">
        <v>25</v>
      </c>
      <c r="K129" s="26" t="s">
        <v>25</v>
      </c>
      <c r="L129" s="26" t="s">
        <v>26</v>
      </c>
      <c r="M129" s="26" t="s">
        <v>27</v>
      </c>
      <c r="N129" s="26" t="s">
        <v>28</v>
      </c>
      <c r="O129" s="27">
        <v>21186</v>
      </c>
      <c r="P129" s="26"/>
      <c r="Q129" s="26" t="s">
        <v>175</v>
      </c>
      <c r="R129" s="26">
        <v>61</v>
      </c>
      <c r="S129" s="26" t="s">
        <v>29</v>
      </c>
    </row>
    <row r="130" spans="1:19">
      <c r="A130" s="28">
        <v>4800</v>
      </c>
      <c r="B130" s="28" t="s">
        <v>20</v>
      </c>
      <c r="C130" s="28" t="s">
        <v>21</v>
      </c>
      <c r="D130" s="28" t="s">
        <v>21</v>
      </c>
      <c r="E130" s="28" t="s">
        <v>22</v>
      </c>
      <c r="F130" s="28" t="s">
        <v>23</v>
      </c>
      <c r="G130" s="28">
        <v>6.4</v>
      </c>
      <c r="H130" s="28" t="s">
        <v>24</v>
      </c>
      <c r="I130" s="28" t="s">
        <v>4</v>
      </c>
      <c r="J130" s="28" t="s">
        <v>25</v>
      </c>
      <c r="K130" s="28" t="s">
        <v>25</v>
      </c>
      <c r="L130" s="28" t="s">
        <v>26</v>
      </c>
      <c r="M130" s="28" t="s">
        <v>27</v>
      </c>
      <c r="N130" s="28" t="s">
        <v>28</v>
      </c>
      <c r="O130" s="29">
        <v>1</v>
      </c>
      <c r="P130" s="28"/>
      <c r="Q130" s="28"/>
      <c r="R130" s="28">
        <v>5.9</v>
      </c>
      <c r="S130" s="28" t="s">
        <v>29</v>
      </c>
    </row>
    <row r="131" spans="1:19" ht="43.5">
      <c r="A131" s="24">
        <v>83900</v>
      </c>
      <c r="B131" s="24" t="s">
        <v>20</v>
      </c>
      <c r="C131" s="24" t="s">
        <v>21</v>
      </c>
      <c r="D131" s="24" t="s">
        <v>30</v>
      </c>
      <c r="E131" s="24" t="s">
        <v>2639</v>
      </c>
      <c r="F131" s="24" t="s">
        <v>2640</v>
      </c>
      <c r="G131" s="24">
        <v>322</v>
      </c>
      <c r="H131" s="24" t="s">
        <v>143</v>
      </c>
      <c r="I131" s="24" t="s">
        <v>2641</v>
      </c>
      <c r="J131" s="24" t="s">
        <v>365</v>
      </c>
      <c r="K131" s="24" t="s">
        <v>705</v>
      </c>
      <c r="L131" s="24" t="s">
        <v>240</v>
      </c>
      <c r="M131" s="24" t="s">
        <v>38</v>
      </c>
      <c r="N131" s="24" t="s">
        <v>144</v>
      </c>
      <c r="O131" s="25">
        <v>37824</v>
      </c>
      <c r="P131" s="24"/>
      <c r="Q131" s="24"/>
      <c r="R131" s="24">
        <v>336.5</v>
      </c>
      <c r="S131" s="24" t="s">
        <v>29</v>
      </c>
    </row>
    <row r="132" spans="1:19" ht="29.25">
      <c r="A132" s="26">
        <v>83901</v>
      </c>
      <c r="B132" s="26" t="s">
        <v>20</v>
      </c>
      <c r="C132" s="26" t="s">
        <v>21</v>
      </c>
      <c r="D132" s="26" t="s">
        <v>21</v>
      </c>
      <c r="E132" s="26" t="s">
        <v>2642</v>
      </c>
      <c r="F132" s="26" t="s">
        <v>2643</v>
      </c>
      <c r="G132" s="26">
        <v>181.5</v>
      </c>
      <c r="H132" s="26" t="s">
        <v>143</v>
      </c>
      <c r="I132" s="26" t="s">
        <v>2641</v>
      </c>
      <c r="J132" s="26" t="s">
        <v>365</v>
      </c>
      <c r="K132" s="26" t="s">
        <v>580</v>
      </c>
      <c r="L132" s="26" t="s">
        <v>240</v>
      </c>
      <c r="M132" s="26" t="s">
        <v>38</v>
      </c>
      <c r="N132" s="26" t="s">
        <v>144</v>
      </c>
      <c r="O132" s="27">
        <v>37824</v>
      </c>
      <c r="P132" s="26"/>
      <c r="Q132" s="26"/>
      <c r="R132" s="26">
        <v>181.5</v>
      </c>
      <c r="S132" s="26" t="s">
        <v>29</v>
      </c>
    </row>
    <row r="133" spans="1:19" ht="29.25">
      <c r="A133" s="26">
        <v>83902</v>
      </c>
      <c r="B133" s="26" t="s">
        <v>20</v>
      </c>
      <c r="C133" s="26" t="s">
        <v>21</v>
      </c>
      <c r="D133" s="26" t="s">
        <v>21</v>
      </c>
      <c r="E133" s="26" t="s">
        <v>2644</v>
      </c>
      <c r="F133" s="26" t="s">
        <v>2645</v>
      </c>
      <c r="G133" s="26">
        <v>155</v>
      </c>
      <c r="H133" s="26" t="s">
        <v>143</v>
      </c>
      <c r="I133" s="26" t="s">
        <v>2641</v>
      </c>
      <c r="J133" s="26" t="s">
        <v>365</v>
      </c>
      <c r="K133" s="26" t="s">
        <v>366</v>
      </c>
      <c r="L133" s="26" t="s">
        <v>712</v>
      </c>
      <c r="M133" s="26" t="s">
        <v>38</v>
      </c>
      <c r="N133" s="26" t="s">
        <v>144</v>
      </c>
      <c r="O133" s="27">
        <v>37824</v>
      </c>
      <c r="P133" s="26"/>
      <c r="Q133" s="26"/>
      <c r="R133" s="26">
        <v>155</v>
      </c>
      <c r="S133" s="26" t="s">
        <v>29</v>
      </c>
    </row>
    <row r="134" spans="1:19">
      <c r="A134" s="24">
        <v>4900</v>
      </c>
      <c r="B134" s="24" t="s">
        <v>20</v>
      </c>
      <c r="C134" s="24" t="s">
        <v>21</v>
      </c>
      <c r="D134" s="24" t="s">
        <v>30</v>
      </c>
      <c r="E134" s="24" t="s">
        <v>2455</v>
      </c>
      <c r="F134" s="24" t="s">
        <v>2456</v>
      </c>
      <c r="G134" s="24">
        <v>41.4</v>
      </c>
      <c r="H134" s="24" t="s">
        <v>5</v>
      </c>
      <c r="I134" s="24" t="s">
        <v>2431</v>
      </c>
      <c r="J134" s="24" t="s">
        <v>295</v>
      </c>
      <c r="K134" s="24" t="s">
        <v>580</v>
      </c>
      <c r="L134" s="24" t="s">
        <v>240</v>
      </c>
      <c r="M134" s="24" t="s">
        <v>38</v>
      </c>
      <c r="N134" s="24" t="s">
        <v>39</v>
      </c>
      <c r="O134" s="25">
        <v>37151</v>
      </c>
      <c r="P134" s="24"/>
      <c r="Q134" s="24"/>
      <c r="R134" s="24">
        <v>43</v>
      </c>
      <c r="S134" s="24" t="s">
        <v>29</v>
      </c>
    </row>
    <row r="135" spans="1:19">
      <c r="A135" s="26">
        <v>4901</v>
      </c>
      <c r="B135" s="26" t="s">
        <v>20</v>
      </c>
      <c r="C135" s="26" t="s">
        <v>21</v>
      </c>
      <c r="D135" s="26" t="s">
        <v>21</v>
      </c>
      <c r="E135" s="26" t="s">
        <v>2444</v>
      </c>
      <c r="F135" s="26" t="s">
        <v>2445</v>
      </c>
      <c r="G135" s="26"/>
      <c r="H135" s="26" t="s">
        <v>5</v>
      </c>
      <c r="I135" s="26" t="s">
        <v>2431</v>
      </c>
      <c r="J135" s="26" t="s">
        <v>295</v>
      </c>
      <c r="K135" s="26" t="s">
        <v>580</v>
      </c>
      <c r="L135" s="26" t="s">
        <v>240</v>
      </c>
      <c r="M135" s="26" t="s">
        <v>38</v>
      </c>
      <c r="N135" s="26" t="s">
        <v>39</v>
      </c>
      <c r="O135" s="27">
        <v>37145</v>
      </c>
      <c r="P135" s="26"/>
      <c r="Q135" s="26"/>
      <c r="R135" s="26">
        <v>10.75</v>
      </c>
      <c r="S135" s="26" t="s">
        <v>29</v>
      </c>
    </row>
    <row r="136" spans="1:19">
      <c r="A136" s="26">
        <v>4902</v>
      </c>
      <c r="B136" s="26" t="s">
        <v>20</v>
      </c>
      <c r="C136" s="26" t="s">
        <v>21</v>
      </c>
      <c r="D136" s="26" t="s">
        <v>21</v>
      </c>
      <c r="E136" s="26" t="s">
        <v>2457</v>
      </c>
      <c r="F136" s="26" t="s">
        <v>2458</v>
      </c>
      <c r="G136" s="26"/>
      <c r="H136" s="26" t="s">
        <v>5</v>
      </c>
      <c r="I136" s="26" t="s">
        <v>2431</v>
      </c>
      <c r="J136" s="26" t="s">
        <v>295</v>
      </c>
      <c r="K136" s="26" t="s">
        <v>580</v>
      </c>
      <c r="L136" s="26" t="s">
        <v>240</v>
      </c>
      <c r="M136" s="26" t="s">
        <v>38</v>
      </c>
      <c r="N136" s="26" t="s">
        <v>39</v>
      </c>
      <c r="O136" s="27">
        <v>37151</v>
      </c>
      <c r="P136" s="26"/>
      <c r="Q136" s="26"/>
      <c r="R136" s="26">
        <v>10.75</v>
      </c>
      <c r="S136" s="26" t="s">
        <v>29</v>
      </c>
    </row>
    <row r="137" spans="1:19">
      <c r="A137" s="26">
        <v>4903</v>
      </c>
      <c r="B137" s="26" t="s">
        <v>20</v>
      </c>
      <c r="C137" s="26" t="s">
        <v>21</v>
      </c>
      <c r="D137" s="26" t="s">
        <v>21</v>
      </c>
      <c r="E137" s="26" t="s">
        <v>2446</v>
      </c>
      <c r="F137" s="26" t="s">
        <v>2447</v>
      </c>
      <c r="G137" s="26"/>
      <c r="H137" s="26" t="s">
        <v>5</v>
      </c>
      <c r="I137" s="26" t="s">
        <v>2431</v>
      </c>
      <c r="J137" s="26" t="s">
        <v>295</v>
      </c>
      <c r="K137" s="26" t="s">
        <v>580</v>
      </c>
      <c r="L137" s="26" t="s">
        <v>240</v>
      </c>
      <c r="M137" s="26" t="s">
        <v>38</v>
      </c>
      <c r="N137" s="26" t="s">
        <v>39</v>
      </c>
      <c r="O137" s="27">
        <v>37145</v>
      </c>
      <c r="P137" s="26"/>
      <c r="Q137" s="26"/>
      <c r="R137" s="26">
        <v>10.75</v>
      </c>
      <c r="S137" s="26" t="s">
        <v>29</v>
      </c>
    </row>
    <row r="138" spans="1:19">
      <c r="A138" s="26">
        <v>4904</v>
      </c>
      <c r="B138" s="26" t="s">
        <v>20</v>
      </c>
      <c r="C138" s="26" t="s">
        <v>21</v>
      </c>
      <c r="D138" s="26" t="s">
        <v>21</v>
      </c>
      <c r="E138" s="26" t="s">
        <v>2448</v>
      </c>
      <c r="F138" s="26" t="s">
        <v>2449</v>
      </c>
      <c r="G138" s="26"/>
      <c r="H138" s="26" t="s">
        <v>5</v>
      </c>
      <c r="I138" s="26" t="s">
        <v>2431</v>
      </c>
      <c r="J138" s="26" t="s">
        <v>295</v>
      </c>
      <c r="K138" s="26" t="s">
        <v>580</v>
      </c>
      <c r="L138" s="26" t="s">
        <v>240</v>
      </c>
      <c r="M138" s="26" t="s">
        <v>38</v>
      </c>
      <c r="N138" s="26" t="s">
        <v>39</v>
      </c>
      <c r="O138" s="27">
        <v>37145</v>
      </c>
      <c r="P138" s="26"/>
      <c r="Q138" s="26"/>
      <c r="R138" s="26">
        <v>10.75</v>
      </c>
      <c r="S138" s="26" t="s">
        <v>29</v>
      </c>
    </row>
    <row r="139" spans="1:19">
      <c r="A139" s="28">
        <v>5100</v>
      </c>
      <c r="B139" s="28" t="s">
        <v>20</v>
      </c>
      <c r="C139" s="28" t="s">
        <v>21</v>
      </c>
      <c r="D139" s="28" t="s">
        <v>21</v>
      </c>
      <c r="E139" s="28" t="s">
        <v>487</v>
      </c>
      <c r="F139" s="28" t="s">
        <v>488</v>
      </c>
      <c r="G139" s="28">
        <v>8.4</v>
      </c>
      <c r="H139" s="28" t="s">
        <v>24</v>
      </c>
      <c r="I139" s="28" t="s">
        <v>4</v>
      </c>
      <c r="J139" s="28" t="s">
        <v>25</v>
      </c>
      <c r="K139" s="28" t="s">
        <v>25</v>
      </c>
      <c r="L139" s="28" t="s">
        <v>26</v>
      </c>
      <c r="M139" s="28" t="s">
        <v>27</v>
      </c>
      <c r="N139" s="28" t="s">
        <v>28</v>
      </c>
      <c r="O139" s="29">
        <v>23743</v>
      </c>
      <c r="P139" s="28"/>
      <c r="Q139" s="28"/>
      <c r="R139" s="28">
        <v>7</v>
      </c>
      <c r="S139" s="28" t="s">
        <v>29</v>
      </c>
    </row>
    <row r="140" spans="1:19" ht="29.25">
      <c r="A140" s="24">
        <v>5200</v>
      </c>
      <c r="B140" s="24" t="s">
        <v>20</v>
      </c>
      <c r="C140" s="24" t="s">
        <v>21</v>
      </c>
      <c r="D140" s="24" t="s">
        <v>30</v>
      </c>
      <c r="E140" s="24" t="s">
        <v>2339</v>
      </c>
      <c r="F140" s="24" t="s">
        <v>2340</v>
      </c>
      <c r="G140" s="24">
        <v>48.6</v>
      </c>
      <c r="H140" s="24" t="s">
        <v>24</v>
      </c>
      <c r="I140" s="24" t="s">
        <v>2341</v>
      </c>
      <c r="J140" s="24" t="s">
        <v>365</v>
      </c>
      <c r="K140" s="24" t="s">
        <v>296</v>
      </c>
      <c r="L140" s="24" t="s">
        <v>240</v>
      </c>
      <c r="M140" s="24" t="s">
        <v>27</v>
      </c>
      <c r="N140" s="24" t="s">
        <v>28</v>
      </c>
      <c r="O140" s="25">
        <v>37055</v>
      </c>
      <c r="P140" s="24"/>
      <c r="Q140" s="24"/>
      <c r="R140" s="24">
        <v>48.6</v>
      </c>
      <c r="S140" s="24" t="s">
        <v>29</v>
      </c>
    </row>
    <row r="141" spans="1:19">
      <c r="A141" s="26">
        <v>5201</v>
      </c>
      <c r="B141" s="26" t="s">
        <v>20</v>
      </c>
      <c r="C141" s="26" t="s">
        <v>21</v>
      </c>
      <c r="D141" s="26" t="s">
        <v>21</v>
      </c>
      <c r="E141" s="26" t="s">
        <v>2342</v>
      </c>
      <c r="F141" s="26" t="s">
        <v>2343</v>
      </c>
      <c r="G141" s="26"/>
      <c r="H141" s="26" t="s">
        <v>24</v>
      </c>
      <c r="I141" s="26" t="s">
        <v>2341</v>
      </c>
      <c r="J141" s="26" t="s">
        <v>365</v>
      </c>
      <c r="K141" s="26" t="s">
        <v>296</v>
      </c>
      <c r="L141" s="26" t="s">
        <v>240</v>
      </c>
      <c r="M141" s="26" t="s">
        <v>27</v>
      </c>
      <c r="N141" s="26" t="s">
        <v>28</v>
      </c>
      <c r="O141" s="27">
        <v>37055</v>
      </c>
      <c r="P141" s="26"/>
      <c r="Q141" s="26"/>
      <c r="R141" s="26">
        <v>3</v>
      </c>
      <c r="S141" s="26" t="s">
        <v>29</v>
      </c>
    </row>
    <row r="142" spans="1:19">
      <c r="A142" s="26">
        <v>5210</v>
      </c>
      <c r="B142" s="26" t="s">
        <v>20</v>
      </c>
      <c r="C142" s="26" t="s">
        <v>21</v>
      </c>
      <c r="D142" s="26" t="s">
        <v>21</v>
      </c>
      <c r="E142" s="26" t="s">
        <v>2344</v>
      </c>
      <c r="F142" s="26" t="s">
        <v>2345</v>
      </c>
      <c r="G142" s="26"/>
      <c r="H142" s="26" t="s">
        <v>24</v>
      </c>
      <c r="I142" s="26" t="s">
        <v>2341</v>
      </c>
      <c r="J142" s="26" t="s">
        <v>365</v>
      </c>
      <c r="K142" s="26" t="s">
        <v>296</v>
      </c>
      <c r="L142" s="26" t="s">
        <v>240</v>
      </c>
      <c r="M142" s="26" t="s">
        <v>27</v>
      </c>
      <c r="N142" s="26" t="s">
        <v>28</v>
      </c>
      <c r="O142" s="27">
        <v>37055</v>
      </c>
      <c r="P142" s="26"/>
      <c r="Q142" s="26"/>
      <c r="R142" s="26">
        <v>3</v>
      </c>
      <c r="S142" s="26" t="s">
        <v>29</v>
      </c>
    </row>
    <row r="143" spans="1:19">
      <c r="A143" s="26">
        <v>5211</v>
      </c>
      <c r="B143" s="26" t="s">
        <v>20</v>
      </c>
      <c r="C143" s="26" t="s">
        <v>21</v>
      </c>
      <c r="D143" s="26" t="s">
        <v>21</v>
      </c>
      <c r="E143" s="26" t="s">
        <v>2346</v>
      </c>
      <c r="F143" s="26" t="s">
        <v>2347</v>
      </c>
      <c r="G143" s="26"/>
      <c r="H143" s="26" t="s">
        <v>24</v>
      </c>
      <c r="I143" s="26" t="s">
        <v>2341</v>
      </c>
      <c r="J143" s="26" t="s">
        <v>365</v>
      </c>
      <c r="K143" s="26" t="s">
        <v>296</v>
      </c>
      <c r="L143" s="26" t="s">
        <v>240</v>
      </c>
      <c r="M143" s="26" t="s">
        <v>27</v>
      </c>
      <c r="N143" s="26" t="s">
        <v>28</v>
      </c>
      <c r="O143" s="27">
        <v>37055</v>
      </c>
      <c r="P143" s="26"/>
      <c r="Q143" s="26"/>
      <c r="R143" s="26">
        <v>3</v>
      </c>
      <c r="S143" s="26" t="s">
        <v>29</v>
      </c>
    </row>
    <row r="144" spans="1:19">
      <c r="A144" s="26">
        <v>5212</v>
      </c>
      <c r="B144" s="26" t="s">
        <v>20</v>
      </c>
      <c r="C144" s="26" t="s">
        <v>21</v>
      </c>
      <c r="D144" s="26" t="s">
        <v>21</v>
      </c>
      <c r="E144" s="26" t="s">
        <v>2348</v>
      </c>
      <c r="F144" s="26" t="s">
        <v>2349</v>
      </c>
      <c r="G144" s="26"/>
      <c r="H144" s="26" t="s">
        <v>24</v>
      </c>
      <c r="I144" s="26" t="s">
        <v>2341</v>
      </c>
      <c r="J144" s="26" t="s">
        <v>365</v>
      </c>
      <c r="K144" s="26" t="s">
        <v>296</v>
      </c>
      <c r="L144" s="26" t="s">
        <v>240</v>
      </c>
      <c r="M144" s="26" t="s">
        <v>27</v>
      </c>
      <c r="N144" s="26" t="s">
        <v>28</v>
      </c>
      <c r="O144" s="27">
        <v>37055</v>
      </c>
      <c r="P144" s="26"/>
      <c r="Q144" s="26"/>
      <c r="R144" s="26">
        <v>3</v>
      </c>
      <c r="S144" s="26" t="s">
        <v>29</v>
      </c>
    </row>
    <row r="145" spans="1:19">
      <c r="A145" s="26">
        <v>5213</v>
      </c>
      <c r="B145" s="26" t="s">
        <v>20</v>
      </c>
      <c r="C145" s="26" t="s">
        <v>21</v>
      </c>
      <c r="D145" s="26" t="s">
        <v>21</v>
      </c>
      <c r="E145" s="26" t="s">
        <v>2350</v>
      </c>
      <c r="F145" s="26" t="s">
        <v>2351</v>
      </c>
      <c r="G145" s="26"/>
      <c r="H145" s="26" t="s">
        <v>24</v>
      </c>
      <c r="I145" s="26" t="s">
        <v>2341</v>
      </c>
      <c r="J145" s="26" t="s">
        <v>365</v>
      </c>
      <c r="K145" s="26" t="s">
        <v>296</v>
      </c>
      <c r="L145" s="26" t="s">
        <v>240</v>
      </c>
      <c r="M145" s="26" t="s">
        <v>27</v>
      </c>
      <c r="N145" s="26" t="s">
        <v>28</v>
      </c>
      <c r="O145" s="27">
        <v>37055</v>
      </c>
      <c r="P145" s="26"/>
      <c r="Q145" s="26"/>
      <c r="R145" s="26">
        <v>3</v>
      </c>
      <c r="S145" s="26" t="s">
        <v>29</v>
      </c>
    </row>
    <row r="146" spans="1:19">
      <c r="A146" s="26">
        <v>5214</v>
      </c>
      <c r="B146" s="26" t="s">
        <v>20</v>
      </c>
      <c r="C146" s="26" t="s">
        <v>21</v>
      </c>
      <c r="D146" s="26" t="s">
        <v>21</v>
      </c>
      <c r="E146" s="26" t="s">
        <v>2352</v>
      </c>
      <c r="F146" s="26" t="s">
        <v>2353</v>
      </c>
      <c r="G146" s="26"/>
      <c r="H146" s="26" t="s">
        <v>24</v>
      </c>
      <c r="I146" s="26" t="s">
        <v>2341</v>
      </c>
      <c r="J146" s="26" t="s">
        <v>365</v>
      </c>
      <c r="K146" s="26" t="s">
        <v>296</v>
      </c>
      <c r="L146" s="26" t="s">
        <v>240</v>
      </c>
      <c r="M146" s="26" t="s">
        <v>27</v>
      </c>
      <c r="N146" s="26" t="s">
        <v>28</v>
      </c>
      <c r="O146" s="27">
        <v>37055</v>
      </c>
      <c r="P146" s="26"/>
      <c r="Q146" s="26"/>
      <c r="R146" s="26">
        <v>3</v>
      </c>
      <c r="S146" s="26" t="s">
        <v>29</v>
      </c>
    </row>
    <row r="147" spans="1:19">
      <c r="A147" s="26">
        <v>5215</v>
      </c>
      <c r="B147" s="26" t="s">
        <v>20</v>
      </c>
      <c r="C147" s="26" t="s">
        <v>21</v>
      </c>
      <c r="D147" s="26" t="s">
        <v>21</v>
      </c>
      <c r="E147" s="26" t="s">
        <v>2354</v>
      </c>
      <c r="F147" s="26" t="s">
        <v>2355</v>
      </c>
      <c r="G147" s="26"/>
      <c r="H147" s="26" t="s">
        <v>24</v>
      </c>
      <c r="I147" s="26" t="s">
        <v>2341</v>
      </c>
      <c r="J147" s="26" t="s">
        <v>365</v>
      </c>
      <c r="K147" s="26" t="s">
        <v>296</v>
      </c>
      <c r="L147" s="26" t="s">
        <v>240</v>
      </c>
      <c r="M147" s="26" t="s">
        <v>27</v>
      </c>
      <c r="N147" s="26" t="s">
        <v>28</v>
      </c>
      <c r="O147" s="27">
        <v>37055</v>
      </c>
      <c r="P147" s="26"/>
      <c r="Q147" s="26"/>
      <c r="R147" s="26">
        <v>3</v>
      </c>
      <c r="S147" s="26" t="s">
        <v>29</v>
      </c>
    </row>
    <row r="148" spans="1:19">
      <c r="A148" s="26">
        <v>5216</v>
      </c>
      <c r="B148" s="26" t="s">
        <v>20</v>
      </c>
      <c r="C148" s="26" t="s">
        <v>21</v>
      </c>
      <c r="D148" s="26" t="s">
        <v>21</v>
      </c>
      <c r="E148" s="26" t="s">
        <v>2356</v>
      </c>
      <c r="F148" s="26" t="s">
        <v>2357</v>
      </c>
      <c r="G148" s="26"/>
      <c r="H148" s="26" t="s">
        <v>24</v>
      </c>
      <c r="I148" s="26" t="s">
        <v>2341</v>
      </c>
      <c r="J148" s="26" t="s">
        <v>365</v>
      </c>
      <c r="K148" s="26" t="s">
        <v>296</v>
      </c>
      <c r="L148" s="26" t="s">
        <v>240</v>
      </c>
      <c r="M148" s="26" t="s">
        <v>27</v>
      </c>
      <c r="N148" s="26" t="s">
        <v>28</v>
      </c>
      <c r="O148" s="27">
        <v>37055</v>
      </c>
      <c r="P148" s="26"/>
      <c r="Q148" s="26"/>
      <c r="R148" s="26">
        <v>3</v>
      </c>
      <c r="S148" s="26" t="s">
        <v>29</v>
      </c>
    </row>
    <row r="149" spans="1:19">
      <c r="A149" s="26">
        <v>5202</v>
      </c>
      <c r="B149" s="26" t="s">
        <v>20</v>
      </c>
      <c r="C149" s="26" t="s">
        <v>21</v>
      </c>
      <c r="D149" s="26" t="s">
        <v>21</v>
      </c>
      <c r="E149" s="26" t="s">
        <v>2358</v>
      </c>
      <c r="F149" s="26" t="s">
        <v>2359</v>
      </c>
      <c r="G149" s="26"/>
      <c r="H149" s="26" t="s">
        <v>24</v>
      </c>
      <c r="I149" s="26" t="s">
        <v>2341</v>
      </c>
      <c r="J149" s="26" t="s">
        <v>365</v>
      </c>
      <c r="K149" s="26" t="s">
        <v>296</v>
      </c>
      <c r="L149" s="26" t="s">
        <v>240</v>
      </c>
      <c r="M149" s="26" t="s">
        <v>27</v>
      </c>
      <c r="N149" s="26" t="s">
        <v>28</v>
      </c>
      <c r="O149" s="27">
        <v>37055</v>
      </c>
      <c r="P149" s="26"/>
      <c r="Q149" s="26"/>
      <c r="R149" s="26">
        <v>3</v>
      </c>
      <c r="S149" s="26" t="s">
        <v>29</v>
      </c>
    </row>
    <row r="150" spans="1:19">
      <c r="A150" s="26">
        <v>5203</v>
      </c>
      <c r="B150" s="26" t="s">
        <v>20</v>
      </c>
      <c r="C150" s="26" t="s">
        <v>21</v>
      </c>
      <c r="D150" s="26" t="s">
        <v>21</v>
      </c>
      <c r="E150" s="26" t="s">
        <v>2360</v>
      </c>
      <c r="F150" s="26" t="s">
        <v>2361</v>
      </c>
      <c r="G150" s="26"/>
      <c r="H150" s="26" t="s">
        <v>24</v>
      </c>
      <c r="I150" s="26" t="s">
        <v>2341</v>
      </c>
      <c r="J150" s="26" t="s">
        <v>365</v>
      </c>
      <c r="K150" s="26" t="s">
        <v>296</v>
      </c>
      <c r="L150" s="26" t="s">
        <v>240</v>
      </c>
      <c r="M150" s="26" t="s">
        <v>27</v>
      </c>
      <c r="N150" s="26" t="s">
        <v>28</v>
      </c>
      <c r="O150" s="27">
        <v>37055</v>
      </c>
      <c r="P150" s="26"/>
      <c r="Q150" s="26"/>
      <c r="R150" s="26">
        <v>3</v>
      </c>
      <c r="S150" s="26" t="s">
        <v>29</v>
      </c>
    </row>
    <row r="151" spans="1:19">
      <c r="A151" s="26">
        <v>5204</v>
      </c>
      <c r="B151" s="26" t="s">
        <v>20</v>
      </c>
      <c r="C151" s="26" t="s">
        <v>21</v>
      </c>
      <c r="D151" s="26" t="s">
        <v>21</v>
      </c>
      <c r="E151" s="26" t="s">
        <v>2362</v>
      </c>
      <c r="F151" s="26" t="s">
        <v>2363</v>
      </c>
      <c r="G151" s="26"/>
      <c r="H151" s="26" t="s">
        <v>24</v>
      </c>
      <c r="I151" s="26" t="s">
        <v>2341</v>
      </c>
      <c r="J151" s="26" t="s">
        <v>365</v>
      </c>
      <c r="K151" s="26" t="s">
        <v>296</v>
      </c>
      <c r="L151" s="26" t="s">
        <v>240</v>
      </c>
      <c r="M151" s="26" t="s">
        <v>27</v>
      </c>
      <c r="N151" s="26" t="s">
        <v>28</v>
      </c>
      <c r="O151" s="27">
        <v>37055</v>
      </c>
      <c r="P151" s="26"/>
      <c r="Q151" s="26"/>
      <c r="R151" s="26">
        <v>3</v>
      </c>
      <c r="S151" s="26" t="s">
        <v>29</v>
      </c>
    </row>
    <row r="152" spans="1:19">
      <c r="A152" s="26">
        <v>5205</v>
      </c>
      <c r="B152" s="26" t="s">
        <v>20</v>
      </c>
      <c r="C152" s="26" t="s">
        <v>21</v>
      </c>
      <c r="D152" s="26" t="s">
        <v>21</v>
      </c>
      <c r="E152" s="26" t="s">
        <v>2364</v>
      </c>
      <c r="F152" s="26" t="s">
        <v>2365</v>
      </c>
      <c r="G152" s="26"/>
      <c r="H152" s="26" t="s">
        <v>24</v>
      </c>
      <c r="I152" s="26" t="s">
        <v>2341</v>
      </c>
      <c r="J152" s="26" t="s">
        <v>365</v>
      </c>
      <c r="K152" s="26" t="s">
        <v>296</v>
      </c>
      <c r="L152" s="26" t="s">
        <v>240</v>
      </c>
      <c r="M152" s="26" t="s">
        <v>27</v>
      </c>
      <c r="N152" s="26" t="s">
        <v>28</v>
      </c>
      <c r="O152" s="27">
        <v>37055</v>
      </c>
      <c r="P152" s="26"/>
      <c r="Q152" s="26"/>
      <c r="R152" s="26">
        <v>3</v>
      </c>
      <c r="S152" s="26" t="s">
        <v>29</v>
      </c>
    </row>
    <row r="153" spans="1:19">
      <c r="A153" s="26">
        <v>5206</v>
      </c>
      <c r="B153" s="26" t="s">
        <v>20</v>
      </c>
      <c r="C153" s="26" t="s">
        <v>21</v>
      </c>
      <c r="D153" s="26" t="s">
        <v>21</v>
      </c>
      <c r="E153" s="26" t="s">
        <v>2366</v>
      </c>
      <c r="F153" s="26" t="s">
        <v>2367</v>
      </c>
      <c r="G153" s="26"/>
      <c r="H153" s="26" t="s">
        <v>24</v>
      </c>
      <c r="I153" s="26" t="s">
        <v>2341</v>
      </c>
      <c r="J153" s="26" t="s">
        <v>365</v>
      </c>
      <c r="K153" s="26" t="s">
        <v>296</v>
      </c>
      <c r="L153" s="26" t="s">
        <v>240</v>
      </c>
      <c r="M153" s="26" t="s">
        <v>27</v>
      </c>
      <c r="N153" s="26" t="s">
        <v>28</v>
      </c>
      <c r="O153" s="27">
        <v>37055</v>
      </c>
      <c r="P153" s="26"/>
      <c r="Q153" s="26"/>
      <c r="R153" s="26">
        <v>3</v>
      </c>
      <c r="S153" s="26" t="s">
        <v>29</v>
      </c>
    </row>
    <row r="154" spans="1:19">
      <c r="A154" s="26">
        <v>5207</v>
      </c>
      <c r="B154" s="26" t="s">
        <v>20</v>
      </c>
      <c r="C154" s="26" t="s">
        <v>21</v>
      </c>
      <c r="D154" s="26" t="s">
        <v>21</v>
      </c>
      <c r="E154" s="26" t="s">
        <v>2368</v>
      </c>
      <c r="F154" s="26" t="s">
        <v>2369</v>
      </c>
      <c r="G154" s="26"/>
      <c r="H154" s="26" t="s">
        <v>24</v>
      </c>
      <c r="I154" s="26" t="s">
        <v>2341</v>
      </c>
      <c r="J154" s="26" t="s">
        <v>365</v>
      </c>
      <c r="K154" s="26" t="s">
        <v>296</v>
      </c>
      <c r="L154" s="26" t="s">
        <v>240</v>
      </c>
      <c r="M154" s="26" t="s">
        <v>27</v>
      </c>
      <c r="N154" s="26" t="s">
        <v>28</v>
      </c>
      <c r="O154" s="27">
        <v>37055</v>
      </c>
      <c r="P154" s="26"/>
      <c r="Q154" s="26"/>
      <c r="R154" s="26">
        <v>3</v>
      </c>
      <c r="S154" s="26" t="s">
        <v>29</v>
      </c>
    </row>
    <row r="155" spans="1:19">
      <c r="A155" s="26">
        <v>5208</v>
      </c>
      <c r="B155" s="26" t="s">
        <v>20</v>
      </c>
      <c r="C155" s="26" t="s">
        <v>21</v>
      </c>
      <c r="D155" s="26" t="s">
        <v>21</v>
      </c>
      <c r="E155" s="26" t="s">
        <v>2370</v>
      </c>
      <c r="F155" s="26" t="s">
        <v>2371</v>
      </c>
      <c r="G155" s="26"/>
      <c r="H155" s="26" t="s">
        <v>24</v>
      </c>
      <c r="I155" s="26" t="s">
        <v>2341</v>
      </c>
      <c r="J155" s="26" t="s">
        <v>365</v>
      </c>
      <c r="K155" s="26" t="s">
        <v>296</v>
      </c>
      <c r="L155" s="26" t="s">
        <v>240</v>
      </c>
      <c r="M155" s="26" t="s">
        <v>27</v>
      </c>
      <c r="N155" s="26" t="s">
        <v>28</v>
      </c>
      <c r="O155" s="27">
        <v>37055</v>
      </c>
      <c r="P155" s="26"/>
      <c r="Q155" s="26"/>
      <c r="R155" s="26">
        <v>3</v>
      </c>
      <c r="S155" s="26" t="s">
        <v>29</v>
      </c>
    </row>
    <row r="156" spans="1:19">
      <c r="A156" s="26">
        <v>5209</v>
      </c>
      <c r="B156" s="26" t="s">
        <v>20</v>
      </c>
      <c r="C156" s="26" t="s">
        <v>21</v>
      </c>
      <c r="D156" s="26" t="s">
        <v>21</v>
      </c>
      <c r="E156" s="26" t="s">
        <v>2372</v>
      </c>
      <c r="F156" s="26" t="s">
        <v>2373</v>
      </c>
      <c r="G156" s="26"/>
      <c r="H156" s="26" t="s">
        <v>24</v>
      </c>
      <c r="I156" s="26" t="s">
        <v>2341</v>
      </c>
      <c r="J156" s="26" t="s">
        <v>365</v>
      </c>
      <c r="K156" s="26" t="s">
        <v>296</v>
      </c>
      <c r="L156" s="26" t="s">
        <v>240</v>
      </c>
      <c r="M156" s="26" t="s">
        <v>27</v>
      </c>
      <c r="N156" s="26" t="s">
        <v>28</v>
      </c>
      <c r="O156" s="27">
        <v>37055</v>
      </c>
      <c r="P156" s="26"/>
      <c r="Q156" s="26"/>
      <c r="R156" s="26">
        <v>3</v>
      </c>
      <c r="S156" s="26" t="s">
        <v>29</v>
      </c>
    </row>
    <row r="157" spans="1:19">
      <c r="A157" s="28">
        <v>84000</v>
      </c>
      <c r="B157" s="28" t="s">
        <v>20</v>
      </c>
      <c r="C157" s="28" t="s">
        <v>21</v>
      </c>
      <c r="D157" s="28" t="s">
        <v>21</v>
      </c>
      <c r="E157" s="28" t="s">
        <v>2636</v>
      </c>
      <c r="F157" s="28" t="s">
        <v>2637</v>
      </c>
      <c r="G157" s="28">
        <v>180</v>
      </c>
      <c r="H157" s="28" t="s">
        <v>143</v>
      </c>
      <c r="I157" s="28" t="s">
        <v>2638</v>
      </c>
      <c r="J157" s="28" t="s">
        <v>365</v>
      </c>
      <c r="K157" s="28" t="s">
        <v>580</v>
      </c>
      <c r="L157" s="28" t="s">
        <v>240</v>
      </c>
      <c r="M157" s="28" t="s">
        <v>38</v>
      </c>
      <c r="N157" s="28" t="s">
        <v>144</v>
      </c>
      <c r="O157" s="29">
        <v>37822</v>
      </c>
      <c r="P157" s="28"/>
      <c r="Q157" s="28"/>
      <c r="R157" s="28">
        <v>181.5</v>
      </c>
      <c r="S157" s="28" t="s">
        <v>29</v>
      </c>
    </row>
    <row r="158" spans="1:19" ht="143.25">
      <c r="A158" s="28">
        <v>103200</v>
      </c>
      <c r="B158" s="28" t="s">
        <v>20</v>
      </c>
      <c r="C158" s="28" t="s">
        <v>21</v>
      </c>
      <c r="D158" s="28" t="s">
        <v>21</v>
      </c>
      <c r="E158" s="28" t="s">
        <v>3042</v>
      </c>
      <c r="F158" s="28" t="s">
        <v>3043</v>
      </c>
      <c r="G158" s="28">
        <v>10</v>
      </c>
      <c r="H158" s="28" t="s">
        <v>5</v>
      </c>
      <c r="I158" s="28" t="s">
        <v>3044</v>
      </c>
      <c r="J158" s="28" t="s">
        <v>1025</v>
      </c>
      <c r="K158" s="28" t="s">
        <v>2138</v>
      </c>
      <c r="L158" s="28" t="s">
        <v>1026</v>
      </c>
      <c r="M158" s="28" t="s">
        <v>38</v>
      </c>
      <c r="N158" s="28" t="s">
        <v>39</v>
      </c>
      <c r="O158" s="29">
        <v>40819</v>
      </c>
      <c r="P158" s="28" t="s">
        <v>3045</v>
      </c>
      <c r="Q158" s="28"/>
      <c r="R158" s="28">
        <v>10</v>
      </c>
      <c r="S158" s="28" t="s">
        <v>29</v>
      </c>
    </row>
    <row r="159" spans="1:19">
      <c r="A159" s="28">
        <v>5400</v>
      </c>
      <c r="B159" s="28" t="s">
        <v>20</v>
      </c>
      <c r="C159" s="28" t="s">
        <v>21</v>
      </c>
      <c r="D159" s="28" t="s">
        <v>21</v>
      </c>
      <c r="E159" s="28" t="s">
        <v>67</v>
      </c>
      <c r="F159" s="28" t="s">
        <v>68</v>
      </c>
      <c r="G159" s="28">
        <v>0.9</v>
      </c>
      <c r="H159" s="28" t="s">
        <v>24</v>
      </c>
      <c r="I159" s="28" t="s">
        <v>4</v>
      </c>
      <c r="J159" s="28" t="s">
        <v>25</v>
      </c>
      <c r="K159" s="28" t="s">
        <v>25</v>
      </c>
      <c r="L159" s="28" t="s">
        <v>26</v>
      </c>
      <c r="M159" s="28" t="s">
        <v>27</v>
      </c>
      <c r="N159" s="28" t="s">
        <v>28</v>
      </c>
      <c r="O159" s="29">
        <v>2558</v>
      </c>
      <c r="P159" s="28"/>
      <c r="Q159" s="28" t="s">
        <v>65</v>
      </c>
      <c r="R159" s="28">
        <v>0.9</v>
      </c>
      <c r="S159" s="28" t="s">
        <v>29</v>
      </c>
    </row>
    <row r="160" spans="1:19">
      <c r="A160" s="28">
        <v>5500</v>
      </c>
      <c r="B160" s="28" t="s">
        <v>20</v>
      </c>
      <c r="C160" s="28" t="s">
        <v>21</v>
      </c>
      <c r="D160" s="28" t="s">
        <v>21</v>
      </c>
      <c r="E160" s="28" t="s">
        <v>735</v>
      </c>
      <c r="F160" s="28" t="s">
        <v>736</v>
      </c>
      <c r="G160" s="28">
        <v>13</v>
      </c>
      <c r="H160" s="28" t="s">
        <v>24</v>
      </c>
      <c r="I160" s="28" t="s">
        <v>4</v>
      </c>
      <c r="J160" s="28" t="s">
        <v>25</v>
      </c>
      <c r="K160" s="28" t="s">
        <v>25</v>
      </c>
      <c r="L160" s="28" t="s">
        <v>26</v>
      </c>
      <c r="M160" s="28" t="s">
        <v>27</v>
      </c>
      <c r="N160" s="28" t="s">
        <v>28</v>
      </c>
      <c r="O160" s="29">
        <v>28856</v>
      </c>
      <c r="P160" s="28"/>
      <c r="Q160" s="28" t="s">
        <v>737</v>
      </c>
      <c r="R160" s="28">
        <v>13</v>
      </c>
      <c r="S160" s="28" t="s">
        <v>29</v>
      </c>
    </row>
    <row r="161" spans="1:19" ht="29.25">
      <c r="A161" s="24">
        <v>5800</v>
      </c>
      <c r="B161" s="24" t="s">
        <v>20</v>
      </c>
      <c r="C161" s="24" t="s">
        <v>21</v>
      </c>
      <c r="D161" s="24" t="s">
        <v>30</v>
      </c>
      <c r="E161" s="24" t="s">
        <v>3120</v>
      </c>
      <c r="F161" s="24" t="s">
        <v>3121</v>
      </c>
      <c r="G161" s="24">
        <v>246.86</v>
      </c>
      <c r="H161" s="24" t="s">
        <v>24</v>
      </c>
      <c r="I161" s="24" t="s">
        <v>859</v>
      </c>
      <c r="J161" s="24" t="s">
        <v>25</v>
      </c>
      <c r="K161" s="24" t="s">
        <v>25</v>
      </c>
      <c r="L161" s="24" t="s">
        <v>26</v>
      </c>
      <c r="M161" s="24" t="s">
        <v>27</v>
      </c>
      <c r="N161" s="24" t="s">
        <v>28</v>
      </c>
      <c r="O161" s="24" t="s">
        <v>4687</v>
      </c>
      <c r="P161" s="24"/>
      <c r="Q161" s="24"/>
      <c r="R161" s="24">
        <v>252.5</v>
      </c>
      <c r="S161" s="24" t="s">
        <v>29</v>
      </c>
    </row>
    <row r="162" spans="1:19">
      <c r="A162" s="26">
        <v>5801</v>
      </c>
      <c r="B162" s="26" t="s">
        <v>20</v>
      </c>
      <c r="C162" s="26" t="s">
        <v>21</v>
      </c>
      <c r="D162" s="26" t="s">
        <v>21</v>
      </c>
      <c r="E162" s="26" t="s">
        <v>3122</v>
      </c>
      <c r="F162" s="26" t="s">
        <v>3123</v>
      </c>
      <c r="G162" s="26">
        <v>126.5</v>
      </c>
      <c r="H162" s="26" t="s">
        <v>24</v>
      </c>
      <c r="I162" s="26" t="s">
        <v>859</v>
      </c>
      <c r="J162" s="26" t="s">
        <v>25</v>
      </c>
      <c r="K162" s="26" t="s">
        <v>25</v>
      </c>
      <c r="L162" s="26" t="s">
        <v>26</v>
      </c>
      <c r="M162" s="26" t="s">
        <v>27</v>
      </c>
      <c r="N162" s="26" t="s">
        <v>28</v>
      </c>
      <c r="O162" s="26" t="s">
        <v>4687</v>
      </c>
      <c r="P162" s="26"/>
      <c r="Q162" s="26"/>
      <c r="R162" s="26">
        <v>126.5</v>
      </c>
      <c r="S162" s="26" t="s">
        <v>29</v>
      </c>
    </row>
    <row r="163" spans="1:19">
      <c r="A163" s="26">
        <v>5802</v>
      </c>
      <c r="B163" s="26" t="s">
        <v>20</v>
      </c>
      <c r="C163" s="26" t="s">
        <v>21</v>
      </c>
      <c r="D163" s="26" t="s">
        <v>21</v>
      </c>
      <c r="E163" s="26" t="s">
        <v>3124</v>
      </c>
      <c r="F163" s="26" t="s">
        <v>3125</v>
      </c>
      <c r="G163" s="26">
        <v>126</v>
      </c>
      <c r="H163" s="26" t="s">
        <v>24</v>
      </c>
      <c r="I163" s="26" t="s">
        <v>859</v>
      </c>
      <c r="J163" s="26" t="s">
        <v>25</v>
      </c>
      <c r="K163" s="26" t="s">
        <v>25</v>
      </c>
      <c r="L163" s="26" t="s">
        <v>26</v>
      </c>
      <c r="M163" s="26" t="s">
        <v>27</v>
      </c>
      <c r="N163" s="26" t="s">
        <v>28</v>
      </c>
      <c r="O163" s="26" t="s">
        <v>4687</v>
      </c>
      <c r="P163" s="26"/>
      <c r="Q163" s="26"/>
      <c r="R163" s="26">
        <v>126</v>
      </c>
      <c r="S163" s="26" t="s">
        <v>29</v>
      </c>
    </row>
    <row r="164" spans="1:19" ht="29.25">
      <c r="A164" s="24">
        <v>42300</v>
      </c>
      <c r="B164" s="24" t="s">
        <v>20</v>
      </c>
      <c r="C164" s="24" t="s">
        <v>30</v>
      </c>
      <c r="D164" s="24" t="s">
        <v>30</v>
      </c>
      <c r="E164" s="24" t="s">
        <v>3126</v>
      </c>
      <c r="F164" s="24" t="s">
        <v>3127</v>
      </c>
      <c r="G164" s="24">
        <v>25.8</v>
      </c>
      <c r="H164" s="24" t="s">
        <v>24</v>
      </c>
      <c r="I164" s="24" t="s">
        <v>3128</v>
      </c>
      <c r="J164" s="24" t="s">
        <v>694</v>
      </c>
      <c r="K164" s="24" t="s">
        <v>705</v>
      </c>
      <c r="L164" s="24" t="s">
        <v>240</v>
      </c>
      <c r="M164" s="24" t="s">
        <v>27</v>
      </c>
      <c r="N164" s="24" t="s">
        <v>774</v>
      </c>
      <c r="O164" s="24" t="s">
        <v>4687</v>
      </c>
      <c r="P164" s="24"/>
      <c r="Q164" s="24"/>
      <c r="R164" s="24">
        <v>25.8</v>
      </c>
      <c r="S164" s="24" t="s">
        <v>29</v>
      </c>
    </row>
    <row r="165" spans="1:19" ht="29.25">
      <c r="A165" s="26">
        <v>42301</v>
      </c>
      <c r="B165" s="26" t="s">
        <v>20</v>
      </c>
      <c r="C165" s="26" t="s">
        <v>30</v>
      </c>
      <c r="D165" s="26" t="s">
        <v>21</v>
      </c>
      <c r="E165" s="26" t="s">
        <v>3129</v>
      </c>
      <c r="F165" s="26" t="s">
        <v>3130</v>
      </c>
      <c r="G165" s="26"/>
      <c r="H165" s="26" t="s">
        <v>24</v>
      </c>
      <c r="I165" s="26" t="s">
        <v>3128</v>
      </c>
      <c r="J165" s="26" t="s">
        <v>694</v>
      </c>
      <c r="K165" s="26" t="s">
        <v>580</v>
      </c>
      <c r="L165" s="26" t="s">
        <v>240</v>
      </c>
      <c r="M165" s="26" t="s">
        <v>27</v>
      </c>
      <c r="N165" s="26" t="s">
        <v>774</v>
      </c>
      <c r="O165" s="26" t="s">
        <v>4687</v>
      </c>
      <c r="P165" s="26"/>
      <c r="Q165" s="26"/>
      <c r="R165" s="26">
        <v>22</v>
      </c>
      <c r="S165" s="26" t="s">
        <v>29</v>
      </c>
    </row>
    <row r="166" spans="1:19" ht="29.25">
      <c r="A166" s="26">
        <v>42302</v>
      </c>
      <c r="B166" s="26" t="s">
        <v>20</v>
      </c>
      <c r="C166" s="26" t="s">
        <v>30</v>
      </c>
      <c r="D166" s="26" t="s">
        <v>21</v>
      </c>
      <c r="E166" s="26" t="s">
        <v>3131</v>
      </c>
      <c r="F166" s="26" t="s">
        <v>3130</v>
      </c>
      <c r="G166" s="26"/>
      <c r="H166" s="26" t="s">
        <v>24</v>
      </c>
      <c r="I166" s="26" t="s">
        <v>3128</v>
      </c>
      <c r="J166" s="26" t="s">
        <v>694</v>
      </c>
      <c r="K166" s="26" t="s">
        <v>366</v>
      </c>
      <c r="L166" s="26" t="s">
        <v>712</v>
      </c>
      <c r="M166" s="26" t="s">
        <v>27</v>
      </c>
      <c r="N166" s="26" t="s">
        <v>774</v>
      </c>
      <c r="O166" s="26" t="s">
        <v>4687</v>
      </c>
      <c r="P166" s="26"/>
      <c r="Q166" s="26"/>
      <c r="R166" s="26">
        <v>3.8</v>
      </c>
      <c r="S166" s="26" t="s">
        <v>29</v>
      </c>
    </row>
    <row r="167" spans="1:19" ht="29.25">
      <c r="A167" s="28">
        <v>32400</v>
      </c>
      <c r="B167" s="28" t="s">
        <v>20</v>
      </c>
      <c r="C167" s="28" t="s">
        <v>30</v>
      </c>
      <c r="D167" s="28" t="s">
        <v>21</v>
      </c>
      <c r="E167" s="28" t="s">
        <v>851</v>
      </c>
      <c r="F167" s="28" t="s">
        <v>852</v>
      </c>
      <c r="G167" s="28">
        <v>19</v>
      </c>
      <c r="H167" s="28" t="s">
        <v>24</v>
      </c>
      <c r="I167" s="28" t="s">
        <v>853</v>
      </c>
      <c r="J167" s="28" t="s">
        <v>694</v>
      </c>
      <c r="K167" s="28" t="s">
        <v>366</v>
      </c>
      <c r="L167" s="28" t="s">
        <v>854</v>
      </c>
      <c r="M167" s="28" t="s">
        <v>27</v>
      </c>
      <c r="N167" s="28" t="s">
        <v>28</v>
      </c>
      <c r="O167" s="29">
        <v>30317</v>
      </c>
      <c r="P167" s="28"/>
      <c r="Q167" s="28"/>
      <c r="R167" s="28">
        <v>20</v>
      </c>
      <c r="S167" s="28" t="s">
        <v>29</v>
      </c>
    </row>
    <row r="168" spans="1:19" ht="29.25">
      <c r="A168" s="24">
        <v>6500</v>
      </c>
      <c r="B168" s="24" t="s">
        <v>20</v>
      </c>
      <c r="C168" s="24" t="s">
        <v>21</v>
      </c>
      <c r="D168" s="24" t="s">
        <v>30</v>
      </c>
      <c r="E168" s="24" t="s">
        <v>702</v>
      </c>
      <c r="F168" s="24" t="s">
        <v>703</v>
      </c>
      <c r="G168" s="24">
        <v>245.3</v>
      </c>
      <c r="H168" s="24" t="s">
        <v>5</v>
      </c>
      <c r="I168" s="24" t="s">
        <v>704</v>
      </c>
      <c r="J168" s="24" t="s">
        <v>365</v>
      </c>
      <c r="K168" s="24" t="s">
        <v>705</v>
      </c>
      <c r="L168" s="24" t="s">
        <v>240</v>
      </c>
      <c r="M168" s="24" t="s">
        <v>38</v>
      </c>
      <c r="N168" s="24" t="s">
        <v>39</v>
      </c>
      <c r="O168" s="25">
        <v>28491</v>
      </c>
      <c r="P168" s="24"/>
      <c r="Q168" s="24"/>
      <c r="R168" s="24">
        <v>256</v>
      </c>
      <c r="S168" s="24" t="s">
        <v>29</v>
      </c>
    </row>
    <row r="169" spans="1:19">
      <c r="A169" s="26">
        <v>6501</v>
      </c>
      <c r="B169" s="26" t="s">
        <v>20</v>
      </c>
      <c r="C169" s="26" t="s">
        <v>21</v>
      </c>
      <c r="D169" s="26" t="s">
        <v>21</v>
      </c>
      <c r="E169" s="26" t="s">
        <v>706</v>
      </c>
      <c r="F169" s="26" t="s">
        <v>707</v>
      </c>
      <c r="G169" s="26">
        <v>73</v>
      </c>
      <c r="H169" s="26" t="s">
        <v>5</v>
      </c>
      <c r="I169" s="26" t="s">
        <v>704</v>
      </c>
      <c r="J169" s="26" t="s">
        <v>365</v>
      </c>
      <c r="K169" s="26" t="s">
        <v>580</v>
      </c>
      <c r="L169" s="26" t="s">
        <v>240</v>
      </c>
      <c r="M169" s="26" t="s">
        <v>38</v>
      </c>
      <c r="N169" s="26" t="s">
        <v>39</v>
      </c>
      <c r="O169" s="27">
        <v>28491</v>
      </c>
      <c r="P169" s="26"/>
      <c r="Q169" s="26"/>
      <c r="R169" s="26">
        <v>73</v>
      </c>
      <c r="S169" s="26" t="s">
        <v>29</v>
      </c>
    </row>
    <row r="170" spans="1:19">
      <c r="A170" s="26">
        <v>6502</v>
      </c>
      <c r="B170" s="26" t="s">
        <v>20</v>
      </c>
      <c r="C170" s="26" t="s">
        <v>21</v>
      </c>
      <c r="D170" s="26" t="s">
        <v>21</v>
      </c>
      <c r="E170" s="26" t="s">
        <v>708</v>
      </c>
      <c r="F170" s="26" t="s">
        <v>709</v>
      </c>
      <c r="G170" s="26">
        <v>73</v>
      </c>
      <c r="H170" s="26" t="s">
        <v>5</v>
      </c>
      <c r="I170" s="26" t="s">
        <v>704</v>
      </c>
      <c r="J170" s="26" t="s">
        <v>365</v>
      </c>
      <c r="K170" s="26" t="s">
        <v>580</v>
      </c>
      <c r="L170" s="26" t="s">
        <v>240</v>
      </c>
      <c r="M170" s="26" t="s">
        <v>38</v>
      </c>
      <c r="N170" s="26" t="s">
        <v>39</v>
      </c>
      <c r="O170" s="27">
        <v>28491</v>
      </c>
      <c r="P170" s="26"/>
      <c r="Q170" s="26"/>
      <c r="R170" s="26">
        <v>73</v>
      </c>
      <c r="S170" s="26" t="s">
        <v>29</v>
      </c>
    </row>
    <row r="171" spans="1:19">
      <c r="A171" s="26">
        <v>6503</v>
      </c>
      <c r="B171" s="26" t="s">
        <v>20</v>
      </c>
      <c r="C171" s="26" t="s">
        <v>21</v>
      </c>
      <c r="D171" s="26" t="s">
        <v>21</v>
      </c>
      <c r="E171" s="26" t="s">
        <v>710</v>
      </c>
      <c r="F171" s="26" t="s">
        <v>711</v>
      </c>
      <c r="G171" s="26">
        <v>110</v>
      </c>
      <c r="H171" s="26" t="s">
        <v>5</v>
      </c>
      <c r="I171" s="26" t="s">
        <v>704</v>
      </c>
      <c r="J171" s="26" t="s">
        <v>365</v>
      </c>
      <c r="K171" s="26" t="s">
        <v>366</v>
      </c>
      <c r="L171" s="26" t="s">
        <v>712</v>
      </c>
      <c r="M171" s="26" t="s">
        <v>38</v>
      </c>
      <c r="N171" s="26" t="s">
        <v>39</v>
      </c>
      <c r="O171" s="27">
        <v>28491</v>
      </c>
      <c r="P171" s="26"/>
      <c r="Q171" s="26"/>
      <c r="R171" s="26">
        <v>110</v>
      </c>
      <c r="S171" s="26" t="s">
        <v>29</v>
      </c>
    </row>
    <row r="172" spans="1:19" ht="29.25">
      <c r="A172" s="24">
        <v>6600</v>
      </c>
      <c r="B172" s="24" t="s">
        <v>20</v>
      </c>
      <c r="C172" s="24" t="s">
        <v>21</v>
      </c>
      <c r="D172" s="24" t="s">
        <v>30</v>
      </c>
      <c r="E172" s="24" t="s">
        <v>713</v>
      </c>
      <c r="F172" s="24" t="s">
        <v>714</v>
      </c>
      <c r="G172" s="24">
        <v>245.9</v>
      </c>
      <c r="H172" s="24" t="s">
        <v>5</v>
      </c>
      <c r="I172" s="24" t="s">
        <v>704</v>
      </c>
      <c r="J172" s="24" t="s">
        <v>365</v>
      </c>
      <c r="K172" s="24" t="s">
        <v>705</v>
      </c>
      <c r="L172" s="24" t="s">
        <v>240</v>
      </c>
      <c r="M172" s="24" t="s">
        <v>38</v>
      </c>
      <c r="N172" s="24" t="s">
        <v>39</v>
      </c>
      <c r="O172" s="25">
        <v>28491</v>
      </c>
      <c r="P172" s="24"/>
      <c r="Q172" s="24"/>
      <c r="R172" s="24">
        <v>256</v>
      </c>
      <c r="S172" s="24" t="s">
        <v>29</v>
      </c>
    </row>
    <row r="173" spans="1:19">
      <c r="A173" s="26">
        <v>6601</v>
      </c>
      <c r="B173" s="26" t="s">
        <v>20</v>
      </c>
      <c r="C173" s="26" t="s">
        <v>21</v>
      </c>
      <c r="D173" s="26" t="s">
        <v>21</v>
      </c>
      <c r="E173" s="26" t="s">
        <v>715</v>
      </c>
      <c r="F173" s="26" t="s">
        <v>716</v>
      </c>
      <c r="G173" s="26">
        <v>73</v>
      </c>
      <c r="H173" s="26" t="s">
        <v>5</v>
      </c>
      <c r="I173" s="26" t="s">
        <v>704</v>
      </c>
      <c r="J173" s="26" t="s">
        <v>365</v>
      </c>
      <c r="K173" s="26" t="s">
        <v>580</v>
      </c>
      <c r="L173" s="26" t="s">
        <v>240</v>
      </c>
      <c r="M173" s="26" t="s">
        <v>38</v>
      </c>
      <c r="N173" s="26" t="s">
        <v>39</v>
      </c>
      <c r="O173" s="27">
        <v>28491</v>
      </c>
      <c r="P173" s="26"/>
      <c r="Q173" s="26"/>
      <c r="R173" s="26">
        <v>73</v>
      </c>
      <c r="S173" s="26" t="s">
        <v>29</v>
      </c>
    </row>
    <row r="174" spans="1:19">
      <c r="A174" s="26">
        <v>6602</v>
      </c>
      <c r="B174" s="26" t="s">
        <v>20</v>
      </c>
      <c r="C174" s="26" t="s">
        <v>21</v>
      </c>
      <c r="D174" s="26" t="s">
        <v>21</v>
      </c>
      <c r="E174" s="26" t="s">
        <v>717</v>
      </c>
      <c r="F174" s="26" t="s">
        <v>718</v>
      </c>
      <c r="G174" s="26">
        <v>73</v>
      </c>
      <c r="H174" s="26" t="s">
        <v>5</v>
      </c>
      <c r="I174" s="26" t="s">
        <v>704</v>
      </c>
      <c r="J174" s="26" t="s">
        <v>365</v>
      </c>
      <c r="K174" s="26" t="s">
        <v>580</v>
      </c>
      <c r="L174" s="26" t="s">
        <v>240</v>
      </c>
      <c r="M174" s="26" t="s">
        <v>38</v>
      </c>
      <c r="N174" s="26" t="s">
        <v>39</v>
      </c>
      <c r="O174" s="27">
        <v>28491</v>
      </c>
      <c r="P174" s="26"/>
      <c r="Q174" s="26"/>
      <c r="R174" s="26">
        <v>73</v>
      </c>
      <c r="S174" s="26" t="s">
        <v>29</v>
      </c>
    </row>
    <row r="175" spans="1:19">
      <c r="A175" s="26">
        <v>6603</v>
      </c>
      <c r="B175" s="26" t="s">
        <v>20</v>
      </c>
      <c r="C175" s="26" t="s">
        <v>21</v>
      </c>
      <c r="D175" s="26" t="s">
        <v>21</v>
      </c>
      <c r="E175" s="26" t="s">
        <v>719</v>
      </c>
      <c r="F175" s="26" t="s">
        <v>720</v>
      </c>
      <c r="G175" s="26">
        <v>110</v>
      </c>
      <c r="H175" s="26" t="s">
        <v>5</v>
      </c>
      <c r="I175" s="26" t="s">
        <v>704</v>
      </c>
      <c r="J175" s="26" t="s">
        <v>365</v>
      </c>
      <c r="K175" s="26" t="s">
        <v>366</v>
      </c>
      <c r="L175" s="26" t="s">
        <v>712</v>
      </c>
      <c r="M175" s="26" t="s">
        <v>38</v>
      </c>
      <c r="N175" s="26" t="s">
        <v>39</v>
      </c>
      <c r="O175" s="27">
        <v>28491</v>
      </c>
      <c r="P175" s="26"/>
      <c r="Q175" s="26"/>
      <c r="R175" s="26">
        <v>110</v>
      </c>
      <c r="S175" s="26" t="s">
        <v>29</v>
      </c>
    </row>
    <row r="176" spans="1:19" ht="29.25">
      <c r="A176" s="24">
        <v>43100</v>
      </c>
      <c r="B176" s="24" t="s">
        <v>20</v>
      </c>
      <c r="C176" s="24" t="s">
        <v>30</v>
      </c>
      <c r="D176" s="24" t="s">
        <v>30</v>
      </c>
      <c r="E176" s="24" t="s">
        <v>1910</v>
      </c>
      <c r="F176" s="24" t="s">
        <v>1911</v>
      </c>
      <c r="G176" s="24">
        <v>99</v>
      </c>
      <c r="H176" s="24" t="s">
        <v>5</v>
      </c>
      <c r="I176" s="24">
        <v>3029</v>
      </c>
      <c r="J176" s="24" t="s">
        <v>644</v>
      </c>
      <c r="K176" s="24" t="s">
        <v>366</v>
      </c>
      <c r="L176" s="24" t="s">
        <v>644</v>
      </c>
      <c r="M176" s="24" t="s">
        <v>38</v>
      </c>
      <c r="N176" s="24" t="s">
        <v>39</v>
      </c>
      <c r="O176" s="25">
        <v>32865</v>
      </c>
      <c r="P176" s="24"/>
      <c r="Q176" s="24"/>
      <c r="R176" s="24">
        <v>67.5</v>
      </c>
      <c r="S176" s="24" t="s">
        <v>29</v>
      </c>
    </row>
    <row r="177" spans="1:19" ht="29.25">
      <c r="A177" s="26">
        <v>43101</v>
      </c>
      <c r="B177" s="26" t="s">
        <v>87</v>
      </c>
      <c r="C177" s="26" t="s">
        <v>30</v>
      </c>
      <c r="D177" s="26" t="s">
        <v>21</v>
      </c>
      <c r="E177" s="26" t="s">
        <v>1912</v>
      </c>
      <c r="F177" s="26" t="s">
        <v>1913</v>
      </c>
      <c r="G177" s="26">
        <v>35</v>
      </c>
      <c r="H177" s="26" t="s">
        <v>5</v>
      </c>
      <c r="I177" s="26"/>
      <c r="J177" s="26" t="s">
        <v>644</v>
      </c>
      <c r="K177" s="26" t="s">
        <v>366</v>
      </c>
      <c r="L177" s="26" t="s">
        <v>644</v>
      </c>
      <c r="M177" s="26" t="s">
        <v>38</v>
      </c>
      <c r="N177" s="26" t="s">
        <v>39</v>
      </c>
      <c r="O177" s="27">
        <v>32865</v>
      </c>
      <c r="P177" s="26"/>
      <c r="Q177" s="26"/>
      <c r="R177" s="26">
        <v>22.5</v>
      </c>
      <c r="S177" s="26" t="s">
        <v>29</v>
      </c>
    </row>
    <row r="178" spans="1:19" ht="29.25">
      <c r="A178" s="26">
        <v>43102</v>
      </c>
      <c r="B178" s="26" t="s">
        <v>87</v>
      </c>
      <c r="C178" s="26" t="s">
        <v>30</v>
      </c>
      <c r="D178" s="26" t="s">
        <v>21</v>
      </c>
      <c r="E178" s="26" t="s">
        <v>1914</v>
      </c>
      <c r="F178" s="26" t="s">
        <v>1915</v>
      </c>
      <c r="G178" s="26">
        <v>32</v>
      </c>
      <c r="H178" s="26" t="s">
        <v>5</v>
      </c>
      <c r="I178" s="26"/>
      <c r="J178" s="26" t="s">
        <v>644</v>
      </c>
      <c r="K178" s="26" t="s">
        <v>366</v>
      </c>
      <c r="L178" s="26" t="s">
        <v>644</v>
      </c>
      <c r="M178" s="26" t="s">
        <v>38</v>
      </c>
      <c r="N178" s="26" t="s">
        <v>39</v>
      </c>
      <c r="O178" s="27">
        <v>32865</v>
      </c>
      <c r="P178" s="26"/>
      <c r="Q178" s="26"/>
      <c r="R178" s="26">
        <v>22.5</v>
      </c>
      <c r="S178" s="26" t="s">
        <v>29</v>
      </c>
    </row>
    <row r="179" spans="1:19" ht="29.25">
      <c r="A179" s="26">
        <v>43103</v>
      </c>
      <c r="B179" s="26" t="s">
        <v>87</v>
      </c>
      <c r="C179" s="26" t="s">
        <v>30</v>
      </c>
      <c r="D179" s="26" t="s">
        <v>21</v>
      </c>
      <c r="E179" s="26" t="s">
        <v>1916</v>
      </c>
      <c r="F179" s="26" t="s">
        <v>1917</v>
      </c>
      <c r="G179" s="26">
        <v>32</v>
      </c>
      <c r="H179" s="26" t="s">
        <v>5</v>
      </c>
      <c r="I179" s="26"/>
      <c r="J179" s="26" t="s">
        <v>644</v>
      </c>
      <c r="K179" s="26" t="s">
        <v>366</v>
      </c>
      <c r="L179" s="26" t="s">
        <v>644</v>
      </c>
      <c r="M179" s="26" t="s">
        <v>38</v>
      </c>
      <c r="N179" s="26" t="s">
        <v>39</v>
      </c>
      <c r="O179" s="27">
        <v>32865</v>
      </c>
      <c r="P179" s="26"/>
      <c r="Q179" s="26"/>
      <c r="R179" s="26">
        <v>22.5</v>
      </c>
      <c r="S179" s="26" t="s">
        <v>29</v>
      </c>
    </row>
    <row r="180" spans="1:19">
      <c r="A180" s="28">
        <v>6800</v>
      </c>
      <c r="B180" s="28" t="s">
        <v>20</v>
      </c>
      <c r="C180" s="28" t="s">
        <v>21</v>
      </c>
      <c r="D180" s="28" t="s">
        <v>21</v>
      </c>
      <c r="E180" s="28" t="s">
        <v>69</v>
      </c>
      <c r="F180" s="28" t="s">
        <v>70</v>
      </c>
      <c r="G180" s="28">
        <v>2</v>
      </c>
      <c r="H180" s="28" t="s">
        <v>24</v>
      </c>
      <c r="I180" s="28" t="s">
        <v>4</v>
      </c>
      <c r="J180" s="28" t="s">
        <v>25</v>
      </c>
      <c r="K180" s="28" t="s">
        <v>25</v>
      </c>
      <c r="L180" s="28" t="s">
        <v>26</v>
      </c>
      <c r="M180" s="28" t="s">
        <v>27</v>
      </c>
      <c r="N180" s="28" t="s">
        <v>28</v>
      </c>
      <c r="O180" s="29">
        <v>2558</v>
      </c>
      <c r="P180" s="28"/>
      <c r="Q180" s="28"/>
      <c r="R180" s="28">
        <v>2</v>
      </c>
      <c r="S180" s="28" t="s">
        <v>29</v>
      </c>
    </row>
    <row r="181" spans="1:19">
      <c r="A181" s="28">
        <v>100900</v>
      </c>
      <c r="B181" s="28" t="s">
        <v>20</v>
      </c>
      <c r="C181" s="28" t="s">
        <v>21</v>
      </c>
      <c r="D181" s="28" t="s">
        <v>21</v>
      </c>
      <c r="E181" s="28" t="s">
        <v>2986</v>
      </c>
      <c r="F181" s="28" t="s">
        <v>2987</v>
      </c>
      <c r="G181" s="28">
        <v>102</v>
      </c>
      <c r="H181" s="28" t="s">
        <v>5</v>
      </c>
      <c r="I181" s="28" t="s">
        <v>2988</v>
      </c>
      <c r="J181" s="28" t="s">
        <v>781</v>
      </c>
      <c r="K181" s="28" t="s">
        <v>781</v>
      </c>
      <c r="L181" s="28" t="s">
        <v>781</v>
      </c>
      <c r="M181" s="28" t="s">
        <v>38</v>
      </c>
      <c r="N181" s="28" t="s">
        <v>39</v>
      </c>
      <c r="O181" s="29">
        <v>40614</v>
      </c>
      <c r="P181" s="28"/>
      <c r="Q181" s="28"/>
      <c r="R181" s="28">
        <v>102</v>
      </c>
      <c r="S181" s="28" t="s">
        <v>29</v>
      </c>
    </row>
    <row r="182" spans="1:19" ht="29.25">
      <c r="A182" s="28">
        <v>101300</v>
      </c>
      <c r="B182" s="28" t="s">
        <v>20</v>
      </c>
      <c r="C182" s="28" t="s">
        <v>21</v>
      </c>
      <c r="D182" s="28" t="s">
        <v>21</v>
      </c>
      <c r="E182" s="28" t="s">
        <v>2997</v>
      </c>
      <c r="F182" s="28" t="s">
        <v>2998</v>
      </c>
      <c r="G182" s="28">
        <v>168</v>
      </c>
      <c r="H182" s="28" t="s">
        <v>5</v>
      </c>
      <c r="I182" s="28" t="s">
        <v>2999</v>
      </c>
      <c r="J182" s="28" t="s">
        <v>781</v>
      </c>
      <c r="K182" s="28" t="s">
        <v>781</v>
      </c>
      <c r="L182" s="28" t="s">
        <v>781</v>
      </c>
      <c r="M182" s="28" t="s">
        <v>38</v>
      </c>
      <c r="N182" s="28" t="s">
        <v>39</v>
      </c>
      <c r="O182" s="29">
        <v>40654</v>
      </c>
      <c r="P182" s="28"/>
      <c r="Q182" s="28"/>
      <c r="R182" s="28">
        <v>168</v>
      </c>
      <c r="S182" s="28" t="s">
        <v>29</v>
      </c>
    </row>
    <row r="183" spans="1:19" ht="43.5">
      <c r="A183" s="28">
        <v>103600</v>
      </c>
      <c r="B183" s="28" t="s">
        <v>20</v>
      </c>
      <c r="C183" s="28" t="s">
        <v>21</v>
      </c>
      <c r="D183" s="28" t="s">
        <v>21</v>
      </c>
      <c r="E183" s="28" t="s">
        <v>3071</v>
      </c>
      <c r="F183" s="28" t="s">
        <v>3072</v>
      </c>
      <c r="G183" s="28">
        <v>150</v>
      </c>
      <c r="H183" s="28" t="s">
        <v>5</v>
      </c>
      <c r="I183" s="28" t="s">
        <v>3073</v>
      </c>
      <c r="J183" s="28" t="s">
        <v>781</v>
      </c>
      <c r="K183" s="28" t="s">
        <v>781</v>
      </c>
      <c r="L183" s="28" t="s">
        <v>781</v>
      </c>
      <c r="M183" s="28" t="s">
        <v>38</v>
      </c>
      <c r="N183" s="28" t="s">
        <v>39</v>
      </c>
      <c r="O183" s="29">
        <v>40940</v>
      </c>
      <c r="P183" s="28" t="s">
        <v>3074</v>
      </c>
      <c r="Q183" s="28"/>
      <c r="R183" s="28">
        <v>150</v>
      </c>
      <c r="S183" s="28" t="s">
        <v>29</v>
      </c>
    </row>
    <row r="184" spans="1:19">
      <c r="A184" s="28">
        <v>107300</v>
      </c>
      <c r="B184" s="28" t="s">
        <v>20</v>
      </c>
      <c r="C184" s="28" t="s">
        <v>21</v>
      </c>
      <c r="D184" s="28" t="s">
        <v>21</v>
      </c>
      <c r="E184" s="28" t="s">
        <v>4419</v>
      </c>
      <c r="F184" s="28" t="s">
        <v>4420</v>
      </c>
      <c r="G184" s="28">
        <v>132</v>
      </c>
      <c r="H184" s="28" t="s">
        <v>5</v>
      </c>
      <c r="I184" s="28" t="s">
        <v>4421</v>
      </c>
      <c r="J184" s="28" t="s">
        <v>781</v>
      </c>
      <c r="K184" s="28" t="s">
        <v>781</v>
      </c>
      <c r="L184" s="28" t="s">
        <v>781</v>
      </c>
      <c r="M184" s="28" t="s">
        <v>38</v>
      </c>
      <c r="N184" s="28" t="s">
        <v>39</v>
      </c>
      <c r="O184" s="29">
        <v>41275</v>
      </c>
      <c r="P184" s="28"/>
      <c r="Q184" s="28"/>
      <c r="R184" s="28">
        <v>132</v>
      </c>
      <c r="S184" s="28" t="s">
        <v>29</v>
      </c>
    </row>
    <row r="185" spans="1:19">
      <c r="A185" s="28">
        <v>104500</v>
      </c>
      <c r="B185" s="28" t="s">
        <v>20</v>
      </c>
      <c r="C185" s="28" t="s">
        <v>21</v>
      </c>
      <c r="D185" s="28" t="s">
        <v>21</v>
      </c>
      <c r="E185" s="28" t="s">
        <v>3819</v>
      </c>
      <c r="F185" s="28" t="s">
        <v>3820</v>
      </c>
      <c r="G185" s="28">
        <v>150</v>
      </c>
      <c r="H185" s="28" t="s">
        <v>5</v>
      </c>
      <c r="I185" s="28" t="s">
        <v>3821</v>
      </c>
      <c r="J185" s="28" t="s">
        <v>781</v>
      </c>
      <c r="K185" s="28" t="s">
        <v>781</v>
      </c>
      <c r="L185" s="28" t="s">
        <v>781</v>
      </c>
      <c r="M185" s="28" t="s">
        <v>38</v>
      </c>
      <c r="N185" s="28" t="s">
        <v>39</v>
      </c>
      <c r="O185" s="29">
        <v>41038</v>
      </c>
      <c r="P185" s="28"/>
      <c r="Q185" s="28"/>
      <c r="R185" s="28">
        <v>150</v>
      </c>
      <c r="S185" s="28" t="s">
        <v>29</v>
      </c>
    </row>
    <row r="186" spans="1:19">
      <c r="A186" s="28">
        <v>100400</v>
      </c>
      <c r="B186" s="28" t="s">
        <v>20</v>
      </c>
      <c r="C186" s="28" t="s">
        <v>21</v>
      </c>
      <c r="D186" s="28" t="s">
        <v>21</v>
      </c>
      <c r="E186" s="28" t="s">
        <v>2972</v>
      </c>
      <c r="F186" s="28" t="s">
        <v>2973</v>
      </c>
      <c r="G186" s="28">
        <v>150</v>
      </c>
      <c r="H186" s="28" t="s">
        <v>5</v>
      </c>
      <c r="I186" s="28" t="s">
        <v>2974</v>
      </c>
      <c r="J186" s="28" t="s">
        <v>781</v>
      </c>
      <c r="K186" s="28" t="s">
        <v>781</v>
      </c>
      <c r="L186" s="28" t="s">
        <v>781</v>
      </c>
      <c r="M186" s="28" t="s">
        <v>38</v>
      </c>
      <c r="N186" s="28" t="s">
        <v>39</v>
      </c>
      <c r="O186" s="29">
        <v>40541</v>
      </c>
      <c r="P186" s="28"/>
      <c r="Q186" s="28"/>
      <c r="R186" s="28">
        <v>150</v>
      </c>
      <c r="S186" s="28" t="s">
        <v>29</v>
      </c>
    </row>
    <row r="187" spans="1:19">
      <c r="A187" s="28">
        <v>100500</v>
      </c>
      <c r="B187" s="28" t="s">
        <v>20</v>
      </c>
      <c r="C187" s="28" t="s">
        <v>21</v>
      </c>
      <c r="D187" s="28" t="s">
        <v>21</v>
      </c>
      <c r="E187" s="28" t="s">
        <v>2975</v>
      </c>
      <c r="F187" s="28" t="s">
        <v>2976</v>
      </c>
      <c r="G187" s="28">
        <v>150</v>
      </c>
      <c r="H187" s="28" t="s">
        <v>5</v>
      </c>
      <c r="I187" s="28" t="s">
        <v>2977</v>
      </c>
      <c r="J187" s="28" t="s">
        <v>781</v>
      </c>
      <c r="K187" s="28" t="s">
        <v>781</v>
      </c>
      <c r="L187" s="28" t="s">
        <v>781</v>
      </c>
      <c r="M187" s="28" t="s">
        <v>38</v>
      </c>
      <c r="N187" s="28" t="s">
        <v>39</v>
      </c>
      <c r="O187" s="29">
        <v>40541</v>
      </c>
      <c r="P187" s="28"/>
      <c r="Q187" s="28"/>
      <c r="R187" s="28">
        <v>150</v>
      </c>
      <c r="S187" s="28" t="s">
        <v>29</v>
      </c>
    </row>
    <row r="188" spans="1:19">
      <c r="A188" s="28">
        <v>100700</v>
      </c>
      <c r="B188" s="28" t="s">
        <v>20</v>
      </c>
      <c r="C188" s="28" t="s">
        <v>21</v>
      </c>
      <c r="D188" s="28" t="s">
        <v>21</v>
      </c>
      <c r="E188" s="28" t="s">
        <v>2981</v>
      </c>
      <c r="F188" s="28" t="s">
        <v>2982</v>
      </c>
      <c r="G188" s="28">
        <v>150</v>
      </c>
      <c r="H188" s="28" t="s">
        <v>5</v>
      </c>
      <c r="I188" s="28" t="s">
        <v>2983</v>
      </c>
      <c r="J188" s="28" t="s">
        <v>781</v>
      </c>
      <c r="K188" s="28" t="s">
        <v>781</v>
      </c>
      <c r="L188" s="28" t="s">
        <v>781</v>
      </c>
      <c r="M188" s="28" t="s">
        <v>38</v>
      </c>
      <c r="N188" s="28" t="s">
        <v>39</v>
      </c>
      <c r="O188" s="29">
        <v>40586</v>
      </c>
      <c r="P188" s="28"/>
      <c r="Q188" s="28"/>
      <c r="R188" s="28">
        <v>150</v>
      </c>
      <c r="S188" s="28" t="s">
        <v>29</v>
      </c>
    </row>
    <row r="189" spans="1:19">
      <c r="A189" s="24">
        <v>109200</v>
      </c>
      <c r="B189" s="24" t="s">
        <v>20</v>
      </c>
      <c r="C189" s="24" t="s">
        <v>21</v>
      </c>
      <c r="D189" s="24" t="s">
        <v>21</v>
      </c>
      <c r="E189" s="24" t="s">
        <v>4422</v>
      </c>
      <c r="F189" s="24" t="s">
        <v>4423</v>
      </c>
      <c r="G189" s="24">
        <v>728</v>
      </c>
      <c r="H189" s="24" t="s">
        <v>5</v>
      </c>
      <c r="I189" s="24" t="s">
        <v>4424</v>
      </c>
      <c r="J189" s="24" t="s">
        <v>694</v>
      </c>
      <c r="K189" s="24" t="s">
        <v>580</v>
      </c>
      <c r="L189" s="24" t="s">
        <v>240</v>
      </c>
      <c r="M189" s="24" t="s">
        <v>38</v>
      </c>
      <c r="N189" s="24" t="s">
        <v>39</v>
      </c>
      <c r="O189" s="25">
        <v>41400</v>
      </c>
      <c r="P189" s="24"/>
      <c r="Q189" s="24"/>
      <c r="R189" s="24">
        <v>800</v>
      </c>
      <c r="S189" s="24" t="s">
        <v>29</v>
      </c>
    </row>
    <row r="190" spans="1:19">
      <c r="A190" s="26"/>
      <c r="B190" s="26"/>
      <c r="C190" s="26"/>
      <c r="D190" s="26"/>
      <c r="E190" s="26" t="s">
        <v>4656</v>
      </c>
      <c r="F190" s="26"/>
      <c r="G190" s="26">
        <v>91</v>
      </c>
      <c r="H190" s="26"/>
      <c r="I190" s="26"/>
      <c r="J190" s="26" t="s">
        <v>295</v>
      </c>
      <c r="K190" s="26"/>
      <c r="L190" s="26"/>
      <c r="M190" s="26"/>
      <c r="N190" s="26"/>
      <c r="O190" s="27">
        <v>41400</v>
      </c>
      <c r="P190" s="278" t="s">
        <v>4794</v>
      </c>
      <c r="Q190" s="26"/>
      <c r="R190" s="26"/>
      <c r="S190" s="26"/>
    </row>
    <row r="191" spans="1:19">
      <c r="A191" s="26"/>
      <c r="B191" s="26"/>
      <c r="C191" s="26"/>
      <c r="D191" s="26"/>
      <c r="E191" s="26" t="s">
        <v>4658</v>
      </c>
      <c r="F191" s="26"/>
      <c r="G191" s="26">
        <v>91</v>
      </c>
      <c r="H191" s="26"/>
      <c r="I191" s="26"/>
      <c r="J191" s="26" t="s">
        <v>295</v>
      </c>
      <c r="K191" s="26"/>
      <c r="L191" s="26"/>
      <c r="M191" s="26"/>
      <c r="N191" s="26"/>
      <c r="O191" s="27">
        <v>41400</v>
      </c>
      <c r="P191" s="278" t="s">
        <v>4794</v>
      </c>
      <c r="Q191" s="26"/>
      <c r="R191" s="26"/>
      <c r="S191" s="26"/>
    </row>
    <row r="192" spans="1:19">
      <c r="A192" s="26"/>
      <c r="B192" s="26"/>
      <c r="C192" s="26"/>
      <c r="D192" s="26"/>
      <c r="E192" s="26" t="s">
        <v>4660</v>
      </c>
      <c r="F192" s="26"/>
      <c r="G192" s="26">
        <v>91</v>
      </c>
      <c r="H192" s="26"/>
      <c r="I192" s="26"/>
      <c r="J192" s="26" t="s">
        <v>295</v>
      </c>
      <c r="K192" s="26"/>
      <c r="L192" s="26"/>
      <c r="M192" s="26"/>
      <c r="N192" s="26"/>
      <c r="O192" s="27">
        <v>41400</v>
      </c>
      <c r="P192" s="278" t="s">
        <v>4794</v>
      </c>
      <c r="Q192" s="26"/>
      <c r="R192" s="26"/>
      <c r="S192" s="26"/>
    </row>
    <row r="193" spans="1:19">
      <c r="A193" s="26"/>
      <c r="B193" s="26"/>
      <c r="C193" s="26"/>
      <c r="D193" s="26"/>
      <c r="E193" s="26" t="s">
        <v>4662</v>
      </c>
      <c r="F193" s="26"/>
      <c r="G193" s="26">
        <v>91</v>
      </c>
      <c r="H193" s="26"/>
      <c r="I193" s="26"/>
      <c r="J193" s="26" t="s">
        <v>295</v>
      </c>
      <c r="K193" s="26"/>
      <c r="L193" s="26"/>
      <c r="M193" s="26"/>
      <c r="N193" s="26"/>
      <c r="O193" s="27">
        <v>41400</v>
      </c>
      <c r="P193" s="278" t="s">
        <v>4794</v>
      </c>
      <c r="Q193" s="26"/>
      <c r="R193" s="26"/>
      <c r="S193" s="26"/>
    </row>
    <row r="194" spans="1:19">
      <c r="A194" s="26"/>
      <c r="B194" s="26"/>
      <c r="C194" s="26"/>
      <c r="D194" s="26"/>
      <c r="E194" s="26" t="s">
        <v>4664</v>
      </c>
      <c r="F194" s="26"/>
      <c r="G194" s="26">
        <v>91</v>
      </c>
      <c r="H194" s="26"/>
      <c r="I194" s="26"/>
      <c r="J194" s="26" t="s">
        <v>295</v>
      </c>
      <c r="K194" s="26"/>
      <c r="L194" s="26"/>
      <c r="M194" s="26"/>
      <c r="N194" s="26"/>
      <c r="O194" s="27">
        <v>41400</v>
      </c>
      <c r="P194" s="278" t="s">
        <v>4794</v>
      </c>
      <c r="Q194" s="26"/>
      <c r="R194" s="26"/>
      <c r="S194" s="26"/>
    </row>
    <row r="195" spans="1:19">
      <c r="A195" s="26"/>
      <c r="B195" s="26"/>
      <c r="C195" s="26"/>
      <c r="D195" s="26"/>
      <c r="E195" s="26" t="s">
        <v>4666</v>
      </c>
      <c r="F195" s="26"/>
      <c r="G195" s="26">
        <v>91</v>
      </c>
      <c r="H195" s="26"/>
      <c r="I195" s="26"/>
      <c r="J195" s="26" t="s">
        <v>295</v>
      </c>
      <c r="K195" s="26"/>
      <c r="L195" s="26"/>
      <c r="M195" s="26"/>
      <c r="N195" s="26"/>
      <c r="O195" s="27">
        <v>41400</v>
      </c>
      <c r="P195" s="278" t="s">
        <v>4794</v>
      </c>
      <c r="Q195" s="26"/>
      <c r="R195" s="26"/>
      <c r="S195" s="26"/>
    </row>
    <row r="196" spans="1:19">
      <c r="A196" s="26"/>
      <c r="B196" s="26"/>
      <c r="C196" s="26"/>
      <c r="D196" s="26"/>
      <c r="E196" s="26" t="s">
        <v>4668</v>
      </c>
      <c r="F196" s="26"/>
      <c r="G196" s="26">
        <v>91</v>
      </c>
      <c r="H196" s="26"/>
      <c r="I196" s="26"/>
      <c r="J196" s="26" t="s">
        <v>295</v>
      </c>
      <c r="K196" s="26"/>
      <c r="L196" s="26"/>
      <c r="M196" s="26"/>
      <c r="N196" s="26"/>
      <c r="O196" s="27">
        <v>41400</v>
      </c>
      <c r="P196" s="278" t="s">
        <v>4794</v>
      </c>
      <c r="Q196" s="26"/>
      <c r="R196" s="26"/>
      <c r="S196" s="26"/>
    </row>
    <row r="197" spans="1:19">
      <c r="A197" s="26"/>
      <c r="B197" s="26"/>
      <c r="C197" s="26"/>
      <c r="D197" s="26"/>
      <c r="E197" s="26" t="s">
        <v>4670</v>
      </c>
      <c r="F197" s="26"/>
      <c r="G197" s="26">
        <v>91</v>
      </c>
      <c r="H197" s="26"/>
      <c r="I197" s="26"/>
      <c r="J197" s="26" t="s">
        <v>295</v>
      </c>
      <c r="K197" s="26"/>
      <c r="L197" s="26"/>
      <c r="M197" s="26"/>
      <c r="N197" s="26"/>
      <c r="O197" s="27">
        <v>41400</v>
      </c>
      <c r="P197" s="278" t="s">
        <v>4794</v>
      </c>
      <c r="Q197" s="26"/>
      <c r="R197" s="26"/>
      <c r="S197" s="26"/>
    </row>
    <row r="198" spans="1:19">
      <c r="A198" s="28">
        <v>7000</v>
      </c>
      <c r="B198" s="28" t="s">
        <v>20</v>
      </c>
      <c r="C198" s="28" t="s">
        <v>21</v>
      </c>
      <c r="D198" s="28" t="s">
        <v>21</v>
      </c>
      <c r="E198" s="28" t="s">
        <v>161</v>
      </c>
      <c r="F198" s="28" t="s">
        <v>162</v>
      </c>
      <c r="G198" s="28">
        <v>0.9</v>
      </c>
      <c r="H198" s="28" t="s">
        <v>24</v>
      </c>
      <c r="I198" s="28" t="s">
        <v>4</v>
      </c>
      <c r="J198" s="28" t="s">
        <v>25</v>
      </c>
      <c r="K198" s="28" t="s">
        <v>25</v>
      </c>
      <c r="L198" s="28" t="s">
        <v>26</v>
      </c>
      <c r="M198" s="28" t="s">
        <v>27</v>
      </c>
      <c r="N198" s="28" t="s">
        <v>28</v>
      </c>
      <c r="O198" s="29">
        <v>6941</v>
      </c>
      <c r="P198" s="28"/>
      <c r="Q198" s="28"/>
      <c r="R198" s="28">
        <v>0.9</v>
      </c>
      <c r="S198" s="28" t="s">
        <v>29</v>
      </c>
    </row>
    <row r="199" spans="1:19" ht="29.25">
      <c r="A199" s="28">
        <v>81700</v>
      </c>
      <c r="B199" s="28" t="s">
        <v>20</v>
      </c>
      <c r="C199" s="28" t="s">
        <v>21</v>
      </c>
      <c r="D199" s="28" t="s">
        <v>21</v>
      </c>
      <c r="E199" s="28" t="s">
        <v>2565</v>
      </c>
      <c r="F199" s="28" t="s">
        <v>2566</v>
      </c>
      <c r="G199" s="28">
        <v>48</v>
      </c>
      <c r="H199" s="28" t="s">
        <v>24</v>
      </c>
      <c r="I199" s="28" t="s">
        <v>2567</v>
      </c>
      <c r="J199" s="28" t="s">
        <v>295</v>
      </c>
      <c r="K199" s="28" t="s">
        <v>580</v>
      </c>
      <c r="L199" s="28" t="s">
        <v>240</v>
      </c>
      <c r="M199" s="28" t="s">
        <v>27</v>
      </c>
      <c r="N199" s="28" t="s">
        <v>28</v>
      </c>
      <c r="O199" s="29">
        <v>37627</v>
      </c>
      <c r="P199" s="28"/>
      <c r="Q199" s="28"/>
      <c r="R199" s="28">
        <v>49.9</v>
      </c>
      <c r="S199" s="28" t="s">
        <v>29</v>
      </c>
    </row>
    <row r="200" spans="1:19">
      <c r="A200" s="24">
        <v>7100</v>
      </c>
      <c r="B200" s="24" t="s">
        <v>20</v>
      </c>
      <c r="C200" s="24" t="s">
        <v>21</v>
      </c>
      <c r="D200" s="24" t="s">
        <v>30</v>
      </c>
      <c r="E200" s="24" t="s">
        <v>343</v>
      </c>
      <c r="F200" s="24" t="s">
        <v>344</v>
      </c>
      <c r="G200" s="24">
        <v>70.400000000000006</v>
      </c>
      <c r="H200" s="24" t="s">
        <v>24</v>
      </c>
      <c r="I200" s="24" t="s">
        <v>4</v>
      </c>
      <c r="J200" s="24" t="s">
        <v>25</v>
      </c>
      <c r="K200" s="24" t="s">
        <v>25</v>
      </c>
      <c r="L200" s="24" t="s">
        <v>26</v>
      </c>
      <c r="M200" s="24" t="s">
        <v>27</v>
      </c>
      <c r="N200" s="24" t="s">
        <v>28</v>
      </c>
      <c r="O200" s="25">
        <v>17899</v>
      </c>
      <c r="P200" s="24"/>
      <c r="Q200" s="24" t="s">
        <v>175</v>
      </c>
      <c r="R200" s="24">
        <v>70.400000000000006</v>
      </c>
      <c r="S200" s="24" t="s">
        <v>29</v>
      </c>
    </row>
    <row r="201" spans="1:19">
      <c r="A201" s="26">
        <v>7101</v>
      </c>
      <c r="B201" s="26" t="s">
        <v>20</v>
      </c>
      <c r="C201" s="26" t="s">
        <v>21</v>
      </c>
      <c r="D201" s="26" t="s">
        <v>21</v>
      </c>
      <c r="E201" s="26" t="s">
        <v>345</v>
      </c>
      <c r="F201" s="26" t="s">
        <v>346</v>
      </c>
      <c r="G201" s="26">
        <v>35.200000000000003</v>
      </c>
      <c r="H201" s="26" t="s">
        <v>24</v>
      </c>
      <c r="I201" s="26" t="s">
        <v>4</v>
      </c>
      <c r="J201" s="26" t="s">
        <v>25</v>
      </c>
      <c r="K201" s="26" t="s">
        <v>25</v>
      </c>
      <c r="L201" s="26" t="s">
        <v>26</v>
      </c>
      <c r="M201" s="26" t="s">
        <v>27</v>
      </c>
      <c r="N201" s="26" t="s">
        <v>28</v>
      </c>
      <c r="O201" s="27">
        <v>17899</v>
      </c>
      <c r="P201" s="26"/>
      <c r="Q201" s="26" t="s">
        <v>175</v>
      </c>
      <c r="R201" s="26">
        <v>35.200000000000003</v>
      </c>
      <c r="S201" s="26" t="s">
        <v>29</v>
      </c>
    </row>
    <row r="202" spans="1:19">
      <c r="A202" s="26">
        <v>7102</v>
      </c>
      <c r="B202" s="26" t="s">
        <v>20</v>
      </c>
      <c r="C202" s="26" t="s">
        <v>21</v>
      </c>
      <c r="D202" s="26" t="s">
        <v>21</v>
      </c>
      <c r="E202" s="26" t="s">
        <v>350</v>
      </c>
      <c r="F202" s="26" t="s">
        <v>351</v>
      </c>
      <c r="G202" s="26">
        <v>35.200000000000003</v>
      </c>
      <c r="H202" s="26" t="s">
        <v>24</v>
      </c>
      <c r="I202" s="26" t="s">
        <v>4</v>
      </c>
      <c r="J202" s="26" t="s">
        <v>25</v>
      </c>
      <c r="K202" s="26" t="s">
        <v>25</v>
      </c>
      <c r="L202" s="26" t="s">
        <v>26</v>
      </c>
      <c r="M202" s="26" t="s">
        <v>27</v>
      </c>
      <c r="N202" s="26" t="s">
        <v>28</v>
      </c>
      <c r="O202" s="27">
        <v>18264</v>
      </c>
      <c r="P202" s="26"/>
      <c r="Q202" s="26" t="s">
        <v>175</v>
      </c>
      <c r="R202" s="26">
        <v>35.200000000000003</v>
      </c>
      <c r="S202" s="26" t="s">
        <v>29</v>
      </c>
    </row>
    <row r="203" spans="1:19">
      <c r="A203" s="28">
        <v>7200</v>
      </c>
      <c r="B203" s="28" t="s">
        <v>20</v>
      </c>
      <c r="C203" s="28" t="s">
        <v>30</v>
      </c>
      <c r="D203" s="28" t="s">
        <v>21</v>
      </c>
      <c r="E203" s="28" t="s">
        <v>2197</v>
      </c>
      <c r="F203" s="28" t="s">
        <v>2198</v>
      </c>
      <c r="G203" s="28">
        <v>240</v>
      </c>
      <c r="H203" s="28" t="s">
        <v>24</v>
      </c>
      <c r="I203" s="28" t="s">
        <v>2199</v>
      </c>
      <c r="J203" s="28" t="s">
        <v>694</v>
      </c>
      <c r="K203" s="28" t="s">
        <v>705</v>
      </c>
      <c r="L203" s="28" t="s">
        <v>240</v>
      </c>
      <c r="M203" s="28" t="s">
        <v>27</v>
      </c>
      <c r="N203" s="28" t="s">
        <v>28</v>
      </c>
      <c r="O203" s="29">
        <v>35053</v>
      </c>
      <c r="P203" s="28"/>
      <c r="Q203" s="28"/>
      <c r="R203" s="28">
        <v>247</v>
      </c>
      <c r="S203" s="28" t="s">
        <v>29</v>
      </c>
    </row>
    <row r="204" spans="1:19" ht="57.75">
      <c r="A204" s="28">
        <v>102800</v>
      </c>
      <c r="B204" s="28" t="s">
        <v>20</v>
      </c>
      <c r="C204" s="28" t="s">
        <v>21</v>
      </c>
      <c r="D204" s="28" t="s">
        <v>21</v>
      </c>
      <c r="E204" s="28" t="s">
        <v>3035</v>
      </c>
      <c r="F204" s="28" t="s">
        <v>3036</v>
      </c>
      <c r="G204" s="28">
        <v>1.4</v>
      </c>
      <c r="H204" s="28" t="s">
        <v>24</v>
      </c>
      <c r="I204" s="28" t="s">
        <v>3037</v>
      </c>
      <c r="J204" s="28" t="s">
        <v>365</v>
      </c>
      <c r="K204" s="28" t="s">
        <v>580</v>
      </c>
      <c r="L204" s="28" t="s">
        <v>240</v>
      </c>
      <c r="M204" s="28" t="s">
        <v>27</v>
      </c>
      <c r="N204" s="28" t="s">
        <v>1420</v>
      </c>
      <c r="O204" s="29">
        <v>40813</v>
      </c>
      <c r="P204" s="28" t="s">
        <v>3038</v>
      </c>
      <c r="Q204" s="28"/>
      <c r="R204" s="28">
        <v>1.55</v>
      </c>
      <c r="S204" s="28" t="s">
        <v>29</v>
      </c>
    </row>
    <row r="205" spans="1:19">
      <c r="A205" s="28">
        <v>4100</v>
      </c>
      <c r="B205" s="28" t="s">
        <v>20</v>
      </c>
      <c r="C205" s="28" t="s">
        <v>21</v>
      </c>
      <c r="D205" s="28" t="s">
        <v>21</v>
      </c>
      <c r="E205" s="28" t="s">
        <v>2550</v>
      </c>
      <c r="F205" s="28" t="s">
        <v>2551</v>
      </c>
      <c r="G205" s="28">
        <v>41</v>
      </c>
      <c r="H205" s="28" t="s">
        <v>5</v>
      </c>
      <c r="I205" s="28" t="s">
        <v>2552</v>
      </c>
      <c r="J205" s="28" t="s">
        <v>781</v>
      </c>
      <c r="K205" s="28" t="s">
        <v>781</v>
      </c>
      <c r="L205" s="28" t="s">
        <v>781</v>
      </c>
      <c r="M205" s="28" t="s">
        <v>38</v>
      </c>
      <c r="N205" s="28" t="s">
        <v>39</v>
      </c>
      <c r="O205" s="29">
        <v>37499</v>
      </c>
      <c r="P205" s="28"/>
      <c r="Q205" s="28"/>
      <c r="R205" s="28">
        <v>41</v>
      </c>
      <c r="S205" s="28" t="s">
        <v>29</v>
      </c>
    </row>
    <row r="206" spans="1:19">
      <c r="A206" s="28">
        <v>98800</v>
      </c>
      <c r="B206" s="28" t="s">
        <v>20</v>
      </c>
      <c r="C206" s="28" t="s">
        <v>21</v>
      </c>
      <c r="D206" s="28" t="s">
        <v>21</v>
      </c>
      <c r="E206" s="28" t="s">
        <v>2926</v>
      </c>
      <c r="F206" s="28" t="s">
        <v>2927</v>
      </c>
      <c r="G206" s="28">
        <v>5</v>
      </c>
      <c r="H206" s="28" t="s">
        <v>24</v>
      </c>
      <c r="I206" s="28" t="s">
        <v>2928</v>
      </c>
      <c r="J206" s="28" t="s">
        <v>1025</v>
      </c>
      <c r="K206" s="28" t="s">
        <v>2138</v>
      </c>
      <c r="L206" s="28" t="s">
        <v>1026</v>
      </c>
      <c r="M206" s="28" t="s">
        <v>27</v>
      </c>
      <c r="N206" s="28" t="s">
        <v>28</v>
      </c>
      <c r="O206" s="29">
        <v>40298</v>
      </c>
      <c r="P206" s="28"/>
      <c r="Q206" s="28"/>
      <c r="R206" s="28">
        <v>5</v>
      </c>
      <c r="S206" s="28" t="s">
        <v>29</v>
      </c>
    </row>
    <row r="207" spans="1:19" ht="29.25">
      <c r="A207" s="28">
        <v>99400</v>
      </c>
      <c r="B207" s="28" t="s">
        <v>20</v>
      </c>
      <c r="C207" s="28" t="s">
        <v>30</v>
      </c>
      <c r="D207" s="28" t="s">
        <v>21</v>
      </c>
      <c r="E207" s="28" t="s">
        <v>2949</v>
      </c>
      <c r="F207" s="28" t="s">
        <v>2950</v>
      </c>
      <c r="G207" s="28">
        <v>6.96</v>
      </c>
      <c r="H207" s="28" t="s">
        <v>5</v>
      </c>
      <c r="I207" s="28" t="s">
        <v>2951</v>
      </c>
      <c r="J207" s="28" t="s">
        <v>788</v>
      </c>
      <c r="K207" s="28" t="s">
        <v>296</v>
      </c>
      <c r="L207" s="28" t="s">
        <v>888</v>
      </c>
      <c r="M207" s="28" t="s">
        <v>38</v>
      </c>
      <c r="N207" s="28" t="s">
        <v>39</v>
      </c>
      <c r="O207" s="29">
        <v>40441</v>
      </c>
      <c r="P207" s="28"/>
      <c r="Q207" s="28"/>
      <c r="R207" s="28">
        <v>13.8</v>
      </c>
      <c r="S207" s="28" t="s">
        <v>29</v>
      </c>
    </row>
    <row r="208" spans="1:19" ht="29.25">
      <c r="A208" s="24">
        <v>4200</v>
      </c>
      <c r="B208" s="24" t="s">
        <v>20</v>
      </c>
      <c r="C208" s="24" t="s">
        <v>21</v>
      </c>
      <c r="D208" s="24" t="s">
        <v>30</v>
      </c>
      <c r="E208" s="24" t="s">
        <v>2384</v>
      </c>
      <c r="F208" s="24" t="s">
        <v>2385</v>
      </c>
      <c r="G208" s="24">
        <v>25</v>
      </c>
      <c r="H208" s="24" t="s">
        <v>5</v>
      </c>
      <c r="I208" s="24" t="s">
        <v>2385</v>
      </c>
      <c r="J208" s="24" t="s">
        <v>365</v>
      </c>
      <c r="K208" s="24" t="s">
        <v>366</v>
      </c>
      <c r="L208" s="24" t="s">
        <v>928</v>
      </c>
      <c r="M208" s="24" t="s">
        <v>38</v>
      </c>
      <c r="N208" s="24" t="s">
        <v>39</v>
      </c>
      <c r="O208" s="25">
        <v>37104</v>
      </c>
      <c r="P208" s="24" t="s">
        <v>2386</v>
      </c>
      <c r="Q208" s="24"/>
      <c r="R208" s="24">
        <v>30</v>
      </c>
      <c r="S208" s="24" t="s">
        <v>29</v>
      </c>
    </row>
    <row r="209" spans="1:19" ht="29.25">
      <c r="A209" s="26">
        <v>4201</v>
      </c>
      <c r="B209" s="26" t="s">
        <v>20</v>
      </c>
      <c r="C209" s="26" t="s">
        <v>21</v>
      </c>
      <c r="D209" s="26" t="s">
        <v>21</v>
      </c>
      <c r="E209" s="26" t="s">
        <v>2387</v>
      </c>
      <c r="F209" s="26" t="s">
        <v>2388</v>
      </c>
      <c r="G209" s="26">
        <v>15</v>
      </c>
      <c r="H209" s="26" t="s">
        <v>5</v>
      </c>
      <c r="I209" s="26" t="s">
        <v>2385</v>
      </c>
      <c r="J209" s="26" t="s">
        <v>365</v>
      </c>
      <c r="K209" s="26" t="s">
        <v>366</v>
      </c>
      <c r="L209" s="26" t="s">
        <v>928</v>
      </c>
      <c r="M209" s="26" t="s">
        <v>38</v>
      </c>
      <c r="N209" s="26" t="s">
        <v>39</v>
      </c>
      <c r="O209" s="27">
        <v>37104</v>
      </c>
      <c r="P209" s="26" t="s">
        <v>2386</v>
      </c>
      <c r="Q209" s="26"/>
      <c r="R209" s="26">
        <v>15</v>
      </c>
      <c r="S209" s="26" t="s">
        <v>29</v>
      </c>
    </row>
    <row r="210" spans="1:19" ht="29.25">
      <c r="A210" s="26">
        <v>4202</v>
      </c>
      <c r="B210" s="26" t="s">
        <v>20</v>
      </c>
      <c r="C210" s="26" t="s">
        <v>21</v>
      </c>
      <c r="D210" s="26" t="s">
        <v>21</v>
      </c>
      <c r="E210" s="26" t="s">
        <v>2389</v>
      </c>
      <c r="F210" s="26" t="s">
        <v>2390</v>
      </c>
      <c r="G210" s="26">
        <v>15</v>
      </c>
      <c r="H210" s="26" t="s">
        <v>5</v>
      </c>
      <c r="I210" s="26" t="s">
        <v>2385</v>
      </c>
      <c r="J210" s="26" t="s">
        <v>365</v>
      </c>
      <c r="K210" s="26" t="s">
        <v>366</v>
      </c>
      <c r="L210" s="26" t="s">
        <v>928</v>
      </c>
      <c r="M210" s="26" t="s">
        <v>38</v>
      </c>
      <c r="N210" s="26" t="s">
        <v>39</v>
      </c>
      <c r="O210" s="27">
        <v>37104</v>
      </c>
      <c r="P210" s="26" t="s">
        <v>2386</v>
      </c>
      <c r="Q210" s="26"/>
      <c r="R210" s="26">
        <v>15</v>
      </c>
      <c r="S210" s="26" t="s">
        <v>29</v>
      </c>
    </row>
    <row r="211" spans="1:19" ht="29.25">
      <c r="A211" s="28">
        <v>113400</v>
      </c>
      <c r="B211" s="28" t="s">
        <v>20</v>
      </c>
      <c r="C211" s="28" t="s">
        <v>21</v>
      </c>
      <c r="D211" s="28" t="s">
        <v>21</v>
      </c>
      <c r="E211" s="28" t="s">
        <v>4713</v>
      </c>
      <c r="F211" s="28" t="s">
        <v>4714</v>
      </c>
      <c r="G211" s="28">
        <v>1.44</v>
      </c>
      <c r="H211" s="28" t="s">
        <v>5</v>
      </c>
      <c r="I211" s="28" t="s">
        <v>4715</v>
      </c>
      <c r="J211" s="28" t="s">
        <v>365</v>
      </c>
      <c r="K211" s="28" t="s">
        <v>4716</v>
      </c>
      <c r="L211" s="28" t="s">
        <v>1861</v>
      </c>
      <c r="M211" s="28" t="s">
        <v>38</v>
      </c>
      <c r="N211" s="28" t="s">
        <v>39</v>
      </c>
      <c r="O211" s="29">
        <v>41530</v>
      </c>
      <c r="P211" s="28"/>
      <c r="Q211" s="28"/>
      <c r="R211" s="28">
        <v>1.44</v>
      </c>
      <c r="S211" s="28" t="s">
        <v>29</v>
      </c>
    </row>
    <row r="212" spans="1:19" ht="29.25">
      <c r="A212" s="28">
        <v>107400</v>
      </c>
      <c r="B212" s="28" t="s">
        <v>20</v>
      </c>
      <c r="C212" s="28" t="s">
        <v>21</v>
      </c>
      <c r="D212" s="28" t="s">
        <v>21</v>
      </c>
      <c r="E212" s="28" t="s">
        <v>4425</v>
      </c>
      <c r="F212" s="28" t="s">
        <v>4426</v>
      </c>
      <c r="G212" s="28">
        <v>210</v>
      </c>
      <c r="H212" s="28" t="s">
        <v>24</v>
      </c>
      <c r="I212" s="28" t="s">
        <v>4427</v>
      </c>
      <c r="J212" s="28" t="s">
        <v>1025</v>
      </c>
      <c r="K212" s="28" t="s">
        <v>2138</v>
      </c>
      <c r="L212" s="28" t="s">
        <v>1026</v>
      </c>
      <c r="M212" s="28" t="s">
        <v>27</v>
      </c>
      <c r="N212" s="28" t="s">
        <v>28</v>
      </c>
      <c r="O212" s="29">
        <v>41171</v>
      </c>
      <c r="P212" s="28"/>
      <c r="Q212" s="28"/>
      <c r="R212" s="28">
        <v>210</v>
      </c>
      <c r="S212" s="28" t="s">
        <v>29</v>
      </c>
    </row>
    <row r="213" spans="1:19" ht="29.25">
      <c r="A213" s="28">
        <v>107500</v>
      </c>
      <c r="B213" s="28" t="s">
        <v>20</v>
      </c>
      <c r="C213" s="28" t="s">
        <v>21</v>
      </c>
      <c r="D213" s="28" t="s">
        <v>21</v>
      </c>
      <c r="E213" s="28" t="s">
        <v>4428</v>
      </c>
      <c r="F213" s="28" t="s">
        <v>4429</v>
      </c>
      <c r="G213" s="28">
        <v>40</v>
      </c>
      <c r="H213" s="28" t="s">
        <v>24</v>
      </c>
      <c r="I213" s="28" t="s">
        <v>4427</v>
      </c>
      <c r="J213" s="28" t="s">
        <v>1025</v>
      </c>
      <c r="K213" s="28" t="s">
        <v>2138</v>
      </c>
      <c r="L213" s="28" t="s">
        <v>1026</v>
      </c>
      <c r="M213" s="28" t="s">
        <v>27</v>
      </c>
      <c r="N213" s="28" t="s">
        <v>28</v>
      </c>
      <c r="O213" s="29">
        <v>41282</v>
      </c>
      <c r="P213" s="28"/>
      <c r="Q213" s="28"/>
      <c r="R213" s="28">
        <v>40</v>
      </c>
      <c r="S213" s="28" t="s">
        <v>29</v>
      </c>
    </row>
    <row r="214" spans="1:19" ht="29.25">
      <c r="A214" s="28">
        <v>4300</v>
      </c>
      <c r="B214" s="28" t="s">
        <v>20</v>
      </c>
      <c r="C214" s="28" t="s">
        <v>30</v>
      </c>
      <c r="D214" s="28" t="s">
        <v>21</v>
      </c>
      <c r="E214" s="28" t="s">
        <v>855</v>
      </c>
      <c r="F214" s="28" t="s">
        <v>856</v>
      </c>
      <c r="G214" s="28">
        <v>53</v>
      </c>
      <c r="H214" s="28" t="s">
        <v>24</v>
      </c>
      <c r="I214" s="28" t="s">
        <v>643</v>
      </c>
      <c r="J214" s="28" t="s">
        <v>644</v>
      </c>
      <c r="K214" s="28" t="s">
        <v>366</v>
      </c>
      <c r="L214" s="28" t="s">
        <v>644</v>
      </c>
      <c r="M214" s="28" t="s">
        <v>27</v>
      </c>
      <c r="N214" s="28" t="s">
        <v>28</v>
      </c>
      <c r="O214" s="29">
        <v>30317</v>
      </c>
      <c r="P214" s="28"/>
      <c r="Q214" s="28"/>
      <c r="R214" s="28">
        <v>78</v>
      </c>
      <c r="S214" s="28" t="s">
        <v>29</v>
      </c>
    </row>
    <row r="215" spans="1:19">
      <c r="A215" s="28">
        <v>76200</v>
      </c>
      <c r="B215" s="28" t="s">
        <v>20</v>
      </c>
      <c r="C215" s="28" t="s">
        <v>21</v>
      </c>
      <c r="D215" s="28" t="s">
        <v>21</v>
      </c>
      <c r="E215" s="28" t="s">
        <v>1123</v>
      </c>
      <c r="F215" s="28" t="s">
        <v>1124</v>
      </c>
      <c r="G215" s="28">
        <v>8</v>
      </c>
      <c r="H215" s="28" t="s">
        <v>24</v>
      </c>
      <c r="I215" s="28" t="s">
        <v>1125</v>
      </c>
      <c r="J215" s="28" t="s">
        <v>25</v>
      </c>
      <c r="K215" s="28" t="s">
        <v>25</v>
      </c>
      <c r="L215" s="28" t="s">
        <v>26</v>
      </c>
      <c r="M215" s="28" t="s">
        <v>27</v>
      </c>
      <c r="N215" s="28" t="s">
        <v>28</v>
      </c>
      <c r="O215" s="29">
        <v>31048</v>
      </c>
      <c r="P215" s="28"/>
      <c r="Q215" s="28"/>
      <c r="R215" s="28">
        <v>7.9</v>
      </c>
      <c r="S215" s="28" t="s">
        <v>29</v>
      </c>
    </row>
    <row r="216" spans="1:19">
      <c r="A216" s="28">
        <v>110000</v>
      </c>
      <c r="B216" s="28" t="s">
        <v>20</v>
      </c>
      <c r="C216" s="28" t="s">
        <v>21</v>
      </c>
      <c r="D216" s="28" t="s">
        <v>21</v>
      </c>
      <c r="E216" s="28" t="s">
        <v>4430</v>
      </c>
      <c r="F216" s="28" t="s">
        <v>4431</v>
      </c>
      <c r="G216" s="28">
        <v>150</v>
      </c>
      <c r="H216" s="28" t="s">
        <v>143</v>
      </c>
      <c r="I216" s="28" t="s">
        <v>4432</v>
      </c>
      <c r="J216" s="28" t="s">
        <v>1025</v>
      </c>
      <c r="K216" s="28" t="s">
        <v>2138</v>
      </c>
      <c r="L216" s="28" t="s">
        <v>1026</v>
      </c>
      <c r="M216" s="28" t="s">
        <v>38</v>
      </c>
      <c r="N216" s="28" t="s">
        <v>144</v>
      </c>
      <c r="O216" s="29">
        <v>41569</v>
      </c>
      <c r="P216" s="28"/>
      <c r="Q216" s="28"/>
      <c r="R216" s="28">
        <v>150</v>
      </c>
      <c r="S216" s="28" t="s">
        <v>29</v>
      </c>
    </row>
    <row r="217" spans="1:19" ht="29.25">
      <c r="A217" s="28">
        <v>104900</v>
      </c>
      <c r="B217" s="28" t="s">
        <v>20</v>
      </c>
      <c r="C217" s="28" t="s">
        <v>21</v>
      </c>
      <c r="D217" s="28" t="s">
        <v>21</v>
      </c>
      <c r="E217" s="28" t="s">
        <v>4433</v>
      </c>
      <c r="F217" s="28" t="s">
        <v>4434</v>
      </c>
      <c r="G217" s="28">
        <v>20</v>
      </c>
      <c r="H217" s="28" t="s">
        <v>24</v>
      </c>
      <c r="I217" s="28" t="s">
        <v>3334</v>
      </c>
      <c r="J217" s="28" t="s">
        <v>1025</v>
      </c>
      <c r="K217" s="28" t="s">
        <v>2138</v>
      </c>
      <c r="L217" s="28" t="s">
        <v>1026</v>
      </c>
      <c r="M217" s="28" t="s">
        <v>27</v>
      </c>
      <c r="N217" s="28" t="s">
        <v>28</v>
      </c>
      <c r="O217" s="29">
        <v>41115</v>
      </c>
      <c r="P217" s="28" t="s">
        <v>4435</v>
      </c>
      <c r="Q217" s="28"/>
      <c r="R217" s="28">
        <v>20</v>
      </c>
      <c r="S217" s="28" t="s">
        <v>29</v>
      </c>
    </row>
    <row r="218" spans="1:19" ht="29.25">
      <c r="A218" s="28">
        <v>102500</v>
      </c>
      <c r="B218" s="28" t="s">
        <v>20</v>
      </c>
      <c r="C218" s="28" t="s">
        <v>21</v>
      </c>
      <c r="D218" s="28" t="s">
        <v>21</v>
      </c>
      <c r="E218" s="28" t="s">
        <v>3030</v>
      </c>
      <c r="F218" s="28" t="s">
        <v>3031</v>
      </c>
      <c r="G218" s="28">
        <v>49.4</v>
      </c>
      <c r="H218" s="28" t="s">
        <v>5</v>
      </c>
      <c r="I218" s="28" t="s">
        <v>1924</v>
      </c>
      <c r="J218" s="28" t="s">
        <v>295</v>
      </c>
      <c r="K218" s="28" t="s">
        <v>580</v>
      </c>
      <c r="L218" s="28" t="s">
        <v>240</v>
      </c>
      <c r="M218" s="28" t="s">
        <v>38</v>
      </c>
      <c r="N218" s="28" t="s">
        <v>39</v>
      </c>
      <c r="O218" s="29">
        <v>40802</v>
      </c>
      <c r="P218" s="28" t="s">
        <v>3032</v>
      </c>
      <c r="Q218" s="28"/>
      <c r="R218" s="28">
        <v>49.5</v>
      </c>
      <c r="S218" s="28" t="s">
        <v>29</v>
      </c>
    </row>
    <row r="219" spans="1:19" ht="29.25">
      <c r="A219" s="28">
        <v>102600</v>
      </c>
      <c r="B219" s="28" t="s">
        <v>20</v>
      </c>
      <c r="C219" s="28" t="s">
        <v>21</v>
      </c>
      <c r="D219" s="28" t="s">
        <v>21</v>
      </c>
      <c r="E219" s="28" t="s">
        <v>3033</v>
      </c>
      <c r="F219" s="28" t="s">
        <v>3034</v>
      </c>
      <c r="G219" s="28">
        <v>49.4</v>
      </c>
      <c r="H219" s="28" t="s">
        <v>5</v>
      </c>
      <c r="I219" s="28" t="s">
        <v>1924</v>
      </c>
      <c r="J219" s="28" t="s">
        <v>295</v>
      </c>
      <c r="K219" s="28" t="s">
        <v>580</v>
      </c>
      <c r="L219" s="28" t="s">
        <v>240</v>
      </c>
      <c r="M219" s="28" t="s">
        <v>38</v>
      </c>
      <c r="N219" s="28" t="s">
        <v>39</v>
      </c>
      <c r="O219" s="29">
        <v>40802</v>
      </c>
      <c r="P219" s="28" t="s">
        <v>3032</v>
      </c>
      <c r="Q219" s="28"/>
      <c r="R219" s="28">
        <v>49.5</v>
      </c>
      <c r="S219" s="28" t="s">
        <v>29</v>
      </c>
    </row>
    <row r="220" spans="1:19">
      <c r="A220" s="28">
        <v>101900</v>
      </c>
      <c r="B220" s="28" t="s">
        <v>20</v>
      </c>
      <c r="C220" s="28" t="s">
        <v>21</v>
      </c>
      <c r="D220" s="28" t="s">
        <v>21</v>
      </c>
      <c r="E220" s="28" t="s">
        <v>3006</v>
      </c>
      <c r="F220" s="28" t="s">
        <v>3007</v>
      </c>
      <c r="G220" s="28">
        <v>49.4</v>
      </c>
      <c r="H220" s="28" t="s">
        <v>5</v>
      </c>
      <c r="I220" s="28" t="s">
        <v>3008</v>
      </c>
      <c r="J220" s="28" t="s">
        <v>295</v>
      </c>
      <c r="K220" s="28" t="s">
        <v>580</v>
      </c>
      <c r="L220" s="28" t="s">
        <v>240</v>
      </c>
      <c r="M220" s="28" t="s">
        <v>38</v>
      </c>
      <c r="N220" s="28" t="s">
        <v>1925</v>
      </c>
      <c r="O220" s="29">
        <v>40754</v>
      </c>
      <c r="P220" s="28"/>
      <c r="Q220" s="28"/>
      <c r="R220" s="28">
        <v>49.5</v>
      </c>
      <c r="S220" s="28" t="s">
        <v>29</v>
      </c>
    </row>
    <row r="221" spans="1:19">
      <c r="A221" s="28">
        <v>102000</v>
      </c>
      <c r="B221" s="28" t="s">
        <v>20</v>
      </c>
      <c r="C221" s="28" t="s">
        <v>21</v>
      </c>
      <c r="D221" s="28" t="s">
        <v>21</v>
      </c>
      <c r="E221" s="28" t="s">
        <v>3009</v>
      </c>
      <c r="F221" s="28" t="s">
        <v>3010</v>
      </c>
      <c r="G221" s="28">
        <v>49.4</v>
      </c>
      <c r="H221" s="28" t="s">
        <v>5</v>
      </c>
      <c r="I221" s="28" t="s">
        <v>3008</v>
      </c>
      <c r="J221" s="28" t="s">
        <v>295</v>
      </c>
      <c r="K221" s="28" t="s">
        <v>580</v>
      </c>
      <c r="L221" s="28" t="s">
        <v>240</v>
      </c>
      <c r="M221" s="28" t="s">
        <v>38</v>
      </c>
      <c r="N221" s="28" t="s">
        <v>1925</v>
      </c>
      <c r="O221" s="29">
        <v>40754</v>
      </c>
      <c r="P221" s="28"/>
      <c r="Q221" s="28"/>
      <c r="R221" s="28">
        <v>49.5</v>
      </c>
      <c r="S221" s="28" t="s">
        <v>29</v>
      </c>
    </row>
    <row r="222" spans="1:19">
      <c r="A222" s="28">
        <v>4500</v>
      </c>
      <c r="B222" s="28" t="s">
        <v>20</v>
      </c>
      <c r="C222" s="28" t="s">
        <v>21</v>
      </c>
      <c r="D222" s="28" t="s">
        <v>21</v>
      </c>
      <c r="E222" s="28" t="s">
        <v>178</v>
      </c>
      <c r="F222" s="28" t="s">
        <v>179</v>
      </c>
      <c r="G222" s="28">
        <v>24</v>
      </c>
      <c r="H222" s="28" t="s">
        <v>24</v>
      </c>
      <c r="I222" s="28" t="s">
        <v>4</v>
      </c>
      <c r="J222" s="28" t="s">
        <v>25</v>
      </c>
      <c r="K222" s="28" t="s">
        <v>25</v>
      </c>
      <c r="L222" s="28" t="s">
        <v>26</v>
      </c>
      <c r="M222" s="28" t="s">
        <v>27</v>
      </c>
      <c r="N222" s="28" t="s">
        <v>28</v>
      </c>
      <c r="O222" s="29">
        <v>7672</v>
      </c>
      <c r="P222" s="28"/>
      <c r="Q222" s="28" t="s">
        <v>175</v>
      </c>
      <c r="R222" s="28">
        <v>24</v>
      </c>
      <c r="S222" s="28" t="s">
        <v>29</v>
      </c>
    </row>
    <row r="223" spans="1:19">
      <c r="A223" s="28">
        <v>107900</v>
      </c>
      <c r="B223" s="28" t="s">
        <v>20</v>
      </c>
      <c r="C223" s="28" t="s">
        <v>21</v>
      </c>
      <c r="D223" s="28" t="s">
        <v>21</v>
      </c>
      <c r="E223" s="28" t="s">
        <v>4436</v>
      </c>
      <c r="F223" s="28" t="s">
        <v>4437</v>
      </c>
      <c r="G223" s="28">
        <v>110</v>
      </c>
      <c r="H223" s="28" t="s">
        <v>5</v>
      </c>
      <c r="I223" s="28" t="s">
        <v>4438</v>
      </c>
      <c r="J223" s="28" t="s">
        <v>1025</v>
      </c>
      <c r="K223" s="28" t="s">
        <v>2138</v>
      </c>
      <c r="L223" s="28" t="s">
        <v>1026</v>
      </c>
      <c r="M223" s="28" t="s">
        <v>38</v>
      </c>
      <c r="N223" s="28" t="s">
        <v>39</v>
      </c>
      <c r="O223" s="29">
        <v>41320</v>
      </c>
      <c r="P223" s="28"/>
      <c r="Q223" s="28"/>
      <c r="R223" s="28">
        <v>110</v>
      </c>
      <c r="S223" s="28" t="s">
        <v>29</v>
      </c>
    </row>
    <row r="224" spans="1:19">
      <c r="A224" s="24">
        <v>95700</v>
      </c>
      <c r="B224" s="24" t="s">
        <v>20</v>
      </c>
      <c r="C224" s="24" t="s">
        <v>21</v>
      </c>
      <c r="D224" s="24" t="s">
        <v>30</v>
      </c>
      <c r="E224" s="24" t="s">
        <v>2855</v>
      </c>
      <c r="F224" s="24" t="s">
        <v>2856</v>
      </c>
      <c r="G224" s="24">
        <v>47</v>
      </c>
      <c r="H224" s="24" t="s">
        <v>5</v>
      </c>
      <c r="I224" s="24" t="s">
        <v>5</v>
      </c>
      <c r="J224" s="24" t="s">
        <v>295</v>
      </c>
      <c r="K224" s="24" t="s">
        <v>580</v>
      </c>
      <c r="L224" s="24" t="s">
        <v>240</v>
      </c>
      <c r="M224" s="24" t="s">
        <v>38</v>
      </c>
      <c r="N224" s="24" t="s">
        <v>39</v>
      </c>
      <c r="O224" s="25">
        <v>39345</v>
      </c>
      <c r="P224" s="24"/>
      <c r="Q224" s="24"/>
      <c r="R224" s="24">
        <v>49</v>
      </c>
      <c r="S224" s="24" t="s">
        <v>29</v>
      </c>
    </row>
    <row r="225" spans="1:19" ht="29.25">
      <c r="A225" s="28">
        <v>110100</v>
      </c>
      <c r="B225" s="28" t="s">
        <v>20</v>
      </c>
      <c r="C225" s="28" t="s">
        <v>21</v>
      </c>
      <c r="D225" s="28" t="s">
        <v>21</v>
      </c>
      <c r="E225" s="28" t="s">
        <v>4439</v>
      </c>
      <c r="F225" s="28" t="s">
        <v>4440</v>
      </c>
      <c r="G225" s="28">
        <v>51.47</v>
      </c>
      <c r="H225" s="28" t="s">
        <v>143</v>
      </c>
      <c r="I225" s="28" t="s">
        <v>4441</v>
      </c>
      <c r="J225" s="28" t="s">
        <v>1025</v>
      </c>
      <c r="K225" s="28" t="s">
        <v>2138</v>
      </c>
      <c r="L225" s="28" t="s">
        <v>1026</v>
      </c>
      <c r="M225" s="28" t="s">
        <v>38</v>
      </c>
      <c r="N225" s="28" t="s">
        <v>144</v>
      </c>
      <c r="O225" s="29">
        <v>41563</v>
      </c>
      <c r="P225" s="28"/>
      <c r="Q225" s="28"/>
      <c r="R225" s="28">
        <v>127</v>
      </c>
      <c r="S225" s="28" t="s">
        <v>29</v>
      </c>
    </row>
    <row r="226" spans="1:19">
      <c r="A226" s="28">
        <v>5000</v>
      </c>
      <c r="B226" s="28" t="s">
        <v>20</v>
      </c>
      <c r="C226" s="28" t="s">
        <v>21</v>
      </c>
      <c r="D226" s="28" t="s">
        <v>21</v>
      </c>
      <c r="E226" s="28" t="s">
        <v>489</v>
      </c>
      <c r="F226" s="28" t="s">
        <v>490</v>
      </c>
      <c r="G226" s="28">
        <v>42</v>
      </c>
      <c r="H226" s="28" t="s">
        <v>24</v>
      </c>
      <c r="I226" s="28" t="s">
        <v>491</v>
      </c>
      <c r="J226" s="28" t="s">
        <v>25</v>
      </c>
      <c r="K226" s="28" t="s">
        <v>25</v>
      </c>
      <c r="L226" s="28" t="s">
        <v>26</v>
      </c>
      <c r="M226" s="28" t="s">
        <v>27</v>
      </c>
      <c r="N226" s="28" t="s">
        <v>28</v>
      </c>
      <c r="O226" s="29">
        <v>23743</v>
      </c>
      <c r="P226" s="28"/>
      <c r="Q226" s="28" t="s">
        <v>129</v>
      </c>
      <c r="R226" s="28">
        <v>42</v>
      </c>
      <c r="S226" s="28" t="s">
        <v>29</v>
      </c>
    </row>
    <row r="227" spans="1:19">
      <c r="A227" s="28">
        <v>98400</v>
      </c>
      <c r="B227" s="28" t="s">
        <v>20</v>
      </c>
      <c r="C227" s="28" t="s">
        <v>21</v>
      </c>
      <c r="D227" s="28" t="s">
        <v>21</v>
      </c>
      <c r="E227" s="28" t="s">
        <v>2917</v>
      </c>
      <c r="F227" s="28" t="s">
        <v>2918</v>
      </c>
      <c r="G227" s="28">
        <v>2</v>
      </c>
      <c r="H227" s="28" t="s">
        <v>5</v>
      </c>
      <c r="I227" s="28" t="s">
        <v>5</v>
      </c>
      <c r="J227" s="28" t="s">
        <v>1025</v>
      </c>
      <c r="K227" s="28" t="s">
        <v>2138</v>
      </c>
      <c r="L227" s="28" t="s">
        <v>1026</v>
      </c>
      <c r="M227" s="28" t="s">
        <v>38</v>
      </c>
      <c r="N227" s="28" t="s">
        <v>39</v>
      </c>
      <c r="O227" s="29">
        <v>40148</v>
      </c>
      <c r="P227" s="28"/>
      <c r="Q227" s="28"/>
      <c r="R227" s="28">
        <v>2</v>
      </c>
      <c r="S227" s="28" t="s">
        <v>29</v>
      </c>
    </row>
    <row r="228" spans="1:19" ht="29.25">
      <c r="A228" s="28">
        <v>100200</v>
      </c>
      <c r="B228" s="28" t="s">
        <v>20</v>
      </c>
      <c r="C228" s="28" t="s">
        <v>30</v>
      </c>
      <c r="D228" s="28" t="s">
        <v>21</v>
      </c>
      <c r="E228" s="28" t="s">
        <v>2967</v>
      </c>
      <c r="F228" s="28" t="s">
        <v>2968</v>
      </c>
      <c r="G228" s="28">
        <v>8</v>
      </c>
      <c r="H228" s="28" t="s">
        <v>5</v>
      </c>
      <c r="I228" s="28" t="s">
        <v>2969</v>
      </c>
      <c r="J228" s="28" t="s">
        <v>788</v>
      </c>
      <c r="K228" s="28" t="s">
        <v>296</v>
      </c>
      <c r="L228" s="28" t="s">
        <v>888</v>
      </c>
      <c r="M228" s="28" t="s">
        <v>38</v>
      </c>
      <c r="N228" s="28" t="s">
        <v>39</v>
      </c>
      <c r="O228" s="29">
        <v>40505</v>
      </c>
      <c r="P228" s="28"/>
      <c r="Q228" s="28"/>
      <c r="R228" s="28">
        <v>9.1999999999999993</v>
      </c>
      <c r="S228" s="28" t="s">
        <v>29</v>
      </c>
    </row>
    <row r="229" spans="1:19">
      <c r="A229" s="28">
        <v>96400</v>
      </c>
      <c r="B229" s="28" t="s">
        <v>20</v>
      </c>
      <c r="C229" s="28" t="s">
        <v>21</v>
      </c>
      <c r="D229" s="28" t="s">
        <v>21</v>
      </c>
      <c r="E229" s="28" t="s">
        <v>2872</v>
      </c>
      <c r="F229" s="28" t="s">
        <v>2873</v>
      </c>
      <c r="G229" s="28">
        <v>10.8</v>
      </c>
      <c r="H229" s="28" t="s">
        <v>24</v>
      </c>
      <c r="I229" s="28" t="s">
        <v>2874</v>
      </c>
      <c r="J229" s="28" t="s">
        <v>788</v>
      </c>
      <c r="K229" s="28" t="s">
        <v>366</v>
      </c>
      <c r="L229" s="28" t="s">
        <v>888</v>
      </c>
      <c r="M229" s="28" t="s">
        <v>27</v>
      </c>
      <c r="N229" s="28" t="s">
        <v>28</v>
      </c>
      <c r="O229" s="29">
        <v>39576</v>
      </c>
      <c r="P229" s="28"/>
      <c r="Q229" s="28"/>
      <c r="R229" s="28">
        <v>12.5</v>
      </c>
      <c r="S229" s="28" t="s">
        <v>29</v>
      </c>
    </row>
    <row r="230" spans="1:19">
      <c r="A230" s="24">
        <v>91300</v>
      </c>
      <c r="B230" s="24" t="s">
        <v>20</v>
      </c>
      <c r="C230" s="24" t="s">
        <v>21</v>
      </c>
      <c r="D230" s="24" t="s">
        <v>30</v>
      </c>
      <c r="E230" s="24" t="s">
        <v>2689</v>
      </c>
      <c r="F230" s="24" t="s">
        <v>2690</v>
      </c>
      <c r="G230" s="24">
        <v>28</v>
      </c>
      <c r="H230" s="24" t="s">
        <v>5</v>
      </c>
      <c r="I230" s="24" t="s">
        <v>2691</v>
      </c>
      <c r="J230" s="24" t="s">
        <v>365</v>
      </c>
      <c r="K230" s="24" t="s">
        <v>705</v>
      </c>
      <c r="L230" s="24" t="s">
        <v>240</v>
      </c>
      <c r="M230" s="24" t="s">
        <v>38</v>
      </c>
      <c r="N230" s="24" t="s">
        <v>39</v>
      </c>
      <c r="O230" s="25">
        <v>38411</v>
      </c>
      <c r="P230" s="24"/>
      <c r="Q230" s="24"/>
      <c r="R230" s="24">
        <v>32.270000000000003</v>
      </c>
      <c r="S230" s="24" t="s">
        <v>29</v>
      </c>
    </row>
    <row r="231" spans="1:19" ht="29.25">
      <c r="A231" s="26">
        <v>91301</v>
      </c>
      <c r="B231" s="26" t="s">
        <v>20</v>
      </c>
      <c r="C231" s="26" t="s">
        <v>21</v>
      </c>
      <c r="D231" s="26" t="s">
        <v>21</v>
      </c>
      <c r="E231" s="26" t="s">
        <v>2692</v>
      </c>
      <c r="F231" s="26" t="s">
        <v>2693</v>
      </c>
      <c r="G231" s="26">
        <v>21.6</v>
      </c>
      <c r="H231" s="26" t="s">
        <v>5</v>
      </c>
      <c r="I231" s="26" t="s">
        <v>2691</v>
      </c>
      <c r="J231" s="26" t="s">
        <v>365</v>
      </c>
      <c r="K231" s="26" t="s">
        <v>580</v>
      </c>
      <c r="L231" s="26" t="s">
        <v>240</v>
      </c>
      <c r="M231" s="26" t="s">
        <v>38</v>
      </c>
      <c r="N231" s="26" t="s">
        <v>39</v>
      </c>
      <c r="O231" s="27">
        <v>38411</v>
      </c>
      <c r="P231" s="26"/>
      <c r="Q231" s="26"/>
      <c r="R231" s="26">
        <v>23.8</v>
      </c>
      <c r="S231" s="26" t="s">
        <v>29</v>
      </c>
    </row>
    <row r="232" spans="1:19" ht="29.25">
      <c r="A232" s="26">
        <v>91302</v>
      </c>
      <c r="B232" s="26" t="s">
        <v>20</v>
      </c>
      <c r="C232" s="26" t="s">
        <v>21</v>
      </c>
      <c r="D232" s="26" t="s">
        <v>21</v>
      </c>
      <c r="E232" s="26" t="s">
        <v>2694</v>
      </c>
      <c r="F232" s="26" t="s">
        <v>2695</v>
      </c>
      <c r="G232" s="26">
        <v>6.4</v>
      </c>
      <c r="H232" s="26" t="s">
        <v>5</v>
      </c>
      <c r="I232" s="26" t="s">
        <v>2691</v>
      </c>
      <c r="J232" s="26" t="s">
        <v>365</v>
      </c>
      <c r="K232" s="26" t="s">
        <v>366</v>
      </c>
      <c r="L232" s="26" t="s">
        <v>712</v>
      </c>
      <c r="M232" s="26" t="s">
        <v>38</v>
      </c>
      <c r="N232" s="26" t="s">
        <v>39</v>
      </c>
      <c r="O232" s="27">
        <v>38411</v>
      </c>
      <c r="P232" s="26"/>
      <c r="Q232" s="26"/>
      <c r="R232" s="26">
        <v>8.4700000000000006</v>
      </c>
      <c r="S232" s="26" t="s">
        <v>29</v>
      </c>
    </row>
    <row r="233" spans="1:19">
      <c r="A233" s="28">
        <v>112200</v>
      </c>
      <c r="B233" s="28" t="s">
        <v>20</v>
      </c>
      <c r="C233" s="28" t="s">
        <v>21</v>
      </c>
      <c r="D233" s="28" t="s">
        <v>21</v>
      </c>
      <c r="E233" s="28" t="s">
        <v>4717</v>
      </c>
      <c r="F233" s="28" t="s">
        <v>4718</v>
      </c>
      <c r="G233" s="28">
        <v>1.5</v>
      </c>
      <c r="H233" s="28" t="s">
        <v>24</v>
      </c>
      <c r="I233" s="28" t="s">
        <v>4718</v>
      </c>
      <c r="J233" s="28" t="s">
        <v>788</v>
      </c>
      <c r="K233" s="28" t="s">
        <v>296</v>
      </c>
      <c r="L233" s="28" t="s">
        <v>888</v>
      </c>
      <c r="M233" s="28" t="s">
        <v>3325</v>
      </c>
      <c r="N233" s="28" t="s">
        <v>28</v>
      </c>
      <c r="O233" s="29">
        <v>41476</v>
      </c>
      <c r="P233" s="28"/>
      <c r="Q233" s="28"/>
      <c r="R233" s="28">
        <v>1.5</v>
      </c>
      <c r="S233" s="28" t="s">
        <v>29</v>
      </c>
    </row>
    <row r="234" spans="1:19">
      <c r="A234" s="28">
        <v>5600</v>
      </c>
      <c r="B234" s="28" t="s">
        <v>20</v>
      </c>
      <c r="C234" s="28" t="s">
        <v>21</v>
      </c>
      <c r="D234" s="28" t="s">
        <v>21</v>
      </c>
      <c r="E234" s="28" t="s">
        <v>609</v>
      </c>
      <c r="F234" s="28" t="s">
        <v>610</v>
      </c>
      <c r="G234" s="28">
        <v>176.72</v>
      </c>
      <c r="H234" s="28" t="s">
        <v>24</v>
      </c>
      <c r="I234" s="28" t="s">
        <v>512</v>
      </c>
      <c r="J234" s="28" t="s">
        <v>25</v>
      </c>
      <c r="K234" s="28" t="s">
        <v>25</v>
      </c>
      <c r="L234" s="28" t="s">
        <v>26</v>
      </c>
      <c r="M234" s="28" t="s">
        <v>27</v>
      </c>
      <c r="N234" s="28" t="s">
        <v>28</v>
      </c>
      <c r="O234" s="29">
        <v>25204</v>
      </c>
      <c r="P234" s="28"/>
      <c r="Q234" s="28" t="s">
        <v>611</v>
      </c>
      <c r="R234" s="28">
        <v>176.72</v>
      </c>
      <c r="S234" s="28" t="s">
        <v>29</v>
      </c>
    </row>
    <row r="235" spans="1:19">
      <c r="A235" s="28">
        <v>5700</v>
      </c>
      <c r="B235" s="28" t="s">
        <v>20</v>
      </c>
      <c r="C235" s="28" t="s">
        <v>21</v>
      </c>
      <c r="D235" s="28" t="s">
        <v>21</v>
      </c>
      <c r="E235" s="28" t="s">
        <v>612</v>
      </c>
      <c r="F235" s="28" t="s">
        <v>613</v>
      </c>
      <c r="G235" s="28">
        <v>175.67</v>
      </c>
      <c r="H235" s="28" t="s">
        <v>24</v>
      </c>
      <c r="I235" s="28" t="s">
        <v>512</v>
      </c>
      <c r="J235" s="28" t="s">
        <v>25</v>
      </c>
      <c r="K235" s="28" t="s">
        <v>25</v>
      </c>
      <c r="L235" s="28" t="s">
        <v>26</v>
      </c>
      <c r="M235" s="28" t="s">
        <v>27</v>
      </c>
      <c r="N235" s="28" t="s">
        <v>28</v>
      </c>
      <c r="O235" s="29">
        <v>25204</v>
      </c>
      <c r="P235" s="28"/>
      <c r="Q235" s="28" t="s">
        <v>611</v>
      </c>
      <c r="R235" s="28">
        <v>175.67</v>
      </c>
      <c r="S235" s="28" t="s">
        <v>29</v>
      </c>
    </row>
    <row r="236" spans="1:19">
      <c r="A236" s="28">
        <v>100300</v>
      </c>
      <c r="B236" s="28" t="s">
        <v>20</v>
      </c>
      <c r="C236" s="28" t="s">
        <v>21</v>
      </c>
      <c r="D236" s="28" t="s">
        <v>21</v>
      </c>
      <c r="E236" s="28" t="s">
        <v>2970</v>
      </c>
      <c r="F236" s="28" t="s">
        <v>2971</v>
      </c>
      <c r="G236" s="28">
        <v>668</v>
      </c>
      <c r="H236" s="28" t="s">
        <v>24</v>
      </c>
      <c r="I236" s="28" t="s">
        <v>4</v>
      </c>
      <c r="J236" s="28" t="s">
        <v>694</v>
      </c>
      <c r="K236" s="28" t="s">
        <v>580</v>
      </c>
      <c r="L236" s="28" t="s">
        <v>240</v>
      </c>
      <c r="M236" s="28" t="s">
        <v>27</v>
      </c>
      <c r="N236" s="28" t="s">
        <v>28</v>
      </c>
      <c r="O236" s="29">
        <v>40534</v>
      </c>
      <c r="P236" s="28"/>
      <c r="Q236" s="28"/>
      <c r="R236" s="28">
        <v>715</v>
      </c>
      <c r="S236" s="28" t="s">
        <v>29</v>
      </c>
    </row>
    <row r="237" spans="1:19" ht="43.5">
      <c r="A237" s="24">
        <v>94000</v>
      </c>
      <c r="B237" s="24" t="s">
        <v>20</v>
      </c>
      <c r="C237" s="24" t="s">
        <v>30</v>
      </c>
      <c r="D237" s="24" t="s">
        <v>30</v>
      </c>
      <c r="E237" s="24" t="s">
        <v>3132</v>
      </c>
      <c r="F237" s="24" t="s">
        <v>3133</v>
      </c>
      <c r="G237" s="24">
        <v>1.5</v>
      </c>
      <c r="H237" s="24" t="s">
        <v>24</v>
      </c>
      <c r="I237" s="24" t="s">
        <v>3134</v>
      </c>
      <c r="J237" s="24" t="s">
        <v>25</v>
      </c>
      <c r="K237" s="24" t="s">
        <v>25</v>
      </c>
      <c r="L237" s="24" t="s">
        <v>26</v>
      </c>
      <c r="M237" s="24" t="s">
        <v>27</v>
      </c>
      <c r="N237" s="24" t="s">
        <v>28</v>
      </c>
      <c r="O237" s="263">
        <v>30798</v>
      </c>
      <c r="P237" s="24" t="s">
        <v>3135</v>
      </c>
      <c r="Q237" s="24"/>
      <c r="R237" s="24">
        <v>1.5</v>
      </c>
      <c r="S237" s="24" t="s">
        <v>29</v>
      </c>
    </row>
    <row r="238" spans="1:19" ht="29.25">
      <c r="A238" s="26">
        <v>65506</v>
      </c>
      <c r="B238" s="26" t="s">
        <v>87</v>
      </c>
      <c r="C238" s="26" t="s">
        <v>30</v>
      </c>
      <c r="D238" s="26" t="s">
        <v>21</v>
      </c>
      <c r="E238" s="26"/>
      <c r="F238" s="26" t="s">
        <v>1672</v>
      </c>
      <c r="G238" s="26"/>
      <c r="H238" s="26" t="s">
        <v>24</v>
      </c>
      <c r="I238" s="26" t="s">
        <v>1673</v>
      </c>
      <c r="J238" s="26" t="s">
        <v>25</v>
      </c>
      <c r="K238" s="26" t="s">
        <v>25</v>
      </c>
      <c r="L238" s="26" t="s">
        <v>26</v>
      </c>
      <c r="M238" s="26" t="s">
        <v>27</v>
      </c>
      <c r="N238" s="26" t="s">
        <v>28</v>
      </c>
      <c r="O238" s="27">
        <v>32226</v>
      </c>
      <c r="P238" s="26" t="s">
        <v>1674</v>
      </c>
      <c r="Q238" s="26"/>
      <c r="R238" s="26">
        <v>0.33</v>
      </c>
      <c r="S238" s="26" t="s">
        <v>29</v>
      </c>
    </row>
    <row r="239" spans="1:19" ht="57.75">
      <c r="A239" s="26">
        <v>65507</v>
      </c>
      <c r="B239" s="26" t="s">
        <v>87</v>
      </c>
      <c r="C239" s="26" t="s">
        <v>30</v>
      </c>
      <c r="D239" s="26" t="s">
        <v>21</v>
      </c>
      <c r="E239" s="26"/>
      <c r="F239" s="26" t="s">
        <v>1053</v>
      </c>
      <c r="G239" s="26">
        <v>1.5</v>
      </c>
      <c r="H239" s="26" t="s">
        <v>24</v>
      </c>
      <c r="I239" s="26" t="s">
        <v>1054</v>
      </c>
      <c r="J239" s="26" t="s">
        <v>25</v>
      </c>
      <c r="K239" s="26" t="s">
        <v>25</v>
      </c>
      <c r="L239" s="26" t="s">
        <v>26</v>
      </c>
      <c r="M239" s="26" t="s">
        <v>27</v>
      </c>
      <c r="N239" s="26" t="s">
        <v>28</v>
      </c>
      <c r="O239" s="27">
        <v>30798</v>
      </c>
      <c r="P239" s="26" t="s">
        <v>1055</v>
      </c>
      <c r="Q239" s="26"/>
      <c r="R239" s="26">
        <v>1.5</v>
      </c>
      <c r="S239" s="26" t="s">
        <v>29</v>
      </c>
    </row>
    <row r="240" spans="1:19">
      <c r="A240" s="28">
        <v>6100</v>
      </c>
      <c r="B240" s="28" t="s">
        <v>20</v>
      </c>
      <c r="C240" s="28" t="s">
        <v>21</v>
      </c>
      <c r="D240" s="28" t="s">
        <v>21</v>
      </c>
      <c r="E240" s="28" t="s">
        <v>471</v>
      </c>
      <c r="F240" s="28" t="s">
        <v>472</v>
      </c>
      <c r="G240" s="28">
        <v>337</v>
      </c>
      <c r="H240" s="28" t="s">
        <v>24</v>
      </c>
      <c r="I240" s="28" t="s">
        <v>435</v>
      </c>
      <c r="J240" s="28" t="s">
        <v>365</v>
      </c>
      <c r="K240" s="28" t="s">
        <v>366</v>
      </c>
      <c r="L240" s="28" t="s">
        <v>240</v>
      </c>
      <c r="M240" s="28" t="s">
        <v>27</v>
      </c>
      <c r="N240" s="28" t="s">
        <v>28</v>
      </c>
      <c r="O240" s="29">
        <v>23377</v>
      </c>
      <c r="P240" s="28"/>
      <c r="Q240" s="28"/>
      <c r="R240" s="28">
        <v>330</v>
      </c>
      <c r="S240" s="28" t="s">
        <v>29</v>
      </c>
    </row>
    <row r="241" spans="1:19">
      <c r="A241" s="28">
        <v>6200</v>
      </c>
      <c r="B241" s="28" t="s">
        <v>20</v>
      </c>
      <c r="C241" s="28" t="s">
        <v>21</v>
      </c>
      <c r="D241" s="28" t="s">
        <v>21</v>
      </c>
      <c r="E241" s="28" t="s">
        <v>473</v>
      </c>
      <c r="F241" s="28" t="s">
        <v>474</v>
      </c>
      <c r="G241" s="28">
        <v>337</v>
      </c>
      <c r="H241" s="28" t="s">
        <v>24</v>
      </c>
      <c r="I241" s="28" t="s">
        <v>435</v>
      </c>
      <c r="J241" s="28" t="s">
        <v>365</v>
      </c>
      <c r="K241" s="28" t="s">
        <v>366</v>
      </c>
      <c r="L241" s="28" t="s">
        <v>240</v>
      </c>
      <c r="M241" s="28" t="s">
        <v>27</v>
      </c>
      <c r="N241" s="28" t="s">
        <v>28</v>
      </c>
      <c r="O241" s="29">
        <v>23377</v>
      </c>
      <c r="P241" s="28"/>
      <c r="Q241" s="28"/>
      <c r="R241" s="28">
        <v>330</v>
      </c>
      <c r="S241" s="28" t="s">
        <v>29</v>
      </c>
    </row>
    <row r="242" spans="1:19">
      <c r="A242" s="28">
        <v>6300</v>
      </c>
      <c r="B242" s="28" t="s">
        <v>20</v>
      </c>
      <c r="C242" s="28" t="s">
        <v>21</v>
      </c>
      <c r="D242" s="28" t="s">
        <v>21</v>
      </c>
      <c r="E242" s="28" t="s">
        <v>443</v>
      </c>
      <c r="F242" s="28" t="s">
        <v>444</v>
      </c>
      <c r="G242" s="28">
        <v>63</v>
      </c>
      <c r="H242" s="28" t="s">
        <v>5</v>
      </c>
      <c r="I242" s="28" t="s">
        <v>445</v>
      </c>
      <c r="J242" s="28" t="s">
        <v>365</v>
      </c>
      <c r="K242" s="28" t="s">
        <v>366</v>
      </c>
      <c r="L242" s="28" t="s">
        <v>240</v>
      </c>
      <c r="M242" s="28" t="s">
        <v>38</v>
      </c>
      <c r="N242" s="28" t="s">
        <v>39</v>
      </c>
      <c r="O242" s="29">
        <v>22282</v>
      </c>
      <c r="P242" s="28"/>
      <c r="Q242" s="28"/>
      <c r="R242" s="28">
        <v>65</v>
      </c>
      <c r="S242" s="28" t="s">
        <v>29</v>
      </c>
    </row>
    <row r="243" spans="1:19">
      <c r="A243" s="28">
        <v>6400</v>
      </c>
      <c r="B243" s="28" t="s">
        <v>20</v>
      </c>
      <c r="C243" s="28" t="s">
        <v>21</v>
      </c>
      <c r="D243" s="28" t="s">
        <v>21</v>
      </c>
      <c r="E243" s="28" t="s">
        <v>475</v>
      </c>
      <c r="F243" s="28" t="s">
        <v>476</v>
      </c>
      <c r="G243" s="28">
        <v>81.5</v>
      </c>
      <c r="H243" s="28" t="s">
        <v>5</v>
      </c>
      <c r="I243" s="28" t="s">
        <v>445</v>
      </c>
      <c r="J243" s="28" t="s">
        <v>365</v>
      </c>
      <c r="K243" s="28" t="s">
        <v>366</v>
      </c>
      <c r="L243" s="28" t="s">
        <v>240</v>
      </c>
      <c r="M243" s="28" t="s">
        <v>38</v>
      </c>
      <c r="N243" s="28" t="s">
        <v>39</v>
      </c>
      <c r="O243" s="29">
        <v>23377</v>
      </c>
      <c r="P243" s="28"/>
      <c r="Q243" s="28"/>
      <c r="R243" s="28">
        <v>71</v>
      </c>
      <c r="S243" s="28" t="s">
        <v>29</v>
      </c>
    </row>
    <row r="244" spans="1:19">
      <c r="A244" s="28">
        <v>101200</v>
      </c>
      <c r="B244" s="28" t="s">
        <v>20</v>
      </c>
      <c r="C244" s="28" t="s">
        <v>21</v>
      </c>
      <c r="D244" s="28" t="s">
        <v>21</v>
      </c>
      <c r="E244" s="28" t="s">
        <v>2935</v>
      </c>
      <c r="F244" s="28" t="s">
        <v>2936</v>
      </c>
      <c r="G244" s="28">
        <v>48</v>
      </c>
      <c r="H244" s="28" t="s">
        <v>5</v>
      </c>
      <c r="I244" s="28" t="s">
        <v>2937</v>
      </c>
      <c r="J244" s="28" t="s">
        <v>1025</v>
      </c>
      <c r="K244" s="28" t="s">
        <v>2138</v>
      </c>
      <c r="L244" s="28" t="s">
        <v>1026</v>
      </c>
      <c r="M244" s="28" t="s">
        <v>38</v>
      </c>
      <c r="N244" s="28" t="s">
        <v>39</v>
      </c>
      <c r="O244" s="29">
        <v>40344</v>
      </c>
      <c r="P244" s="28" t="s">
        <v>2938</v>
      </c>
      <c r="Q244" s="28"/>
      <c r="R244" s="28">
        <v>48</v>
      </c>
      <c r="S244" s="28" t="s">
        <v>29</v>
      </c>
    </row>
    <row r="245" spans="1:19">
      <c r="A245" s="28">
        <v>105200</v>
      </c>
      <c r="B245" s="28" t="s">
        <v>20</v>
      </c>
      <c r="C245" s="28" t="s">
        <v>21</v>
      </c>
      <c r="D245" s="28" t="s">
        <v>21</v>
      </c>
      <c r="E245" s="28" t="s">
        <v>4442</v>
      </c>
      <c r="F245" s="28" t="s">
        <v>4443</v>
      </c>
      <c r="G245" s="28">
        <v>92</v>
      </c>
      <c r="H245" s="28" t="s">
        <v>5</v>
      </c>
      <c r="I245" s="28" t="s">
        <v>4444</v>
      </c>
      <c r="J245" s="28" t="s">
        <v>1025</v>
      </c>
      <c r="K245" s="28" t="s">
        <v>2138</v>
      </c>
      <c r="L245" s="28" t="s">
        <v>1026</v>
      </c>
      <c r="M245" s="28" t="s">
        <v>38</v>
      </c>
      <c r="N245" s="28" t="s">
        <v>39</v>
      </c>
      <c r="O245" s="29">
        <v>41124</v>
      </c>
      <c r="P245" s="28"/>
      <c r="Q245" s="28"/>
      <c r="R245" s="28">
        <v>92</v>
      </c>
      <c r="S245" s="28" t="s">
        <v>29</v>
      </c>
    </row>
    <row r="246" spans="1:19" ht="43.5">
      <c r="A246" s="28">
        <v>103900</v>
      </c>
      <c r="B246" s="28" t="s">
        <v>20</v>
      </c>
      <c r="C246" s="28" t="s">
        <v>21</v>
      </c>
      <c r="D246" s="28" t="s">
        <v>21</v>
      </c>
      <c r="E246" s="28" t="s">
        <v>3085</v>
      </c>
      <c r="F246" s="28" t="s">
        <v>966</v>
      </c>
      <c r="G246" s="28">
        <v>102</v>
      </c>
      <c r="H246" s="28" t="s">
        <v>5</v>
      </c>
      <c r="I246" s="28" t="s">
        <v>3086</v>
      </c>
      <c r="J246" s="28" t="s">
        <v>781</v>
      </c>
      <c r="K246" s="28" t="s">
        <v>781</v>
      </c>
      <c r="L246" s="28" t="s">
        <v>781</v>
      </c>
      <c r="M246" s="28" t="s">
        <v>38</v>
      </c>
      <c r="N246" s="28" t="s">
        <v>39</v>
      </c>
      <c r="O246" s="29">
        <v>40997</v>
      </c>
      <c r="P246" s="28" t="s">
        <v>3087</v>
      </c>
      <c r="Q246" s="28"/>
      <c r="R246" s="28">
        <v>102</v>
      </c>
      <c r="S246" s="28" t="s">
        <v>29</v>
      </c>
    </row>
    <row r="247" spans="1:19">
      <c r="A247" s="28">
        <v>104400</v>
      </c>
      <c r="B247" s="28" t="s">
        <v>20</v>
      </c>
      <c r="C247" s="28" t="s">
        <v>30</v>
      </c>
      <c r="D247" s="28" t="s">
        <v>21</v>
      </c>
      <c r="E247" s="28" t="s">
        <v>965</v>
      </c>
      <c r="F247" s="28" t="s">
        <v>966</v>
      </c>
      <c r="G247" s="28">
        <v>7.5</v>
      </c>
      <c r="H247" s="28" t="s">
        <v>5</v>
      </c>
      <c r="I247" s="28" t="s">
        <v>967</v>
      </c>
      <c r="J247" s="28" t="s">
        <v>781</v>
      </c>
      <c r="K247" s="28" t="s">
        <v>781</v>
      </c>
      <c r="L247" s="28" t="s">
        <v>781</v>
      </c>
      <c r="M247" s="28" t="s">
        <v>38</v>
      </c>
      <c r="N247" s="28" t="s">
        <v>39</v>
      </c>
      <c r="O247" s="29">
        <v>30651</v>
      </c>
      <c r="P247" s="28"/>
      <c r="Q247" s="28"/>
      <c r="R247" s="28">
        <v>7.5</v>
      </c>
      <c r="S247" s="28" t="s">
        <v>29</v>
      </c>
    </row>
    <row r="248" spans="1:19">
      <c r="A248" s="28">
        <v>113100</v>
      </c>
      <c r="B248" s="28" t="s">
        <v>20</v>
      </c>
      <c r="C248" s="28" t="s">
        <v>21</v>
      </c>
      <c r="D248" s="28" t="s">
        <v>21</v>
      </c>
      <c r="E248" s="28" t="s">
        <v>4684</v>
      </c>
      <c r="F248" s="28" t="s">
        <v>4719</v>
      </c>
      <c r="G248" s="28">
        <v>20</v>
      </c>
      <c r="H248" s="28" t="s">
        <v>24</v>
      </c>
      <c r="I248" s="28" t="s">
        <v>4720</v>
      </c>
      <c r="J248" s="28" t="s">
        <v>1025</v>
      </c>
      <c r="K248" s="28" t="s">
        <v>2138</v>
      </c>
      <c r="L248" s="28" t="s">
        <v>1026</v>
      </c>
      <c r="M248" s="28" t="s">
        <v>27</v>
      </c>
      <c r="N248" s="28" t="s">
        <v>1420</v>
      </c>
      <c r="O248" s="29">
        <v>41500</v>
      </c>
      <c r="P248" s="28"/>
      <c r="Q248" s="28"/>
      <c r="R248" s="28">
        <v>20</v>
      </c>
      <c r="S248" s="28" t="s">
        <v>29</v>
      </c>
    </row>
    <row r="249" spans="1:19">
      <c r="A249" s="28">
        <v>6900</v>
      </c>
      <c r="B249" s="28" t="s">
        <v>20</v>
      </c>
      <c r="C249" s="28" t="s">
        <v>30</v>
      </c>
      <c r="D249" s="28" t="s">
        <v>21</v>
      </c>
      <c r="E249" s="28" t="s">
        <v>1762</v>
      </c>
      <c r="F249" s="28" t="s">
        <v>1763</v>
      </c>
      <c r="G249" s="28">
        <v>9.99</v>
      </c>
      <c r="H249" s="28" t="s">
        <v>5</v>
      </c>
      <c r="I249" s="28" t="s">
        <v>1764</v>
      </c>
      <c r="J249" s="28" t="s">
        <v>788</v>
      </c>
      <c r="K249" s="28" t="s">
        <v>366</v>
      </c>
      <c r="L249" s="28" t="s">
        <v>888</v>
      </c>
      <c r="M249" s="28" t="s">
        <v>38</v>
      </c>
      <c r="N249" s="28" t="s">
        <v>39</v>
      </c>
      <c r="O249" s="29">
        <v>32509</v>
      </c>
      <c r="P249" s="28"/>
      <c r="Q249" s="28"/>
      <c r="R249" s="28">
        <v>17.100000000000001</v>
      </c>
      <c r="S249" s="28" t="s">
        <v>29</v>
      </c>
    </row>
    <row r="250" spans="1:19">
      <c r="A250" s="28">
        <v>7300</v>
      </c>
      <c r="B250" s="28" t="s">
        <v>20</v>
      </c>
      <c r="C250" s="28" t="s">
        <v>21</v>
      </c>
      <c r="D250" s="28" t="s">
        <v>21</v>
      </c>
      <c r="E250" s="28" t="s">
        <v>455</v>
      </c>
      <c r="F250" s="28" t="s">
        <v>456</v>
      </c>
      <c r="G250" s="28">
        <v>18.5</v>
      </c>
      <c r="H250" s="28" t="s">
        <v>24</v>
      </c>
      <c r="I250" s="28" t="s">
        <v>4</v>
      </c>
      <c r="J250" s="28" t="s">
        <v>25</v>
      </c>
      <c r="K250" s="28" t="s">
        <v>25</v>
      </c>
      <c r="L250" s="28" t="s">
        <v>26</v>
      </c>
      <c r="M250" s="28" t="s">
        <v>27</v>
      </c>
      <c r="N250" s="28" t="s">
        <v>28</v>
      </c>
      <c r="O250" s="29">
        <v>23012</v>
      </c>
      <c r="P250" s="28"/>
      <c r="Q250" s="28" t="s">
        <v>457</v>
      </c>
      <c r="R250" s="28">
        <v>18.5</v>
      </c>
      <c r="S250" s="28" t="s">
        <v>29</v>
      </c>
    </row>
    <row r="251" spans="1:19">
      <c r="A251" s="28">
        <v>7400</v>
      </c>
      <c r="B251" s="28" t="s">
        <v>20</v>
      </c>
      <c r="C251" s="28" t="s">
        <v>21</v>
      </c>
      <c r="D251" s="28" t="s">
        <v>21</v>
      </c>
      <c r="E251" s="28" t="s">
        <v>82</v>
      </c>
      <c r="F251" s="28" t="s">
        <v>83</v>
      </c>
      <c r="G251" s="28">
        <v>7</v>
      </c>
      <c r="H251" s="28" t="s">
        <v>24</v>
      </c>
      <c r="I251" s="28" t="s">
        <v>4</v>
      </c>
      <c r="J251" s="28" t="s">
        <v>25</v>
      </c>
      <c r="K251" s="28" t="s">
        <v>25</v>
      </c>
      <c r="L251" s="28" t="s">
        <v>26</v>
      </c>
      <c r="M251" s="28" t="s">
        <v>27</v>
      </c>
      <c r="N251" s="28" t="s">
        <v>28</v>
      </c>
      <c r="O251" s="29">
        <v>2923</v>
      </c>
      <c r="P251" s="28"/>
      <c r="Q251" s="28"/>
      <c r="R251" s="28">
        <v>7</v>
      </c>
      <c r="S251" s="28" t="s">
        <v>29</v>
      </c>
    </row>
    <row r="252" spans="1:19" ht="29.25">
      <c r="A252" s="24">
        <v>7500</v>
      </c>
      <c r="B252" s="24" t="s">
        <v>20</v>
      </c>
      <c r="C252" s="24" t="s">
        <v>30</v>
      </c>
      <c r="D252" s="24" t="s">
        <v>30</v>
      </c>
      <c r="E252" s="24" t="s">
        <v>1929</v>
      </c>
      <c r="F252" s="24" t="s">
        <v>1930</v>
      </c>
      <c r="G252" s="24">
        <v>49</v>
      </c>
      <c r="H252" s="24" t="s">
        <v>5</v>
      </c>
      <c r="I252" s="24" t="s">
        <v>1931</v>
      </c>
      <c r="J252" s="24" t="s">
        <v>788</v>
      </c>
      <c r="K252" s="24" t="s">
        <v>366</v>
      </c>
      <c r="L252" s="24" t="s">
        <v>789</v>
      </c>
      <c r="M252" s="24" t="s">
        <v>38</v>
      </c>
      <c r="N252" s="24" t="s">
        <v>39</v>
      </c>
      <c r="O252" s="25">
        <v>32874</v>
      </c>
      <c r="P252" s="24"/>
      <c r="Q252" s="24"/>
      <c r="R252" s="24">
        <v>58</v>
      </c>
      <c r="S252" s="24" t="s">
        <v>29</v>
      </c>
    </row>
    <row r="253" spans="1:19" ht="29.25">
      <c r="A253" s="26">
        <v>7501</v>
      </c>
      <c r="B253" s="26" t="s">
        <v>20</v>
      </c>
      <c r="C253" s="26" t="s">
        <v>30</v>
      </c>
      <c r="D253" s="26" t="s">
        <v>21</v>
      </c>
      <c r="E253" s="26" t="s">
        <v>1932</v>
      </c>
      <c r="F253" s="26" t="s">
        <v>1933</v>
      </c>
      <c r="G253" s="26">
        <v>32</v>
      </c>
      <c r="H253" s="26" t="s">
        <v>5</v>
      </c>
      <c r="I253" s="26" t="s">
        <v>1931</v>
      </c>
      <c r="J253" s="26" t="s">
        <v>788</v>
      </c>
      <c r="K253" s="26" t="s">
        <v>366</v>
      </c>
      <c r="L253" s="26" t="s">
        <v>789</v>
      </c>
      <c r="M253" s="26" t="s">
        <v>38</v>
      </c>
      <c r="N253" s="26" t="s">
        <v>39</v>
      </c>
      <c r="O253" s="27">
        <v>32874</v>
      </c>
      <c r="P253" s="26"/>
      <c r="Q253" s="26"/>
      <c r="R253" s="26">
        <v>32</v>
      </c>
      <c r="S253" s="26" t="s">
        <v>29</v>
      </c>
    </row>
    <row r="254" spans="1:19" ht="29.25">
      <c r="A254" s="26">
        <v>7502</v>
      </c>
      <c r="B254" s="26" t="s">
        <v>20</v>
      </c>
      <c r="C254" s="26" t="s">
        <v>30</v>
      </c>
      <c r="D254" s="26" t="s">
        <v>21</v>
      </c>
      <c r="E254" s="26" t="s">
        <v>2123</v>
      </c>
      <c r="F254" s="26" t="s">
        <v>2124</v>
      </c>
      <c r="G254" s="26">
        <v>26</v>
      </c>
      <c r="H254" s="26" t="s">
        <v>5</v>
      </c>
      <c r="I254" s="26" t="s">
        <v>1931</v>
      </c>
      <c r="J254" s="26" t="s">
        <v>788</v>
      </c>
      <c r="K254" s="26" t="s">
        <v>366</v>
      </c>
      <c r="L254" s="26" t="s">
        <v>789</v>
      </c>
      <c r="M254" s="26" t="s">
        <v>38</v>
      </c>
      <c r="N254" s="26" t="s">
        <v>39</v>
      </c>
      <c r="O254" s="27">
        <v>33970</v>
      </c>
      <c r="P254" s="26"/>
      <c r="Q254" s="26"/>
      <c r="R254" s="26">
        <v>26</v>
      </c>
      <c r="S254" s="26" t="s">
        <v>29</v>
      </c>
    </row>
    <row r="255" spans="1:19" ht="29.25">
      <c r="A255" s="24">
        <v>7600</v>
      </c>
      <c r="B255" s="24" t="s">
        <v>20</v>
      </c>
      <c r="C255" s="24" t="s">
        <v>21</v>
      </c>
      <c r="D255" s="24" t="s">
        <v>30</v>
      </c>
      <c r="E255" s="24" t="s">
        <v>2511</v>
      </c>
      <c r="F255" s="24" t="s">
        <v>2512</v>
      </c>
      <c r="G255" s="24">
        <v>880</v>
      </c>
      <c r="H255" s="24" t="s">
        <v>24</v>
      </c>
      <c r="I255" s="24" t="s">
        <v>2513</v>
      </c>
      <c r="J255" s="24" t="s">
        <v>365</v>
      </c>
      <c r="K255" s="24" t="s">
        <v>705</v>
      </c>
      <c r="L255" s="24" t="s">
        <v>240</v>
      </c>
      <c r="M255" s="24" t="s">
        <v>27</v>
      </c>
      <c r="N255" s="24" t="s">
        <v>28</v>
      </c>
      <c r="O255" s="25">
        <v>37424</v>
      </c>
      <c r="P255" s="24"/>
      <c r="Q255" s="24"/>
      <c r="R255" s="24">
        <v>943.5</v>
      </c>
      <c r="S255" s="24" t="s">
        <v>29</v>
      </c>
    </row>
    <row r="256" spans="1:19">
      <c r="A256" s="26">
        <v>7601</v>
      </c>
      <c r="B256" s="26" t="s">
        <v>20</v>
      </c>
      <c r="C256" s="26" t="s">
        <v>21</v>
      </c>
      <c r="D256" s="26" t="s">
        <v>21</v>
      </c>
      <c r="E256" s="26" t="s">
        <v>2514</v>
      </c>
      <c r="F256" s="26" t="s">
        <v>2515</v>
      </c>
      <c r="G256" s="26"/>
      <c r="H256" s="26" t="s">
        <v>24</v>
      </c>
      <c r="I256" s="26" t="s">
        <v>2513</v>
      </c>
      <c r="J256" s="26" t="s">
        <v>365</v>
      </c>
      <c r="K256" s="26" t="s">
        <v>580</v>
      </c>
      <c r="L256" s="26" t="s">
        <v>240</v>
      </c>
      <c r="M256" s="26" t="s">
        <v>27</v>
      </c>
      <c r="N256" s="26" t="s">
        <v>28</v>
      </c>
      <c r="O256" s="27">
        <v>37424</v>
      </c>
      <c r="P256" s="26"/>
      <c r="Q256" s="26"/>
      <c r="R256" s="26">
        <v>212.5</v>
      </c>
      <c r="S256" s="26" t="s">
        <v>29</v>
      </c>
    </row>
    <row r="257" spans="1:19">
      <c r="A257" s="26">
        <v>7602</v>
      </c>
      <c r="B257" s="26" t="s">
        <v>20</v>
      </c>
      <c r="C257" s="26" t="s">
        <v>21</v>
      </c>
      <c r="D257" s="26" t="s">
        <v>21</v>
      </c>
      <c r="E257" s="26" t="s">
        <v>2516</v>
      </c>
      <c r="F257" s="26" t="s">
        <v>2517</v>
      </c>
      <c r="G257" s="26"/>
      <c r="H257" s="26" t="s">
        <v>24</v>
      </c>
      <c r="I257" s="26" t="s">
        <v>2513</v>
      </c>
      <c r="J257" s="26" t="s">
        <v>365</v>
      </c>
      <c r="K257" s="26" t="s">
        <v>580</v>
      </c>
      <c r="L257" s="26" t="s">
        <v>240</v>
      </c>
      <c r="M257" s="26" t="s">
        <v>27</v>
      </c>
      <c r="N257" s="26" t="s">
        <v>28</v>
      </c>
      <c r="O257" s="27">
        <v>37424</v>
      </c>
      <c r="P257" s="26"/>
      <c r="Q257" s="26"/>
      <c r="R257" s="26">
        <v>212.5</v>
      </c>
      <c r="S257" s="26" t="s">
        <v>29</v>
      </c>
    </row>
    <row r="258" spans="1:19">
      <c r="A258" s="26">
        <v>7603</v>
      </c>
      <c r="B258" s="26" t="s">
        <v>20</v>
      </c>
      <c r="C258" s="26" t="s">
        <v>21</v>
      </c>
      <c r="D258" s="26" t="s">
        <v>21</v>
      </c>
      <c r="E258" s="26" t="s">
        <v>2518</v>
      </c>
      <c r="F258" s="26" t="s">
        <v>2519</v>
      </c>
      <c r="G258" s="26"/>
      <c r="H258" s="26" t="s">
        <v>24</v>
      </c>
      <c r="I258" s="26" t="s">
        <v>2513</v>
      </c>
      <c r="J258" s="26" t="s">
        <v>365</v>
      </c>
      <c r="K258" s="26" t="s">
        <v>580</v>
      </c>
      <c r="L258" s="26" t="s">
        <v>240</v>
      </c>
      <c r="M258" s="26" t="s">
        <v>27</v>
      </c>
      <c r="N258" s="26" t="s">
        <v>28</v>
      </c>
      <c r="O258" s="27">
        <v>37424</v>
      </c>
      <c r="P258" s="26"/>
      <c r="Q258" s="26"/>
      <c r="R258" s="26">
        <v>212.5</v>
      </c>
      <c r="S258" s="26" t="s">
        <v>29</v>
      </c>
    </row>
    <row r="259" spans="1:19">
      <c r="A259" s="26">
        <v>7604</v>
      </c>
      <c r="B259" s="26" t="s">
        <v>20</v>
      </c>
      <c r="C259" s="26" t="s">
        <v>21</v>
      </c>
      <c r="D259" s="26" t="s">
        <v>21</v>
      </c>
      <c r="E259" s="26" t="s">
        <v>2520</v>
      </c>
      <c r="F259" s="26" t="s">
        <v>2521</v>
      </c>
      <c r="G259" s="26">
        <v>306</v>
      </c>
      <c r="H259" s="26" t="s">
        <v>24</v>
      </c>
      <c r="I259" s="26" t="s">
        <v>2513</v>
      </c>
      <c r="J259" s="26" t="s">
        <v>365</v>
      </c>
      <c r="K259" s="26" t="s">
        <v>366</v>
      </c>
      <c r="L259" s="26" t="s">
        <v>712</v>
      </c>
      <c r="M259" s="26" t="s">
        <v>27</v>
      </c>
      <c r="N259" s="26" t="s">
        <v>28</v>
      </c>
      <c r="O259" s="27">
        <v>37424</v>
      </c>
      <c r="P259" s="26"/>
      <c r="Q259" s="26"/>
      <c r="R259" s="26">
        <v>306</v>
      </c>
      <c r="S259" s="26" t="s">
        <v>29</v>
      </c>
    </row>
    <row r="260" spans="1:19" ht="29.25">
      <c r="A260" s="24">
        <v>7700</v>
      </c>
      <c r="B260" s="24" t="s">
        <v>20</v>
      </c>
      <c r="C260" s="24" t="s">
        <v>21</v>
      </c>
      <c r="D260" s="24" t="s">
        <v>30</v>
      </c>
      <c r="E260" s="24" t="s">
        <v>654</v>
      </c>
      <c r="F260" s="24" t="s">
        <v>655</v>
      </c>
      <c r="G260" s="24">
        <v>236.8</v>
      </c>
      <c r="H260" s="24" t="s">
        <v>5</v>
      </c>
      <c r="I260" s="24" t="s">
        <v>541</v>
      </c>
      <c r="J260" s="24" t="s">
        <v>25</v>
      </c>
      <c r="K260" s="24" t="s">
        <v>25</v>
      </c>
      <c r="L260" s="24" t="s">
        <v>26</v>
      </c>
      <c r="M260" s="24" t="s">
        <v>38</v>
      </c>
      <c r="N260" s="24" t="s">
        <v>39</v>
      </c>
      <c r="O260" s="25">
        <v>26299</v>
      </c>
      <c r="P260" s="24"/>
      <c r="Q260" s="24"/>
      <c r="R260" s="24">
        <v>280</v>
      </c>
      <c r="S260" s="24" t="s">
        <v>29</v>
      </c>
    </row>
    <row r="261" spans="1:19">
      <c r="A261" s="26">
        <v>7701</v>
      </c>
      <c r="B261" s="26" t="s">
        <v>20</v>
      </c>
      <c r="C261" s="26" t="s">
        <v>21</v>
      </c>
      <c r="D261" s="26" t="s">
        <v>21</v>
      </c>
      <c r="E261" s="26" t="s">
        <v>656</v>
      </c>
      <c r="F261" s="26" t="s">
        <v>657</v>
      </c>
      <c r="G261" s="26">
        <v>60</v>
      </c>
      <c r="H261" s="26" t="s">
        <v>5</v>
      </c>
      <c r="I261" s="26" t="s">
        <v>541</v>
      </c>
      <c r="J261" s="26" t="s">
        <v>25</v>
      </c>
      <c r="K261" s="26" t="s">
        <v>25</v>
      </c>
      <c r="L261" s="26" t="s">
        <v>26</v>
      </c>
      <c r="M261" s="26" t="s">
        <v>38</v>
      </c>
      <c r="N261" s="26" t="s">
        <v>39</v>
      </c>
      <c r="O261" s="27">
        <v>26299</v>
      </c>
      <c r="P261" s="26"/>
      <c r="Q261" s="26"/>
      <c r="R261" s="26">
        <v>60</v>
      </c>
      <c r="S261" s="26" t="s">
        <v>29</v>
      </c>
    </row>
    <row r="262" spans="1:19">
      <c r="A262" s="26">
        <v>7702</v>
      </c>
      <c r="B262" s="26" t="s">
        <v>20</v>
      </c>
      <c r="C262" s="26" t="s">
        <v>21</v>
      </c>
      <c r="D262" s="26" t="s">
        <v>21</v>
      </c>
      <c r="E262" s="26" t="s">
        <v>685</v>
      </c>
      <c r="F262" s="26" t="s">
        <v>686</v>
      </c>
      <c r="G262" s="26">
        <v>60</v>
      </c>
      <c r="H262" s="26" t="s">
        <v>5</v>
      </c>
      <c r="I262" s="26" t="s">
        <v>541</v>
      </c>
      <c r="J262" s="26" t="s">
        <v>25</v>
      </c>
      <c r="K262" s="26" t="s">
        <v>25</v>
      </c>
      <c r="L262" s="26" t="s">
        <v>26</v>
      </c>
      <c r="M262" s="26" t="s">
        <v>38</v>
      </c>
      <c r="N262" s="26" t="s">
        <v>39</v>
      </c>
      <c r="O262" s="27">
        <v>27760</v>
      </c>
      <c r="P262" s="26"/>
      <c r="Q262" s="26"/>
      <c r="R262" s="26">
        <v>60</v>
      </c>
      <c r="S262" s="26" t="s">
        <v>29</v>
      </c>
    </row>
    <row r="263" spans="1:19">
      <c r="A263" s="26">
        <v>7703</v>
      </c>
      <c r="B263" s="26" t="s">
        <v>20</v>
      </c>
      <c r="C263" s="26" t="s">
        <v>21</v>
      </c>
      <c r="D263" s="26" t="s">
        <v>21</v>
      </c>
      <c r="E263" s="26" t="s">
        <v>2153</v>
      </c>
      <c r="F263" s="26" t="s">
        <v>2154</v>
      </c>
      <c r="G263" s="26">
        <v>80</v>
      </c>
      <c r="H263" s="26" t="s">
        <v>5</v>
      </c>
      <c r="I263" s="26" t="s">
        <v>541</v>
      </c>
      <c r="J263" s="26" t="s">
        <v>25</v>
      </c>
      <c r="K263" s="26" t="s">
        <v>25</v>
      </c>
      <c r="L263" s="26" t="s">
        <v>26</v>
      </c>
      <c r="M263" s="26" t="s">
        <v>38</v>
      </c>
      <c r="N263" s="26" t="s">
        <v>39</v>
      </c>
      <c r="O263" s="27">
        <v>34335</v>
      </c>
      <c r="P263" s="26"/>
      <c r="Q263" s="26"/>
      <c r="R263" s="26">
        <v>80</v>
      </c>
      <c r="S263" s="26" t="s">
        <v>29</v>
      </c>
    </row>
    <row r="264" spans="1:19">
      <c r="A264" s="26">
        <v>7704</v>
      </c>
      <c r="B264" s="26" t="s">
        <v>20</v>
      </c>
      <c r="C264" s="26" t="s">
        <v>21</v>
      </c>
      <c r="D264" s="26" t="s">
        <v>21</v>
      </c>
      <c r="E264" s="26" t="s">
        <v>2155</v>
      </c>
      <c r="F264" s="26" t="s">
        <v>2156</v>
      </c>
      <c r="G264" s="26">
        <v>80</v>
      </c>
      <c r="H264" s="26" t="s">
        <v>5</v>
      </c>
      <c r="I264" s="26" t="s">
        <v>541</v>
      </c>
      <c r="J264" s="26" t="s">
        <v>25</v>
      </c>
      <c r="K264" s="26" t="s">
        <v>25</v>
      </c>
      <c r="L264" s="26" t="s">
        <v>26</v>
      </c>
      <c r="M264" s="26" t="s">
        <v>38</v>
      </c>
      <c r="N264" s="26" t="s">
        <v>39</v>
      </c>
      <c r="O264" s="27">
        <v>34335</v>
      </c>
      <c r="P264" s="26"/>
      <c r="Q264" s="26"/>
      <c r="R264" s="26">
        <v>80</v>
      </c>
      <c r="S264" s="26" t="s">
        <v>29</v>
      </c>
    </row>
    <row r="265" spans="1:19">
      <c r="A265" s="28">
        <v>90900</v>
      </c>
      <c r="B265" s="28" t="s">
        <v>20</v>
      </c>
      <c r="C265" s="28" t="s">
        <v>21</v>
      </c>
      <c r="D265" s="28" t="s">
        <v>21</v>
      </c>
      <c r="E265" s="28" t="s">
        <v>2710</v>
      </c>
      <c r="F265" s="28" t="s">
        <v>2711</v>
      </c>
      <c r="G265" s="28">
        <v>18.600000000000001</v>
      </c>
      <c r="H265" s="28" t="s">
        <v>24</v>
      </c>
      <c r="I265" s="28" t="s">
        <v>2712</v>
      </c>
      <c r="J265" s="28" t="s">
        <v>781</v>
      </c>
      <c r="K265" s="28" t="s">
        <v>781</v>
      </c>
      <c r="L265" s="28" t="s">
        <v>781</v>
      </c>
      <c r="M265" s="28" t="s">
        <v>27</v>
      </c>
      <c r="N265" s="28" t="s">
        <v>28</v>
      </c>
      <c r="O265" s="29">
        <v>38473</v>
      </c>
      <c r="P265" s="28" t="s">
        <v>2713</v>
      </c>
      <c r="Q265" s="28"/>
      <c r="R265" s="28">
        <v>18</v>
      </c>
      <c r="S265" s="28" t="s">
        <v>29</v>
      </c>
    </row>
    <row r="266" spans="1:19" ht="43.5">
      <c r="A266" s="24">
        <v>8000</v>
      </c>
      <c r="B266" s="24" t="s">
        <v>20</v>
      </c>
      <c r="C266" s="24" t="s">
        <v>21</v>
      </c>
      <c r="D266" s="24" t="s">
        <v>30</v>
      </c>
      <c r="E266" s="24" t="s">
        <v>2264</v>
      </c>
      <c r="F266" s="24" t="s">
        <v>2265</v>
      </c>
      <c r="G266" s="24">
        <v>21</v>
      </c>
      <c r="H266" s="24" t="s">
        <v>5</v>
      </c>
      <c r="I266" s="24" t="s">
        <v>746</v>
      </c>
      <c r="J266" s="24" t="s">
        <v>25</v>
      </c>
      <c r="K266" s="24" t="s">
        <v>542</v>
      </c>
      <c r="L266" s="24" t="s">
        <v>26</v>
      </c>
      <c r="M266" s="24" t="s">
        <v>38</v>
      </c>
      <c r="N266" s="24" t="s">
        <v>39</v>
      </c>
      <c r="O266" s="25">
        <v>36892</v>
      </c>
      <c r="P266" s="24" t="s">
        <v>2266</v>
      </c>
      <c r="Q266" s="24"/>
      <c r="R266" s="24">
        <v>39.6</v>
      </c>
      <c r="S266" s="24" t="s">
        <v>29</v>
      </c>
    </row>
    <row r="267" spans="1:19" ht="43.5">
      <c r="A267" s="26">
        <v>8001</v>
      </c>
      <c r="B267" s="26" t="s">
        <v>20</v>
      </c>
      <c r="C267" s="26" t="s">
        <v>21</v>
      </c>
      <c r="D267" s="26" t="s">
        <v>21</v>
      </c>
      <c r="E267" s="26" t="s">
        <v>2267</v>
      </c>
      <c r="F267" s="26" t="s">
        <v>2268</v>
      </c>
      <c r="G267" s="26">
        <v>3.3</v>
      </c>
      <c r="H267" s="26" t="s">
        <v>5</v>
      </c>
      <c r="I267" s="26" t="s">
        <v>746</v>
      </c>
      <c r="J267" s="26" t="s">
        <v>25</v>
      </c>
      <c r="K267" s="26" t="s">
        <v>542</v>
      </c>
      <c r="L267" s="26" t="s">
        <v>26</v>
      </c>
      <c r="M267" s="26" t="s">
        <v>38</v>
      </c>
      <c r="N267" s="26" t="s">
        <v>39</v>
      </c>
      <c r="O267" s="27">
        <v>36892</v>
      </c>
      <c r="P267" s="26" t="s">
        <v>2269</v>
      </c>
      <c r="Q267" s="26"/>
      <c r="R267" s="26">
        <v>3.3</v>
      </c>
      <c r="S267" s="26" t="s">
        <v>29</v>
      </c>
    </row>
    <row r="268" spans="1:19" ht="43.5">
      <c r="A268" s="26">
        <v>8010</v>
      </c>
      <c r="B268" s="26" t="s">
        <v>20</v>
      </c>
      <c r="C268" s="26" t="s">
        <v>21</v>
      </c>
      <c r="D268" s="26" t="s">
        <v>21</v>
      </c>
      <c r="E268" s="26" t="s">
        <v>2270</v>
      </c>
      <c r="F268" s="26" t="s">
        <v>2271</v>
      </c>
      <c r="G268" s="26">
        <v>3.3</v>
      </c>
      <c r="H268" s="26" t="s">
        <v>5</v>
      </c>
      <c r="I268" s="26" t="s">
        <v>746</v>
      </c>
      <c r="J268" s="26" t="s">
        <v>25</v>
      </c>
      <c r="K268" s="26" t="s">
        <v>542</v>
      </c>
      <c r="L268" s="26" t="s">
        <v>26</v>
      </c>
      <c r="M268" s="26" t="s">
        <v>38</v>
      </c>
      <c r="N268" s="26" t="s">
        <v>39</v>
      </c>
      <c r="O268" s="27">
        <v>36892</v>
      </c>
      <c r="P268" s="26" t="s">
        <v>2269</v>
      </c>
      <c r="Q268" s="26"/>
      <c r="R268" s="26">
        <v>3.3</v>
      </c>
      <c r="S268" s="26" t="s">
        <v>29</v>
      </c>
    </row>
    <row r="269" spans="1:19" ht="43.5">
      <c r="A269" s="26">
        <v>8011</v>
      </c>
      <c r="B269" s="26" t="s">
        <v>20</v>
      </c>
      <c r="C269" s="26" t="s">
        <v>21</v>
      </c>
      <c r="D269" s="26" t="s">
        <v>21</v>
      </c>
      <c r="E269" s="26" t="s">
        <v>2272</v>
      </c>
      <c r="F269" s="26" t="s">
        <v>2273</v>
      </c>
      <c r="G269" s="26">
        <v>3.3</v>
      </c>
      <c r="H269" s="26" t="s">
        <v>5</v>
      </c>
      <c r="I269" s="26" t="s">
        <v>746</v>
      </c>
      <c r="J269" s="26" t="s">
        <v>25</v>
      </c>
      <c r="K269" s="26" t="s">
        <v>542</v>
      </c>
      <c r="L269" s="26" t="s">
        <v>26</v>
      </c>
      <c r="M269" s="26" t="s">
        <v>38</v>
      </c>
      <c r="N269" s="26" t="s">
        <v>39</v>
      </c>
      <c r="O269" s="27">
        <v>36892</v>
      </c>
      <c r="P269" s="26" t="s">
        <v>2269</v>
      </c>
      <c r="Q269" s="26"/>
      <c r="R269" s="26">
        <v>3.3</v>
      </c>
      <c r="S269" s="26" t="s">
        <v>29</v>
      </c>
    </row>
    <row r="270" spans="1:19" ht="43.5">
      <c r="A270" s="26">
        <v>8012</v>
      </c>
      <c r="B270" s="26" t="s">
        <v>20</v>
      </c>
      <c r="C270" s="26" t="s">
        <v>21</v>
      </c>
      <c r="D270" s="26" t="s">
        <v>21</v>
      </c>
      <c r="E270" s="26" t="s">
        <v>2274</v>
      </c>
      <c r="F270" s="26" t="s">
        <v>2275</v>
      </c>
      <c r="G270" s="26">
        <v>3.3</v>
      </c>
      <c r="H270" s="26" t="s">
        <v>5</v>
      </c>
      <c r="I270" s="26" t="s">
        <v>746</v>
      </c>
      <c r="J270" s="26" t="s">
        <v>25</v>
      </c>
      <c r="K270" s="26" t="s">
        <v>542</v>
      </c>
      <c r="L270" s="26" t="s">
        <v>26</v>
      </c>
      <c r="M270" s="26" t="s">
        <v>38</v>
      </c>
      <c r="N270" s="26" t="s">
        <v>39</v>
      </c>
      <c r="O270" s="27">
        <v>36892</v>
      </c>
      <c r="P270" s="26" t="s">
        <v>2269</v>
      </c>
      <c r="Q270" s="26"/>
      <c r="R270" s="26">
        <v>3.3</v>
      </c>
      <c r="S270" s="26" t="s">
        <v>29</v>
      </c>
    </row>
    <row r="271" spans="1:19" ht="43.5">
      <c r="A271" s="26">
        <v>8002</v>
      </c>
      <c r="B271" s="26" t="s">
        <v>20</v>
      </c>
      <c r="C271" s="26" t="s">
        <v>21</v>
      </c>
      <c r="D271" s="26" t="s">
        <v>21</v>
      </c>
      <c r="E271" s="26" t="s">
        <v>2276</v>
      </c>
      <c r="F271" s="26" t="s">
        <v>2277</v>
      </c>
      <c r="G271" s="26">
        <v>3.3</v>
      </c>
      <c r="H271" s="26" t="s">
        <v>5</v>
      </c>
      <c r="I271" s="26" t="s">
        <v>746</v>
      </c>
      <c r="J271" s="26" t="s">
        <v>25</v>
      </c>
      <c r="K271" s="26" t="s">
        <v>542</v>
      </c>
      <c r="L271" s="26" t="s">
        <v>26</v>
      </c>
      <c r="M271" s="26" t="s">
        <v>38</v>
      </c>
      <c r="N271" s="26" t="s">
        <v>39</v>
      </c>
      <c r="O271" s="27">
        <v>36892</v>
      </c>
      <c r="P271" s="26" t="s">
        <v>2269</v>
      </c>
      <c r="Q271" s="26"/>
      <c r="R271" s="26">
        <v>3.3</v>
      </c>
      <c r="S271" s="26" t="s">
        <v>29</v>
      </c>
    </row>
    <row r="272" spans="1:19" ht="43.5">
      <c r="A272" s="26">
        <v>8003</v>
      </c>
      <c r="B272" s="26" t="s">
        <v>20</v>
      </c>
      <c r="C272" s="26" t="s">
        <v>21</v>
      </c>
      <c r="D272" s="26" t="s">
        <v>21</v>
      </c>
      <c r="E272" s="26" t="s">
        <v>2278</v>
      </c>
      <c r="F272" s="26" t="s">
        <v>2279</v>
      </c>
      <c r="G272" s="26">
        <v>3.3</v>
      </c>
      <c r="H272" s="26" t="s">
        <v>5</v>
      </c>
      <c r="I272" s="26" t="s">
        <v>746</v>
      </c>
      <c r="J272" s="26" t="s">
        <v>25</v>
      </c>
      <c r="K272" s="26" t="s">
        <v>542</v>
      </c>
      <c r="L272" s="26" t="s">
        <v>26</v>
      </c>
      <c r="M272" s="26" t="s">
        <v>38</v>
      </c>
      <c r="N272" s="26" t="s">
        <v>39</v>
      </c>
      <c r="O272" s="27">
        <v>36892</v>
      </c>
      <c r="P272" s="26" t="s">
        <v>2269</v>
      </c>
      <c r="Q272" s="26"/>
      <c r="R272" s="26">
        <v>3.3</v>
      </c>
      <c r="S272" s="26" t="s">
        <v>29</v>
      </c>
    </row>
    <row r="273" spans="1:19" ht="43.5">
      <c r="A273" s="26">
        <v>8004</v>
      </c>
      <c r="B273" s="26" t="s">
        <v>20</v>
      </c>
      <c r="C273" s="26" t="s">
        <v>21</v>
      </c>
      <c r="D273" s="26" t="s">
        <v>21</v>
      </c>
      <c r="E273" s="26" t="s">
        <v>2280</v>
      </c>
      <c r="F273" s="26" t="s">
        <v>2281</v>
      </c>
      <c r="G273" s="26">
        <v>3.3</v>
      </c>
      <c r="H273" s="26" t="s">
        <v>5</v>
      </c>
      <c r="I273" s="26" t="s">
        <v>746</v>
      </c>
      <c r="J273" s="26" t="s">
        <v>25</v>
      </c>
      <c r="K273" s="26" t="s">
        <v>542</v>
      </c>
      <c r="L273" s="26" t="s">
        <v>26</v>
      </c>
      <c r="M273" s="26" t="s">
        <v>38</v>
      </c>
      <c r="N273" s="26" t="s">
        <v>39</v>
      </c>
      <c r="O273" s="27">
        <v>36892</v>
      </c>
      <c r="P273" s="26" t="s">
        <v>2269</v>
      </c>
      <c r="Q273" s="26"/>
      <c r="R273" s="26">
        <v>3.3</v>
      </c>
      <c r="S273" s="26" t="s">
        <v>29</v>
      </c>
    </row>
    <row r="274" spans="1:19" ht="43.5">
      <c r="A274" s="26">
        <v>8005</v>
      </c>
      <c r="B274" s="26" t="s">
        <v>20</v>
      </c>
      <c r="C274" s="26" t="s">
        <v>21</v>
      </c>
      <c r="D274" s="26" t="s">
        <v>21</v>
      </c>
      <c r="E274" s="26" t="s">
        <v>2282</v>
      </c>
      <c r="F274" s="26" t="s">
        <v>2283</v>
      </c>
      <c r="G274" s="26">
        <v>3.3</v>
      </c>
      <c r="H274" s="26" t="s">
        <v>5</v>
      </c>
      <c r="I274" s="26" t="s">
        <v>746</v>
      </c>
      <c r="J274" s="26" t="s">
        <v>25</v>
      </c>
      <c r="K274" s="26" t="s">
        <v>542</v>
      </c>
      <c r="L274" s="26" t="s">
        <v>26</v>
      </c>
      <c r="M274" s="26" t="s">
        <v>38</v>
      </c>
      <c r="N274" s="26" t="s">
        <v>39</v>
      </c>
      <c r="O274" s="27">
        <v>36892</v>
      </c>
      <c r="P274" s="26" t="s">
        <v>2269</v>
      </c>
      <c r="Q274" s="26"/>
      <c r="R274" s="26">
        <v>3.3</v>
      </c>
      <c r="S274" s="26" t="s">
        <v>29</v>
      </c>
    </row>
    <row r="275" spans="1:19" ht="43.5">
      <c r="A275" s="26">
        <v>8006</v>
      </c>
      <c r="B275" s="26" t="s">
        <v>20</v>
      </c>
      <c r="C275" s="26" t="s">
        <v>21</v>
      </c>
      <c r="D275" s="26" t="s">
        <v>21</v>
      </c>
      <c r="E275" s="26" t="s">
        <v>2284</v>
      </c>
      <c r="F275" s="26" t="s">
        <v>2285</v>
      </c>
      <c r="G275" s="26">
        <v>3.3</v>
      </c>
      <c r="H275" s="26" t="s">
        <v>5</v>
      </c>
      <c r="I275" s="26" t="s">
        <v>746</v>
      </c>
      <c r="J275" s="26" t="s">
        <v>25</v>
      </c>
      <c r="K275" s="26" t="s">
        <v>542</v>
      </c>
      <c r="L275" s="26" t="s">
        <v>26</v>
      </c>
      <c r="M275" s="26" t="s">
        <v>38</v>
      </c>
      <c r="N275" s="26" t="s">
        <v>39</v>
      </c>
      <c r="O275" s="27">
        <v>36892</v>
      </c>
      <c r="P275" s="26" t="s">
        <v>2269</v>
      </c>
      <c r="Q275" s="26"/>
      <c r="R275" s="26">
        <v>3.3</v>
      </c>
      <c r="S275" s="26" t="s">
        <v>29</v>
      </c>
    </row>
    <row r="276" spans="1:19" ht="43.5">
      <c r="A276" s="26">
        <v>8007</v>
      </c>
      <c r="B276" s="26" t="s">
        <v>20</v>
      </c>
      <c r="C276" s="26" t="s">
        <v>21</v>
      </c>
      <c r="D276" s="26" t="s">
        <v>21</v>
      </c>
      <c r="E276" s="26" t="s">
        <v>2286</v>
      </c>
      <c r="F276" s="26" t="s">
        <v>2287</v>
      </c>
      <c r="G276" s="26">
        <v>3.3</v>
      </c>
      <c r="H276" s="26" t="s">
        <v>5</v>
      </c>
      <c r="I276" s="26" t="s">
        <v>746</v>
      </c>
      <c r="J276" s="26" t="s">
        <v>25</v>
      </c>
      <c r="K276" s="26" t="s">
        <v>542</v>
      </c>
      <c r="L276" s="26" t="s">
        <v>26</v>
      </c>
      <c r="M276" s="26" t="s">
        <v>38</v>
      </c>
      <c r="N276" s="26" t="s">
        <v>39</v>
      </c>
      <c r="O276" s="27">
        <v>36892</v>
      </c>
      <c r="P276" s="26" t="s">
        <v>2269</v>
      </c>
      <c r="Q276" s="26"/>
      <c r="R276" s="26">
        <v>3.3</v>
      </c>
      <c r="S276" s="26" t="s">
        <v>29</v>
      </c>
    </row>
    <row r="277" spans="1:19" ht="43.5">
      <c r="A277" s="26">
        <v>8008</v>
      </c>
      <c r="B277" s="26" t="s">
        <v>20</v>
      </c>
      <c r="C277" s="26" t="s">
        <v>21</v>
      </c>
      <c r="D277" s="26" t="s">
        <v>21</v>
      </c>
      <c r="E277" s="26" t="s">
        <v>2288</v>
      </c>
      <c r="F277" s="26" t="s">
        <v>2289</v>
      </c>
      <c r="G277" s="26">
        <v>3.3</v>
      </c>
      <c r="H277" s="26" t="s">
        <v>5</v>
      </c>
      <c r="I277" s="26" t="s">
        <v>746</v>
      </c>
      <c r="J277" s="26" t="s">
        <v>25</v>
      </c>
      <c r="K277" s="26" t="s">
        <v>542</v>
      </c>
      <c r="L277" s="26" t="s">
        <v>26</v>
      </c>
      <c r="M277" s="26" t="s">
        <v>38</v>
      </c>
      <c r="N277" s="26" t="s">
        <v>39</v>
      </c>
      <c r="O277" s="27">
        <v>36892</v>
      </c>
      <c r="P277" s="26" t="s">
        <v>2269</v>
      </c>
      <c r="Q277" s="26"/>
      <c r="R277" s="26">
        <v>3.3</v>
      </c>
      <c r="S277" s="26" t="s">
        <v>29</v>
      </c>
    </row>
    <row r="278" spans="1:19" ht="43.5">
      <c r="A278" s="26">
        <v>8009</v>
      </c>
      <c r="B278" s="26" t="s">
        <v>20</v>
      </c>
      <c r="C278" s="26" t="s">
        <v>21</v>
      </c>
      <c r="D278" s="26" t="s">
        <v>21</v>
      </c>
      <c r="E278" s="26" t="s">
        <v>2290</v>
      </c>
      <c r="F278" s="26" t="s">
        <v>2291</v>
      </c>
      <c r="G278" s="26">
        <v>3.3</v>
      </c>
      <c r="H278" s="26" t="s">
        <v>5</v>
      </c>
      <c r="I278" s="26" t="s">
        <v>746</v>
      </c>
      <c r="J278" s="26" t="s">
        <v>25</v>
      </c>
      <c r="K278" s="26" t="s">
        <v>542</v>
      </c>
      <c r="L278" s="26" t="s">
        <v>26</v>
      </c>
      <c r="M278" s="26" t="s">
        <v>38</v>
      </c>
      <c r="N278" s="26" t="s">
        <v>39</v>
      </c>
      <c r="O278" s="27">
        <v>36892</v>
      </c>
      <c r="P278" s="26" t="s">
        <v>2269</v>
      </c>
      <c r="Q278" s="26"/>
      <c r="R278" s="26">
        <v>3.3</v>
      </c>
      <c r="S278" s="26" t="s">
        <v>29</v>
      </c>
    </row>
    <row r="279" spans="1:19" ht="29.25">
      <c r="A279" s="24">
        <v>91400</v>
      </c>
      <c r="B279" s="24" t="s">
        <v>20</v>
      </c>
      <c r="C279" s="24" t="s">
        <v>21</v>
      </c>
      <c r="D279" s="24" t="s">
        <v>30</v>
      </c>
      <c r="E279" s="24" t="s">
        <v>2696</v>
      </c>
      <c r="F279" s="24" t="s">
        <v>2697</v>
      </c>
      <c r="G279" s="24">
        <v>147.80000000000001</v>
      </c>
      <c r="H279" s="24" t="s">
        <v>24</v>
      </c>
      <c r="I279" s="24" t="s">
        <v>2698</v>
      </c>
      <c r="J279" s="24" t="s">
        <v>365</v>
      </c>
      <c r="K279" s="24" t="s">
        <v>705</v>
      </c>
      <c r="L279" s="24" t="s">
        <v>240</v>
      </c>
      <c r="M279" s="24" t="s">
        <v>27</v>
      </c>
      <c r="N279" s="24" t="s">
        <v>2699</v>
      </c>
      <c r="O279" s="25">
        <v>38435</v>
      </c>
      <c r="P279" s="24"/>
      <c r="Q279" s="24"/>
      <c r="R279" s="24">
        <v>154.4</v>
      </c>
      <c r="S279" s="24" t="s">
        <v>29</v>
      </c>
    </row>
    <row r="280" spans="1:19" ht="29.25">
      <c r="A280" s="26">
        <v>91401</v>
      </c>
      <c r="B280" s="26" t="s">
        <v>20</v>
      </c>
      <c r="C280" s="26" t="s">
        <v>21</v>
      </c>
      <c r="D280" s="26" t="s">
        <v>21</v>
      </c>
      <c r="E280" s="26" t="s">
        <v>2700</v>
      </c>
      <c r="F280" s="26" t="s">
        <v>2701</v>
      </c>
      <c r="G280" s="26">
        <v>50.4</v>
      </c>
      <c r="H280" s="26" t="s">
        <v>24</v>
      </c>
      <c r="I280" s="26" t="s">
        <v>2698</v>
      </c>
      <c r="J280" s="26" t="s">
        <v>365</v>
      </c>
      <c r="K280" s="26" t="s">
        <v>580</v>
      </c>
      <c r="L280" s="26" t="s">
        <v>240</v>
      </c>
      <c r="M280" s="26" t="s">
        <v>27</v>
      </c>
      <c r="N280" s="26" t="s">
        <v>2699</v>
      </c>
      <c r="O280" s="27">
        <v>38435</v>
      </c>
      <c r="P280" s="26"/>
      <c r="Q280" s="26"/>
      <c r="R280" s="26">
        <v>50.4</v>
      </c>
      <c r="S280" s="26" t="s">
        <v>29</v>
      </c>
    </row>
    <row r="281" spans="1:19" ht="29.25">
      <c r="A281" s="26">
        <v>91402</v>
      </c>
      <c r="B281" s="26" t="s">
        <v>20</v>
      </c>
      <c r="C281" s="26" t="s">
        <v>21</v>
      </c>
      <c r="D281" s="26" t="s">
        <v>21</v>
      </c>
      <c r="E281" s="26" t="s">
        <v>2702</v>
      </c>
      <c r="F281" s="26" t="s">
        <v>2703</v>
      </c>
      <c r="G281" s="26">
        <v>50.4</v>
      </c>
      <c r="H281" s="26" t="s">
        <v>24</v>
      </c>
      <c r="I281" s="26" t="s">
        <v>2698</v>
      </c>
      <c r="J281" s="26" t="s">
        <v>365</v>
      </c>
      <c r="K281" s="26" t="s">
        <v>580</v>
      </c>
      <c r="L281" s="26" t="s">
        <v>240</v>
      </c>
      <c r="M281" s="26" t="s">
        <v>27</v>
      </c>
      <c r="N281" s="26" t="s">
        <v>2699</v>
      </c>
      <c r="O281" s="27">
        <v>38435</v>
      </c>
      <c r="P281" s="26"/>
      <c r="Q281" s="26"/>
      <c r="R281" s="26">
        <v>50.4</v>
      </c>
      <c r="S281" s="26" t="s">
        <v>29</v>
      </c>
    </row>
    <row r="282" spans="1:19" ht="29.25">
      <c r="A282" s="26">
        <v>91403</v>
      </c>
      <c r="B282" s="26" t="s">
        <v>20</v>
      </c>
      <c r="C282" s="26" t="s">
        <v>21</v>
      </c>
      <c r="D282" s="26" t="s">
        <v>21</v>
      </c>
      <c r="E282" s="26" t="s">
        <v>2704</v>
      </c>
      <c r="F282" s="26" t="s">
        <v>2705</v>
      </c>
      <c r="G282" s="26">
        <v>53.6</v>
      </c>
      <c r="H282" s="26" t="s">
        <v>24</v>
      </c>
      <c r="I282" s="26" t="s">
        <v>2698</v>
      </c>
      <c r="J282" s="26" t="s">
        <v>365</v>
      </c>
      <c r="K282" s="26" t="s">
        <v>366</v>
      </c>
      <c r="L282" s="26" t="s">
        <v>712</v>
      </c>
      <c r="M282" s="26" t="s">
        <v>27</v>
      </c>
      <c r="N282" s="26" t="s">
        <v>2699</v>
      </c>
      <c r="O282" s="27">
        <v>38435</v>
      </c>
      <c r="P282" s="26"/>
      <c r="Q282" s="26"/>
      <c r="R282" s="26">
        <v>53.6</v>
      </c>
      <c r="S282" s="26" t="s">
        <v>29</v>
      </c>
    </row>
    <row r="283" spans="1:19">
      <c r="A283" s="24">
        <v>8400</v>
      </c>
      <c r="B283" s="24" t="s">
        <v>20</v>
      </c>
      <c r="C283" s="24" t="s">
        <v>21</v>
      </c>
      <c r="D283" s="24" t="s">
        <v>30</v>
      </c>
      <c r="E283" s="24" t="s">
        <v>2429</v>
      </c>
      <c r="F283" s="24" t="s">
        <v>2430</v>
      </c>
      <c r="G283" s="24">
        <v>41.4</v>
      </c>
      <c r="H283" s="24" t="s">
        <v>5</v>
      </c>
      <c r="I283" s="24" t="s">
        <v>2431</v>
      </c>
      <c r="J283" s="24" t="s">
        <v>295</v>
      </c>
      <c r="K283" s="24" t="s">
        <v>580</v>
      </c>
      <c r="L283" s="24" t="s">
        <v>240</v>
      </c>
      <c r="M283" s="24" t="s">
        <v>38</v>
      </c>
      <c r="N283" s="24" t="s">
        <v>39</v>
      </c>
      <c r="O283" s="25">
        <v>37117</v>
      </c>
      <c r="P283" s="24"/>
      <c r="Q283" s="24"/>
      <c r="R283" s="24">
        <v>43</v>
      </c>
      <c r="S283" s="24" t="s">
        <v>29</v>
      </c>
    </row>
    <row r="284" spans="1:19">
      <c r="A284" s="26">
        <v>8401</v>
      </c>
      <c r="B284" s="26" t="s">
        <v>20</v>
      </c>
      <c r="C284" s="26" t="s">
        <v>21</v>
      </c>
      <c r="D284" s="26" t="s">
        <v>21</v>
      </c>
      <c r="E284" s="26" t="s">
        <v>2432</v>
      </c>
      <c r="F284" s="26" t="s">
        <v>2433</v>
      </c>
      <c r="G284" s="26">
        <v>10.8</v>
      </c>
      <c r="H284" s="26" t="s">
        <v>5</v>
      </c>
      <c r="I284" s="26" t="s">
        <v>2431</v>
      </c>
      <c r="J284" s="26" t="s">
        <v>295</v>
      </c>
      <c r="K284" s="26" t="s">
        <v>580</v>
      </c>
      <c r="L284" s="26" t="s">
        <v>240</v>
      </c>
      <c r="M284" s="26" t="s">
        <v>38</v>
      </c>
      <c r="N284" s="26" t="s">
        <v>39</v>
      </c>
      <c r="O284" s="27">
        <v>37117</v>
      </c>
      <c r="P284" s="26"/>
      <c r="Q284" s="26"/>
      <c r="R284" s="26">
        <v>10.75</v>
      </c>
      <c r="S284" s="26" t="s">
        <v>29</v>
      </c>
    </row>
    <row r="285" spans="1:19">
      <c r="A285" s="26">
        <v>8402</v>
      </c>
      <c r="B285" s="26" t="s">
        <v>20</v>
      </c>
      <c r="C285" s="26" t="s">
        <v>21</v>
      </c>
      <c r="D285" s="26" t="s">
        <v>21</v>
      </c>
      <c r="E285" s="26" t="s">
        <v>2434</v>
      </c>
      <c r="F285" s="26" t="s">
        <v>2435</v>
      </c>
      <c r="G285" s="26">
        <v>10.8</v>
      </c>
      <c r="H285" s="26" t="s">
        <v>5</v>
      </c>
      <c r="I285" s="26" t="s">
        <v>2431</v>
      </c>
      <c r="J285" s="26" t="s">
        <v>295</v>
      </c>
      <c r="K285" s="26" t="s">
        <v>580</v>
      </c>
      <c r="L285" s="26" t="s">
        <v>240</v>
      </c>
      <c r="M285" s="26" t="s">
        <v>38</v>
      </c>
      <c r="N285" s="26" t="s">
        <v>39</v>
      </c>
      <c r="O285" s="27">
        <v>37117</v>
      </c>
      <c r="P285" s="26"/>
      <c r="Q285" s="26"/>
      <c r="R285" s="26">
        <v>10.75</v>
      </c>
      <c r="S285" s="26" t="s">
        <v>29</v>
      </c>
    </row>
    <row r="286" spans="1:19">
      <c r="A286" s="26">
        <v>8403</v>
      </c>
      <c r="B286" s="26" t="s">
        <v>20</v>
      </c>
      <c r="C286" s="26" t="s">
        <v>21</v>
      </c>
      <c r="D286" s="26" t="s">
        <v>21</v>
      </c>
      <c r="E286" s="26" t="s">
        <v>2436</v>
      </c>
      <c r="F286" s="26" t="s">
        <v>2437</v>
      </c>
      <c r="G286" s="26">
        <v>10.8</v>
      </c>
      <c r="H286" s="26" t="s">
        <v>5</v>
      </c>
      <c r="I286" s="26" t="s">
        <v>2431</v>
      </c>
      <c r="J286" s="26" t="s">
        <v>295</v>
      </c>
      <c r="K286" s="26" t="s">
        <v>580</v>
      </c>
      <c r="L286" s="26" t="s">
        <v>240</v>
      </c>
      <c r="M286" s="26" t="s">
        <v>38</v>
      </c>
      <c r="N286" s="26" t="s">
        <v>39</v>
      </c>
      <c r="O286" s="27">
        <v>37117</v>
      </c>
      <c r="P286" s="26"/>
      <c r="Q286" s="26"/>
      <c r="R286" s="26">
        <v>10.75</v>
      </c>
      <c r="S286" s="26" t="s">
        <v>29</v>
      </c>
    </row>
    <row r="287" spans="1:19">
      <c r="A287" s="26">
        <v>8404</v>
      </c>
      <c r="B287" s="26" t="s">
        <v>20</v>
      </c>
      <c r="C287" s="26" t="s">
        <v>21</v>
      </c>
      <c r="D287" s="26" t="s">
        <v>21</v>
      </c>
      <c r="E287" s="26" t="s">
        <v>2438</v>
      </c>
      <c r="F287" s="26" t="s">
        <v>2439</v>
      </c>
      <c r="G287" s="26">
        <v>10.8</v>
      </c>
      <c r="H287" s="26" t="s">
        <v>5</v>
      </c>
      <c r="I287" s="26" t="s">
        <v>2431</v>
      </c>
      <c r="J287" s="26" t="s">
        <v>295</v>
      </c>
      <c r="K287" s="26" t="s">
        <v>580</v>
      </c>
      <c r="L287" s="26" t="s">
        <v>240</v>
      </c>
      <c r="M287" s="26" t="s">
        <v>38</v>
      </c>
      <c r="N287" s="26" t="s">
        <v>39</v>
      </c>
      <c r="O287" s="27">
        <v>37117</v>
      </c>
      <c r="P287" s="26"/>
      <c r="Q287" s="26"/>
      <c r="R287" s="26">
        <v>10.75</v>
      </c>
      <c r="S287" s="26" t="s">
        <v>29</v>
      </c>
    </row>
    <row r="288" spans="1:19" ht="29.25">
      <c r="A288" s="24">
        <v>8500</v>
      </c>
      <c r="B288" s="24" t="s">
        <v>20</v>
      </c>
      <c r="C288" s="24" t="s">
        <v>21</v>
      </c>
      <c r="D288" s="24" t="s">
        <v>30</v>
      </c>
      <c r="E288" s="24" t="s">
        <v>127</v>
      </c>
      <c r="F288" s="24" t="s">
        <v>128</v>
      </c>
      <c r="G288" s="24">
        <v>26</v>
      </c>
      <c r="H288" s="24" t="s">
        <v>24</v>
      </c>
      <c r="I288" s="24" t="s">
        <v>4</v>
      </c>
      <c r="J288" s="24" t="s">
        <v>25</v>
      </c>
      <c r="K288" s="24" t="s">
        <v>25</v>
      </c>
      <c r="L288" s="24" t="s">
        <v>26</v>
      </c>
      <c r="M288" s="24" t="s">
        <v>27</v>
      </c>
      <c r="N288" s="24" t="s">
        <v>28</v>
      </c>
      <c r="O288" s="25">
        <v>4750</v>
      </c>
      <c r="P288" s="24"/>
      <c r="Q288" s="24" t="s">
        <v>129</v>
      </c>
      <c r="R288" s="24">
        <v>26.6</v>
      </c>
      <c r="S288" s="24" t="s">
        <v>29</v>
      </c>
    </row>
    <row r="289" spans="1:19">
      <c r="A289" s="26">
        <v>8501</v>
      </c>
      <c r="B289" s="26" t="s">
        <v>20</v>
      </c>
      <c r="C289" s="26" t="s">
        <v>21</v>
      </c>
      <c r="D289" s="26" t="s">
        <v>21</v>
      </c>
      <c r="E289" s="26" t="s">
        <v>130</v>
      </c>
      <c r="F289" s="26" t="s">
        <v>131</v>
      </c>
      <c r="G289" s="26">
        <v>13</v>
      </c>
      <c r="H289" s="26" t="s">
        <v>24</v>
      </c>
      <c r="I289" s="26" t="s">
        <v>4</v>
      </c>
      <c r="J289" s="26" t="s">
        <v>25</v>
      </c>
      <c r="K289" s="26" t="s">
        <v>25</v>
      </c>
      <c r="L289" s="26" t="s">
        <v>26</v>
      </c>
      <c r="M289" s="26" t="s">
        <v>27</v>
      </c>
      <c r="N289" s="26" t="s">
        <v>28</v>
      </c>
      <c r="O289" s="27">
        <v>4750</v>
      </c>
      <c r="P289" s="26"/>
      <c r="Q289" s="26" t="s">
        <v>129</v>
      </c>
      <c r="R289" s="26">
        <v>13.3</v>
      </c>
      <c r="S289" s="26" t="s">
        <v>29</v>
      </c>
    </row>
    <row r="290" spans="1:19">
      <c r="A290" s="26">
        <v>8502</v>
      </c>
      <c r="B290" s="26" t="s">
        <v>20</v>
      </c>
      <c r="C290" s="26" t="s">
        <v>21</v>
      </c>
      <c r="D290" s="26" t="s">
        <v>21</v>
      </c>
      <c r="E290" s="26" t="s">
        <v>132</v>
      </c>
      <c r="F290" s="26" t="s">
        <v>133</v>
      </c>
      <c r="G290" s="26">
        <v>13</v>
      </c>
      <c r="H290" s="26" t="s">
        <v>24</v>
      </c>
      <c r="I290" s="26" t="s">
        <v>4</v>
      </c>
      <c r="J290" s="26" t="s">
        <v>25</v>
      </c>
      <c r="K290" s="26" t="s">
        <v>25</v>
      </c>
      <c r="L290" s="26" t="s">
        <v>26</v>
      </c>
      <c r="M290" s="26" t="s">
        <v>27</v>
      </c>
      <c r="N290" s="26" t="s">
        <v>28</v>
      </c>
      <c r="O290" s="27">
        <v>4750</v>
      </c>
      <c r="P290" s="26"/>
      <c r="Q290" s="26" t="s">
        <v>129</v>
      </c>
      <c r="R290" s="26">
        <v>13.3</v>
      </c>
      <c r="S290" s="26" t="s">
        <v>29</v>
      </c>
    </row>
    <row r="291" spans="1:19" ht="29.25">
      <c r="A291" s="24">
        <v>8600</v>
      </c>
      <c r="B291" s="24" t="s">
        <v>20</v>
      </c>
      <c r="C291" s="24" t="s">
        <v>21</v>
      </c>
      <c r="D291" s="24" t="s">
        <v>30</v>
      </c>
      <c r="E291" s="24" t="s">
        <v>202</v>
      </c>
      <c r="F291" s="24" t="s">
        <v>203</v>
      </c>
      <c r="G291" s="24">
        <v>28.9</v>
      </c>
      <c r="H291" s="24" t="s">
        <v>24</v>
      </c>
      <c r="I291" s="24" t="s">
        <v>4</v>
      </c>
      <c r="J291" s="24" t="s">
        <v>25</v>
      </c>
      <c r="K291" s="24" t="s">
        <v>25</v>
      </c>
      <c r="L291" s="24" t="s">
        <v>26</v>
      </c>
      <c r="M291" s="24" t="s">
        <v>27</v>
      </c>
      <c r="N291" s="24" t="s">
        <v>28</v>
      </c>
      <c r="O291" s="25">
        <v>8037</v>
      </c>
      <c r="P291" s="24"/>
      <c r="Q291" s="24" t="s">
        <v>129</v>
      </c>
      <c r="R291" s="24">
        <v>27.4</v>
      </c>
      <c r="S291" s="24" t="s">
        <v>29</v>
      </c>
    </row>
    <row r="292" spans="1:19">
      <c r="A292" s="26">
        <v>8601</v>
      </c>
      <c r="B292" s="26" t="s">
        <v>20</v>
      </c>
      <c r="C292" s="26" t="s">
        <v>21</v>
      </c>
      <c r="D292" s="26" t="s">
        <v>21</v>
      </c>
      <c r="E292" s="26" t="s">
        <v>204</v>
      </c>
      <c r="F292" s="26" t="s">
        <v>205</v>
      </c>
      <c r="G292" s="26">
        <v>12.9</v>
      </c>
      <c r="H292" s="26" t="s">
        <v>24</v>
      </c>
      <c r="I292" s="26" t="s">
        <v>4</v>
      </c>
      <c r="J292" s="26" t="s">
        <v>25</v>
      </c>
      <c r="K292" s="26" t="s">
        <v>25</v>
      </c>
      <c r="L292" s="26" t="s">
        <v>26</v>
      </c>
      <c r="M292" s="26" t="s">
        <v>27</v>
      </c>
      <c r="N292" s="26" t="s">
        <v>28</v>
      </c>
      <c r="O292" s="27">
        <v>8037</v>
      </c>
      <c r="P292" s="26"/>
      <c r="Q292" s="26" t="s">
        <v>129</v>
      </c>
      <c r="R292" s="26">
        <v>13.3</v>
      </c>
      <c r="S292" s="26" t="s">
        <v>29</v>
      </c>
    </row>
    <row r="293" spans="1:19">
      <c r="A293" s="26">
        <v>8602</v>
      </c>
      <c r="B293" s="26" t="s">
        <v>20</v>
      </c>
      <c r="C293" s="26" t="s">
        <v>21</v>
      </c>
      <c r="D293" s="26" t="s">
        <v>21</v>
      </c>
      <c r="E293" s="26" t="s">
        <v>254</v>
      </c>
      <c r="F293" s="26" t="s">
        <v>255</v>
      </c>
      <c r="G293" s="26">
        <v>16</v>
      </c>
      <c r="H293" s="26" t="s">
        <v>24</v>
      </c>
      <c r="I293" s="26" t="s">
        <v>4</v>
      </c>
      <c r="J293" s="26" t="s">
        <v>25</v>
      </c>
      <c r="K293" s="26" t="s">
        <v>25</v>
      </c>
      <c r="L293" s="26" t="s">
        <v>26</v>
      </c>
      <c r="M293" s="26" t="s">
        <v>27</v>
      </c>
      <c r="N293" s="26" t="s">
        <v>28</v>
      </c>
      <c r="O293" s="27">
        <v>10228</v>
      </c>
      <c r="P293" s="26"/>
      <c r="Q293" s="26" t="s">
        <v>129</v>
      </c>
      <c r="R293" s="26">
        <v>14.1</v>
      </c>
      <c r="S293" s="26" t="s">
        <v>29</v>
      </c>
    </row>
    <row r="294" spans="1:19">
      <c r="A294" s="24">
        <v>105700</v>
      </c>
      <c r="B294" s="24" t="s">
        <v>20</v>
      </c>
      <c r="C294" s="24" t="s">
        <v>21</v>
      </c>
      <c r="D294" s="24" t="s">
        <v>30</v>
      </c>
      <c r="E294" s="24" t="s">
        <v>4445</v>
      </c>
      <c r="F294" s="24" t="s">
        <v>4446</v>
      </c>
      <c r="G294" s="24">
        <v>494.58</v>
      </c>
      <c r="H294" s="24" t="s">
        <v>5</v>
      </c>
      <c r="I294" s="24" t="s">
        <v>4447</v>
      </c>
      <c r="J294" s="24" t="s">
        <v>365</v>
      </c>
      <c r="K294" s="24" t="s">
        <v>705</v>
      </c>
      <c r="L294" s="24" t="s">
        <v>240</v>
      </c>
      <c r="M294" s="24" t="s">
        <v>38</v>
      </c>
      <c r="N294" s="24" t="s">
        <v>39</v>
      </c>
      <c r="O294" s="25">
        <v>41078</v>
      </c>
      <c r="P294" s="24"/>
      <c r="Q294" s="24"/>
      <c r="R294" s="24">
        <v>506</v>
      </c>
      <c r="S294" s="24" t="s">
        <v>29</v>
      </c>
    </row>
    <row r="295" spans="1:19">
      <c r="A295" s="28">
        <v>110300</v>
      </c>
      <c r="B295" s="28" t="s">
        <v>20</v>
      </c>
      <c r="C295" s="28" t="s">
        <v>21</v>
      </c>
      <c r="D295" s="28" t="s">
        <v>21</v>
      </c>
      <c r="E295" s="28" t="s">
        <v>4448</v>
      </c>
      <c r="F295" s="28" t="s">
        <v>4449</v>
      </c>
      <c r="G295" s="28">
        <v>219.68</v>
      </c>
      <c r="H295" s="28" t="s">
        <v>5</v>
      </c>
      <c r="I295" s="28" t="s">
        <v>4450</v>
      </c>
      <c r="J295" s="28" t="s">
        <v>1025</v>
      </c>
      <c r="K295" s="28" t="s">
        <v>2138</v>
      </c>
      <c r="L295" s="28" t="s">
        <v>1026</v>
      </c>
      <c r="M295" s="28" t="s">
        <v>38</v>
      </c>
      <c r="N295" s="28" t="s">
        <v>39</v>
      </c>
      <c r="O295" s="29">
        <v>41569</v>
      </c>
      <c r="P295" s="28"/>
      <c r="Q295" s="28"/>
      <c r="R295" s="28">
        <v>300</v>
      </c>
      <c r="S295" s="28" t="s">
        <v>29</v>
      </c>
    </row>
    <row r="296" spans="1:19">
      <c r="A296" s="28">
        <v>109900</v>
      </c>
      <c r="B296" s="28" t="s">
        <v>20</v>
      </c>
      <c r="C296" s="28" t="s">
        <v>21</v>
      </c>
      <c r="D296" s="28" t="s">
        <v>21</v>
      </c>
      <c r="E296" s="28" t="s">
        <v>4451</v>
      </c>
      <c r="F296" s="28" t="s">
        <v>4452</v>
      </c>
      <c r="G296" s="28">
        <v>250</v>
      </c>
      <c r="H296" s="28" t="s">
        <v>5</v>
      </c>
      <c r="I296" s="28" t="s">
        <v>4453</v>
      </c>
      <c r="J296" s="28" t="s">
        <v>1025</v>
      </c>
      <c r="K296" s="28" t="s">
        <v>2138</v>
      </c>
      <c r="L296" s="28" t="s">
        <v>1026</v>
      </c>
      <c r="M296" s="28" t="s">
        <v>38</v>
      </c>
      <c r="N296" s="28" t="s">
        <v>39</v>
      </c>
      <c r="O296" s="29">
        <v>41559</v>
      </c>
      <c r="P296" s="28"/>
      <c r="Q296" s="28"/>
      <c r="R296" s="28">
        <v>250</v>
      </c>
      <c r="S296" s="28" t="s">
        <v>29</v>
      </c>
    </row>
    <row r="297" spans="1:19">
      <c r="A297" s="28">
        <v>7800</v>
      </c>
      <c r="B297" s="28" t="s">
        <v>20</v>
      </c>
      <c r="C297" s="28" t="s">
        <v>21</v>
      </c>
      <c r="D297" s="28" t="s">
        <v>21</v>
      </c>
      <c r="E297" s="28" t="s">
        <v>1126</v>
      </c>
      <c r="F297" s="28" t="s">
        <v>1127</v>
      </c>
      <c r="G297" s="28">
        <v>1150</v>
      </c>
      <c r="H297" s="28" t="s">
        <v>24</v>
      </c>
      <c r="I297" s="28" t="s">
        <v>4</v>
      </c>
      <c r="J297" s="28" t="s">
        <v>868</v>
      </c>
      <c r="K297" s="28" t="s">
        <v>366</v>
      </c>
      <c r="L297" s="28" t="s">
        <v>869</v>
      </c>
      <c r="M297" s="28" t="s">
        <v>193</v>
      </c>
      <c r="N297" s="28" t="s">
        <v>194</v>
      </c>
      <c r="O297" s="29">
        <v>31048</v>
      </c>
      <c r="P297" s="28"/>
      <c r="Q297" s="28"/>
      <c r="R297" s="28">
        <v>1150</v>
      </c>
      <c r="S297" s="28" t="s">
        <v>29</v>
      </c>
    </row>
    <row r="298" spans="1:19">
      <c r="A298" s="28">
        <v>7900</v>
      </c>
      <c r="B298" s="28" t="s">
        <v>20</v>
      </c>
      <c r="C298" s="28" t="s">
        <v>21</v>
      </c>
      <c r="D298" s="28" t="s">
        <v>21</v>
      </c>
      <c r="E298" s="28" t="s">
        <v>1273</v>
      </c>
      <c r="F298" s="28" t="s">
        <v>1274</v>
      </c>
      <c r="G298" s="28">
        <v>1150</v>
      </c>
      <c r="H298" s="28" t="s">
        <v>24</v>
      </c>
      <c r="I298" s="28" t="s">
        <v>4</v>
      </c>
      <c r="J298" s="28" t="s">
        <v>868</v>
      </c>
      <c r="K298" s="28" t="s">
        <v>366</v>
      </c>
      <c r="L298" s="28" t="s">
        <v>869</v>
      </c>
      <c r="M298" s="28" t="s">
        <v>193</v>
      </c>
      <c r="N298" s="28" t="s">
        <v>194</v>
      </c>
      <c r="O298" s="29">
        <v>31413</v>
      </c>
      <c r="P298" s="28"/>
      <c r="Q298" s="28"/>
      <c r="R298" s="28">
        <v>1150</v>
      </c>
      <c r="S298" s="28" t="s">
        <v>29</v>
      </c>
    </row>
    <row r="299" spans="1:19">
      <c r="A299" s="28">
        <v>96600</v>
      </c>
      <c r="B299" s="28" t="s">
        <v>20</v>
      </c>
      <c r="C299" s="28" t="s">
        <v>21</v>
      </c>
      <c r="D299" s="28" t="s">
        <v>21</v>
      </c>
      <c r="E299" s="28" t="s">
        <v>2869</v>
      </c>
      <c r="F299" s="28" t="s">
        <v>2870</v>
      </c>
      <c r="G299" s="28">
        <v>45</v>
      </c>
      <c r="H299" s="28" t="s">
        <v>5</v>
      </c>
      <c r="I299" s="28" t="s">
        <v>2871</v>
      </c>
      <c r="J299" s="28" t="s">
        <v>781</v>
      </c>
      <c r="K299" s="28" t="s">
        <v>781</v>
      </c>
      <c r="L299" s="28" t="s">
        <v>781</v>
      </c>
      <c r="M299" s="28" t="s">
        <v>38</v>
      </c>
      <c r="N299" s="28" t="s">
        <v>39</v>
      </c>
      <c r="O299" s="29">
        <v>39556</v>
      </c>
      <c r="P299" s="28"/>
      <c r="Q299" s="28"/>
      <c r="R299" s="28">
        <v>45</v>
      </c>
      <c r="S299" s="28" t="s">
        <v>29</v>
      </c>
    </row>
    <row r="300" spans="1:19">
      <c r="A300" s="28">
        <v>8100</v>
      </c>
      <c r="B300" s="28" t="s">
        <v>20</v>
      </c>
      <c r="C300" s="28" t="s">
        <v>30</v>
      </c>
      <c r="D300" s="28" t="s">
        <v>21</v>
      </c>
      <c r="E300" s="28" t="s">
        <v>2381</v>
      </c>
      <c r="F300" s="28" t="s">
        <v>2382</v>
      </c>
      <c r="G300" s="28">
        <v>12</v>
      </c>
      <c r="H300" s="28" t="s">
        <v>24</v>
      </c>
      <c r="I300" s="28" t="s">
        <v>2383</v>
      </c>
      <c r="J300" s="28" t="s">
        <v>365</v>
      </c>
      <c r="K300" s="28" t="s">
        <v>366</v>
      </c>
      <c r="L300" s="28" t="s">
        <v>240</v>
      </c>
      <c r="M300" s="28" t="s">
        <v>27</v>
      </c>
      <c r="N300" s="28" t="s">
        <v>28</v>
      </c>
      <c r="O300" s="29">
        <v>37077</v>
      </c>
      <c r="P300" s="28"/>
      <c r="Q300" s="28"/>
      <c r="R300" s="28">
        <v>12</v>
      </c>
      <c r="S300" s="28" t="s">
        <v>29</v>
      </c>
    </row>
    <row r="301" spans="1:19">
      <c r="A301" s="28">
        <v>8300</v>
      </c>
      <c r="B301" s="28" t="s">
        <v>20</v>
      </c>
      <c r="C301" s="28" t="s">
        <v>21</v>
      </c>
      <c r="D301" s="28" t="s">
        <v>21</v>
      </c>
      <c r="E301" s="28" t="s">
        <v>390</v>
      </c>
      <c r="F301" s="28" t="s">
        <v>391</v>
      </c>
      <c r="G301" s="28">
        <v>72</v>
      </c>
      <c r="H301" s="28" t="s">
        <v>24</v>
      </c>
      <c r="I301" s="28" t="s">
        <v>389</v>
      </c>
      <c r="J301" s="28" t="s">
        <v>25</v>
      </c>
      <c r="K301" s="28" t="s">
        <v>25</v>
      </c>
      <c r="L301" s="28" t="s">
        <v>26</v>
      </c>
      <c r="M301" s="28" t="s">
        <v>27</v>
      </c>
      <c r="N301" s="28" t="s">
        <v>28</v>
      </c>
      <c r="O301" s="29">
        <v>20821</v>
      </c>
      <c r="P301" s="28"/>
      <c r="Q301" s="28" t="s">
        <v>312</v>
      </c>
      <c r="R301" s="28">
        <v>72</v>
      </c>
      <c r="S301" s="28" t="s">
        <v>29</v>
      </c>
    </row>
    <row r="302" spans="1:19">
      <c r="A302" s="28">
        <v>8700</v>
      </c>
      <c r="B302" s="28" t="s">
        <v>20</v>
      </c>
      <c r="C302" s="28" t="s">
        <v>21</v>
      </c>
      <c r="D302" s="28" t="s">
        <v>21</v>
      </c>
      <c r="E302" s="28" t="s">
        <v>492</v>
      </c>
      <c r="F302" s="28" t="s">
        <v>493</v>
      </c>
      <c r="G302" s="28">
        <v>50</v>
      </c>
      <c r="H302" s="28" t="s">
        <v>24</v>
      </c>
      <c r="I302" s="28" t="s">
        <v>4</v>
      </c>
      <c r="J302" s="28" t="s">
        <v>25</v>
      </c>
      <c r="K302" s="28" t="s">
        <v>25</v>
      </c>
      <c r="L302" s="28" t="s">
        <v>26</v>
      </c>
      <c r="M302" s="28" t="s">
        <v>27</v>
      </c>
      <c r="N302" s="28" t="s">
        <v>28</v>
      </c>
      <c r="O302" s="29">
        <v>23743</v>
      </c>
      <c r="P302" s="28"/>
      <c r="Q302" s="28" t="s">
        <v>129</v>
      </c>
      <c r="R302" s="28">
        <v>50</v>
      </c>
      <c r="S302" s="28" t="s">
        <v>29</v>
      </c>
    </row>
    <row r="303" spans="1:19">
      <c r="A303" s="28">
        <v>8800</v>
      </c>
      <c r="B303" s="28" t="s">
        <v>20</v>
      </c>
      <c r="C303" s="28" t="s">
        <v>21</v>
      </c>
      <c r="D303" s="28" t="s">
        <v>21</v>
      </c>
      <c r="E303" s="28" t="s">
        <v>316</v>
      </c>
      <c r="F303" s="28" t="s">
        <v>317</v>
      </c>
      <c r="G303" s="28">
        <v>22</v>
      </c>
      <c r="H303" s="28" t="s">
        <v>24</v>
      </c>
      <c r="I303" s="28" t="s">
        <v>4</v>
      </c>
      <c r="J303" s="28" t="s">
        <v>25</v>
      </c>
      <c r="K303" s="28" t="s">
        <v>25</v>
      </c>
      <c r="L303" s="28" t="s">
        <v>26</v>
      </c>
      <c r="M303" s="28" t="s">
        <v>27</v>
      </c>
      <c r="N303" s="28" t="s">
        <v>28</v>
      </c>
      <c r="O303" s="29">
        <v>15707</v>
      </c>
      <c r="P303" s="28"/>
      <c r="Q303" s="28" t="s">
        <v>129</v>
      </c>
      <c r="R303" s="28">
        <v>22</v>
      </c>
      <c r="S303" s="28" t="s">
        <v>29</v>
      </c>
    </row>
    <row r="304" spans="1:19">
      <c r="A304" s="28">
        <v>8900</v>
      </c>
      <c r="B304" s="28" t="s">
        <v>20</v>
      </c>
      <c r="C304" s="28" t="s">
        <v>21</v>
      </c>
      <c r="D304" s="28" t="s">
        <v>21</v>
      </c>
      <c r="E304" s="28" t="s">
        <v>494</v>
      </c>
      <c r="F304" s="28" t="s">
        <v>495</v>
      </c>
      <c r="G304" s="28">
        <v>26</v>
      </c>
      <c r="H304" s="28" t="s">
        <v>24</v>
      </c>
      <c r="I304" s="28" t="s">
        <v>491</v>
      </c>
      <c r="J304" s="28" t="s">
        <v>25</v>
      </c>
      <c r="K304" s="28" t="s">
        <v>25</v>
      </c>
      <c r="L304" s="28" t="s">
        <v>26</v>
      </c>
      <c r="M304" s="28" t="s">
        <v>27</v>
      </c>
      <c r="N304" s="28" t="s">
        <v>28</v>
      </c>
      <c r="O304" s="29">
        <v>23743</v>
      </c>
      <c r="P304" s="28"/>
      <c r="Q304" s="28" t="s">
        <v>129</v>
      </c>
      <c r="R304" s="28">
        <v>26</v>
      </c>
      <c r="S304" s="28" t="s">
        <v>29</v>
      </c>
    </row>
    <row r="305" spans="1:19">
      <c r="A305" s="28">
        <v>2920</v>
      </c>
      <c r="B305" s="28" t="s">
        <v>20</v>
      </c>
      <c r="C305" s="28" t="s">
        <v>21</v>
      </c>
      <c r="D305" s="28" t="s">
        <v>21</v>
      </c>
      <c r="E305" s="28" t="s">
        <v>1448</v>
      </c>
      <c r="F305" s="28" t="s">
        <v>1449</v>
      </c>
      <c r="G305" s="28">
        <v>200</v>
      </c>
      <c r="H305" s="28" t="s">
        <v>5</v>
      </c>
      <c r="I305" s="28" t="s">
        <v>5</v>
      </c>
      <c r="J305" s="28" t="s">
        <v>25</v>
      </c>
      <c r="K305" s="28" t="s">
        <v>542</v>
      </c>
      <c r="L305" s="28" t="s">
        <v>26</v>
      </c>
      <c r="M305" s="28" t="s">
        <v>38</v>
      </c>
      <c r="N305" s="28" t="s">
        <v>39</v>
      </c>
      <c r="O305" s="29">
        <v>31778</v>
      </c>
      <c r="P305" s="28"/>
      <c r="Q305" s="28"/>
      <c r="R305" s="28">
        <v>199</v>
      </c>
      <c r="S305" s="28" t="s">
        <v>29</v>
      </c>
    </row>
    <row r="306" spans="1:19" ht="29.25">
      <c r="A306" s="28">
        <v>91900</v>
      </c>
      <c r="B306" s="28" t="s">
        <v>20</v>
      </c>
      <c r="C306" s="28" t="s">
        <v>21</v>
      </c>
      <c r="D306" s="28" t="s">
        <v>21</v>
      </c>
      <c r="E306" s="28" t="s">
        <v>2721</v>
      </c>
      <c r="F306" s="28" t="s">
        <v>2722</v>
      </c>
      <c r="G306" s="28">
        <v>11</v>
      </c>
      <c r="H306" s="28" t="s">
        <v>24</v>
      </c>
      <c r="I306" s="28" t="s">
        <v>2723</v>
      </c>
      <c r="J306" s="28" t="s">
        <v>25</v>
      </c>
      <c r="K306" s="28" t="s">
        <v>25</v>
      </c>
      <c r="L306" s="28" t="s">
        <v>26</v>
      </c>
      <c r="M306" s="28" t="s">
        <v>27</v>
      </c>
      <c r="N306" s="28" t="s">
        <v>28</v>
      </c>
      <c r="O306" s="29">
        <v>38493</v>
      </c>
      <c r="P306" s="28"/>
      <c r="Q306" s="28" t="s">
        <v>2724</v>
      </c>
      <c r="R306" s="28">
        <v>10.5</v>
      </c>
      <c r="S306" s="28" t="s">
        <v>29</v>
      </c>
    </row>
    <row r="307" spans="1:19" ht="29.25">
      <c r="A307" s="28">
        <v>92000</v>
      </c>
      <c r="B307" s="28" t="s">
        <v>20</v>
      </c>
      <c r="C307" s="28" t="s">
        <v>21</v>
      </c>
      <c r="D307" s="28" t="s">
        <v>21</v>
      </c>
      <c r="E307" s="28" t="s">
        <v>2725</v>
      </c>
      <c r="F307" s="28" t="s">
        <v>2726</v>
      </c>
      <c r="G307" s="28">
        <v>11</v>
      </c>
      <c r="H307" s="28" t="s">
        <v>24</v>
      </c>
      <c r="I307" s="28" t="s">
        <v>2723</v>
      </c>
      <c r="J307" s="28" t="s">
        <v>25</v>
      </c>
      <c r="K307" s="28" t="s">
        <v>25</v>
      </c>
      <c r="L307" s="28" t="s">
        <v>26</v>
      </c>
      <c r="M307" s="28" t="s">
        <v>27</v>
      </c>
      <c r="N307" s="28" t="s">
        <v>28</v>
      </c>
      <c r="O307" s="29">
        <v>38493</v>
      </c>
      <c r="P307" s="28"/>
      <c r="Q307" s="28" t="s">
        <v>2724</v>
      </c>
      <c r="R307" s="28">
        <v>10.5</v>
      </c>
      <c r="S307" s="28" t="s">
        <v>29</v>
      </c>
    </row>
    <row r="308" spans="1:19" ht="29.25">
      <c r="A308" s="24">
        <v>89900</v>
      </c>
      <c r="B308" s="24" t="s">
        <v>20</v>
      </c>
      <c r="C308" s="24" t="s">
        <v>21</v>
      </c>
      <c r="D308" s="24" t="s">
        <v>30</v>
      </c>
      <c r="E308" s="24" t="s">
        <v>2676</v>
      </c>
      <c r="F308" s="24" t="s">
        <v>2677</v>
      </c>
      <c r="G308" s="24">
        <v>3.74</v>
      </c>
      <c r="H308" s="24" t="s">
        <v>5</v>
      </c>
      <c r="I308" s="24" t="s">
        <v>2678</v>
      </c>
      <c r="J308" s="24" t="s">
        <v>788</v>
      </c>
      <c r="K308" s="24" t="s">
        <v>296</v>
      </c>
      <c r="L308" s="24" t="s">
        <v>888</v>
      </c>
      <c r="M308" s="24" t="s">
        <v>38</v>
      </c>
      <c r="N308" s="24" t="s">
        <v>39</v>
      </c>
      <c r="O308" s="25">
        <v>38103</v>
      </c>
      <c r="P308" s="24"/>
      <c r="Q308" s="24"/>
      <c r="R308" s="24">
        <v>4.05</v>
      </c>
      <c r="S308" s="24" t="s">
        <v>29</v>
      </c>
    </row>
    <row r="309" spans="1:19">
      <c r="A309" s="26">
        <v>89903</v>
      </c>
      <c r="B309" s="26" t="s">
        <v>20</v>
      </c>
      <c r="C309" s="26" t="s">
        <v>30</v>
      </c>
      <c r="D309" s="26" t="s">
        <v>21</v>
      </c>
      <c r="E309" s="26" t="s">
        <v>3136</v>
      </c>
      <c r="F309" s="26" t="s">
        <v>3137</v>
      </c>
      <c r="G309" s="26">
        <v>1.35</v>
      </c>
      <c r="H309" s="26" t="s">
        <v>5</v>
      </c>
      <c r="I309" s="26" t="s">
        <v>2678</v>
      </c>
      <c r="J309" s="26" t="s">
        <v>788</v>
      </c>
      <c r="K309" s="26" t="s">
        <v>296</v>
      </c>
      <c r="L309" s="26" t="s">
        <v>888</v>
      </c>
      <c r="M309" s="26" t="s">
        <v>38</v>
      </c>
      <c r="N309" s="26" t="s">
        <v>39</v>
      </c>
      <c r="O309" s="26" t="s">
        <v>4687</v>
      </c>
      <c r="P309" s="26" t="s">
        <v>3138</v>
      </c>
      <c r="Q309" s="26"/>
      <c r="R309" s="26">
        <v>1.35</v>
      </c>
      <c r="S309" s="26" t="s">
        <v>29</v>
      </c>
    </row>
    <row r="310" spans="1:19">
      <c r="A310" s="26">
        <v>89901</v>
      </c>
      <c r="B310" s="26" t="s">
        <v>20</v>
      </c>
      <c r="C310" s="26" t="s">
        <v>30</v>
      </c>
      <c r="D310" s="26" t="s">
        <v>21</v>
      </c>
      <c r="E310" s="26"/>
      <c r="F310" s="26" t="s">
        <v>2679</v>
      </c>
      <c r="G310" s="26">
        <v>1.35</v>
      </c>
      <c r="H310" s="26" t="s">
        <v>5</v>
      </c>
      <c r="I310" s="26" t="s">
        <v>2678</v>
      </c>
      <c r="J310" s="26" t="s">
        <v>788</v>
      </c>
      <c r="K310" s="26" t="s">
        <v>296</v>
      </c>
      <c r="L310" s="26" t="s">
        <v>888</v>
      </c>
      <c r="M310" s="26" t="s">
        <v>38</v>
      </c>
      <c r="N310" s="26" t="s">
        <v>39</v>
      </c>
      <c r="O310" s="27">
        <v>38103</v>
      </c>
      <c r="P310" s="26"/>
      <c r="Q310" s="26"/>
      <c r="R310" s="26">
        <v>1.35</v>
      </c>
      <c r="S310" s="26" t="s">
        <v>29</v>
      </c>
    </row>
    <row r="311" spans="1:19">
      <c r="A311" s="26">
        <v>89902</v>
      </c>
      <c r="B311" s="26" t="s">
        <v>20</v>
      </c>
      <c r="C311" s="26" t="s">
        <v>30</v>
      </c>
      <c r="D311" s="26" t="s">
        <v>21</v>
      </c>
      <c r="E311" s="26"/>
      <c r="F311" s="26" t="s">
        <v>2680</v>
      </c>
      <c r="G311" s="26">
        <v>1.35</v>
      </c>
      <c r="H311" s="26" t="s">
        <v>5</v>
      </c>
      <c r="I311" s="26" t="s">
        <v>2678</v>
      </c>
      <c r="J311" s="26" t="s">
        <v>788</v>
      </c>
      <c r="K311" s="26" t="s">
        <v>296</v>
      </c>
      <c r="L311" s="26" t="s">
        <v>888</v>
      </c>
      <c r="M311" s="26" t="s">
        <v>38</v>
      </c>
      <c r="N311" s="26" t="s">
        <v>39</v>
      </c>
      <c r="O311" s="27">
        <v>38103</v>
      </c>
      <c r="P311" s="26"/>
      <c r="Q311" s="26"/>
      <c r="R311" s="26">
        <v>1.35</v>
      </c>
      <c r="S311" s="26" t="s">
        <v>29</v>
      </c>
    </row>
    <row r="312" spans="1:19">
      <c r="A312" s="24">
        <v>9600</v>
      </c>
      <c r="B312" s="24" t="s">
        <v>20</v>
      </c>
      <c r="C312" s="24" t="s">
        <v>21</v>
      </c>
      <c r="D312" s="24" t="s">
        <v>30</v>
      </c>
      <c r="E312" s="24" t="s">
        <v>333</v>
      </c>
      <c r="F312" s="24" t="s">
        <v>334</v>
      </c>
      <c r="G312" s="24">
        <v>101.5</v>
      </c>
      <c r="H312" s="24" t="s">
        <v>24</v>
      </c>
      <c r="I312" s="24" t="s">
        <v>4</v>
      </c>
      <c r="J312" s="24" t="s">
        <v>25</v>
      </c>
      <c r="K312" s="24" t="s">
        <v>25</v>
      </c>
      <c r="L312" s="24" t="s">
        <v>26</v>
      </c>
      <c r="M312" s="24" t="s">
        <v>27</v>
      </c>
      <c r="N312" s="24" t="s">
        <v>28</v>
      </c>
      <c r="O312" s="25">
        <v>17533</v>
      </c>
      <c r="P312" s="24"/>
      <c r="Q312" s="24" t="s">
        <v>274</v>
      </c>
      <c r="R312" s="24">
        <v>92</v>
      </c>
      <c r="S312" s="24" t="s">
        <v>29</v>
      </c>
    </row>
    <row r="313" spans="1:19">
      <c r="A313" s="26">
        <v>9601</v>
      </c>
      <c r="B313" s="26" t="s">
        <v>20</v>
      </c>
      <c r="C313" s="26" t="s">
        <v>21</v>
      </c>
      <c r="D313" s="26" t="s">
        <v>21</v>
      </c>
      <c r="E313" s="26" t="s">
        <v>335</v>
      </c>
      <c r="F313" s="26" t="s">
        <v>336</v>
      </c>
      <c r="G313" s="26">
        <v>31.7</v>
      </c>
      <c r="H313" s="26" t="s">
        <v>24</v>
      </c>
      <c r="I313" s="26" t="s">
        <v>4</v>
      </c>
      <c r="J313" s="26" t="s">
        <v>25</v>
      </c>
      <c r="K313" s="26" t="s">
        <v>25</v>
      </c>
      <c r="L313" s="26" t="s">
        <v>26</v>
      </c>
      <c r="M313" s="26" t="s">
        <v>27</v>
      </c>
      <c r="N313" s="26" t="s">
        <v>28</v>
      </c>
      <c r="O313" s="27">
        <v>17533</v>
      </c>
      <c r="P313" s="26"/>
      <c r="Q313" s="26" t="s">
        <v>274</v>
      </c>
      <c r="R313" s="26">
        <v>31.7</v>
      </c>
      <c r="S313" s="26" t="s">
        <v>29</v>
      </c>
    </row>
    <row r="314" spans="1:19">
      <c r="A314" s="26">
        <v>9602</v>
      </c>
      <c r="B314" s="26" t="s">
        <v>20</v>
      </c>
      <c r="C314" s="26" t="s">
        <v>21</v>
      </c>
      <c r="D314" s="26" t="s">
        <v>21</v>
      </c>
      <c r="E314" s="26" t="s">
        <v>337</v>
      </c>
      <c r="F314" s="26" t="s">
        <v>338</v>
      </c>
      <c r="G314" s="26">
        <v>31.7</v>
      </c>
      <c r="H314" s="26" t="s">
        <v>24</v>
      </c>
      <c r="I314" s="26" t="s">
        <v>4</v>
      </c>
      <c r="J314" s="26" t="s">
        <v>25</v>
      </c>
      <c r="K314" s="26" t="s">
        <v>25</v>
      </c>
      <c r="L314" s="26" t="s">
        <v>26</v>
      </c>
      <c r="M314" s="26" t="s">
        <v>27</v>
      </c>
      <c r="N314" s="26" t="s">
        <v>28</v>
      </c>
      <c r="O314" s="27">
        <v>17533</v>
      </c>
      <c r="P314" s="26"/>
      <c r="Q314" s="26" t="s">
        <v>274</v>
      </c>
      <c r="R314" s="26">
        <v>31.7</v>
      </c>
      <c r="S314" s="26" t="s">
        <v>29</v>
      </c>
    </row>
    <row r="315" spans="1:19">
      <c r="A315" s="26">
        <v>9603</v>
      </c>
      <c r="B315" s="26" t="s">
        <v>20</v>
      </c>
      <c r="C315" s="26" t="s">
        <v>21</v>
      </c>
      <c r="D315" s="26" t="s">
        <v>21</v>
      </c>
      <c r="E315" s="26" t="s">
        <v>339</v>
      </c>
      <c r="F315" s="26" t="s">
        <v>340</v>
      </c>
      <c r="G315" s="26">
        <v>38.1</v>
      </c>
      <c r="H315" s="26" t="s">
        <v>24</v>
      </c>
      <c r="I315" s="26" t="s">
        <v>4</v>
      </c>
      <c r="J315" s="26" t="s">
        <v>25</v>
      </c>
      <c r="K315" s="26" t="s">
        <v>25</v>
      </c>
      <c r="L315" s="26" t="s">
        <v>26</v>
      </c>
      <c r="M315" s="26" t="s">
        <v>27</v>
      </c>
      <c r="N315" s="26" t="s">
        <v>28</v>
      </c>
      <c r="O315" s="27">
        <v>17533</v>
      </c>
      <c r="P315" s="26"/>
      <c r="Q315" s="26" t="s">
        <v>274</v>
      </c>
      <c r="R315" s="26">
        <v>38.1</v>
      </c>
      <c r="S315" s="26" t="s">
        <v>29</v>
      </c>
    </row>
    <row r="316" spans="1:19" ht="29.25">
      <c r="A316" s="24">
        <v>84100</v>
      </c>
      <c r="B316" s="24" t="s">
        <v>20</v>
      </c>
      <c r="C316" s="24" t="s">
        <v>21</v>
      </c>
      <c r="D316" s="24" t="s">
        <v>30</v>
      </c>
      <c r="E316" s="24" t="s">
        <v>2646</v>
      </c>
      <c r="F316" s="24" t="s">
        <v>2647</v>
      </c>
      <c r="G316" s="24">
        <v>551.70000000000005</v>
      </c>
      <c r="H316" s="24" t="s">
        <v>24</v>
      </c>
      <c r="I316" s="24" t="s">
        <v>2648</v>
      </c>
      <c r="J316" s="24" t="s">
        <v>365</v>
      </c>
      <c r="K316" s="24" t="s">
        <v>705</v>
      </c>
      <c r="L316" s="24" t="s">
        <v>240</v>
      </c>
      <c r="M316" s="24" t="s">
        <v>193</v>
      </c>
      <c r="N316" s="24" t="s">
        <v>194</v>
      </c>
      <c r="O316" s="25">
        <v>37826</v>
      </c>
      <c r="P316" s="24"/>
      <c r="Q316" s="24"/>
      <c r="R316" s="24">
        <v>561</v>
      </c>
      <c r="S316" s="24" t="s">
        <v>29</v>
      </c>
    </row>
    <row r="317" spans="1:19" ht="29.25">
      <c r="A317" s="26">
        <v>84101</v>
      </c>
      <c r="B317" s="26" t="s">
        <v>20</v>
      </c>
      <c r="C317" s="26" t="s">
        <v>21</v>
      </c>
      <c r="D317" s="26" t="s">
        <v>21</v>
      </c>
      <c r="E317" s="26" t="s">
        <v>2649</v>
      </c>
      <c r="F317" s="26" t="s">
        <v>2650</v>
      </c>
      <c r="G317" s="26">
        <v>168</v>
      </c>
      <c r="H317" s="26" t="s">
        <v>24</v>
      </c>
      <c r="I317" s="26" t="s">
        <v>2648</v>
      </c>
      <c r="J317" s="26" t="s">
        <v>365</v>
      </c>
      <c r="K317" s="26" t="s">
        <v>580</v>
      </c>
      <c r="L317" s="26" t="s">
        <v>240</v>
      </c>
      <c r="M317" s="26" t="s">
        <v>193</v>
      </c>
      <c r="N317" s="26" t="s">
        <v>194</v>
      </c>
      <c r="O317" s="27">
        <v>37826</v>
      </c>
      <c r="P317" s="26"/>
      <c r="Q317" s="26"/>
      <c r="R317" s="26">
        <v>169</v>
      </c>
      <c r="S317" s="26" t="s">
        <v>29</v>
      </c>
    </row>
    <row r="318" spans="1:19" ht="29.25">
      <c r="A318" s="26">
        <v>84102</v>
      </c>
      <c r="B318" s="26" t="s">
        <v>20</v>
      </c>
      <c r="C318" s="26" t="s">
        <v>21</v>
      </c>
      <c r="D318" s="26" t="s">
        <v>21</v>
      </c>
      <c r="E318" s="26" t="s">
        <v>2651</v>
      </c>
      <c r="F318" s="26" t="s">
        <v>2652</v>
      </c>
      <c r="G318" s="26">
        <v>168</v>
      </c>
      <c r="H318" s="26" t="s">
        <v>24</v>
      </c>
      <c r="I318" s="26" t="s">
        <v>2648</v>
      </c>
      <c r="J318" s="26" t="s">
        <v>365</v>
      </c>
      <c r="K318" s="26" t="s">
        <v>580</v>
      </c>
      <c r="L318" s="26" t="s">
        <v>240</v>
      </c>
      <c r="M318" s="26" t="s">
        <v>193</v>
      </c>
      <c r="N318" s="26" t="s">
        <v>194</v>
      </c>
      <c r="O318" s="27">
        <v>37826</v>
      </c>
      <c r="P318" s="26"/>
      <c r="Q318" s="26"/>
      <c r="R318" s="26">
        <v>169</v>
      </c>
      <c r="S318" s="26" t="s">
        <v>29</v>
      </c>
    </row>
    <row r="319" spans="1:19" ht="29.25">
      <c r="A319" s="26">
        <v>84103</v>
      </c>
      <c r="B319" s="26" t="s">
        <v>20</v>
      </c>
      <c r="C319" s="26" t="s">
        <v>21</v>
      </c>
      <c r="D319" s="26" t="s">
        <v>21</v>
      </c>
      <c r="E319" s="26" t="s">
        <v>2653</v>
      </c>
      <c r="F319" s="26" t="s">
        <v>2654</v>
      </c>
      <c r="G319" s="26">
        <v>213</v>
      </c>
      <c r="H319" s="26" t="s">
        <v>24</v>
      </c>
      <c r="I319" s="26" t="s">
        <v>2648</v>
      </c>
      <c r="J319" s="26" t="s">
        <v>365</v>
      </c>
      <c r="K319" s="26" t="s">
        <v>366</v>
      </c>
      <c r="L319" s="26" t="s">
        <v>712</v>
      </c>
      <c r="M319" s="26" t="s">
        <v>193</v>
      </c>
      <c r="N319" s="26" t="s">
        <v>194</v>
      </c>
      <c r="O319" s="27">
        <v>37826</v>
      </c>
      <c r="P319" s="26"/>
      <c r="Q319" s="26"/>
      <c r="R319" s="26">
        <v>223</v>
      </c>
      <c r="S319" s="26" t="s">
        <v>29</v>
      </c>
    </row>
    <row r="320" spans="1:19" ht="29.25">
      <c r="A320" s="28">
        <v>11100</v>
      </c>
      <c r="B320" s="28" t="s">
        <v>20</v>
      </c>
      <c r="C320" s="28" t="s">
        <v>21</v>
      </c>
      <c r="D320" s="28" t="s">
        <v>21</v>
      </c>
      <c r="E320" s="28" t="s">
        <v>2157</v>
      </c>
      <c r="F320" s="28" t="s">
        <v>2158</v>
      </c>
      <c r="G320" s="28">
        <v>24</v>
      </c>
      <c r="H320" s="28" t="s">
        <v>5</v>
      </c>
      <c r="I320" s="28" t="s">
        <v>757</v>
      </c>
      <c r="J320" s="28" t="s">
        <v>25</v>
      </c>
      <c r="K320" s="28" t="s">
        <v>25</v>
      </c>
      <c r="L320" s="28" t="s">
        <v>26</v>
      </c>
      <c r="M320" s="28" t="s">
        <v>38</v>
      </c>
      <c r="N320" s="28" t="s">
        <v>39</v>
      </c>
      <c r="O320" s="29">
        <v>34335</v>
      </c>
      <c r="P320" s="28" t="s">
        <v>2159</v>
      </c>
      <c r="Q320" s="28"/>
      <c r="R320" s="28">
        <v>24</v>
      </c>
      <c r="S320" s="28" t="s">
        <v>29</v>
      </c>
    </row>
    <row r="321" spans="1:19" ht="29.25">
      <c r="A321" s="28">
        <v>10800</v>
      </c>
      <c r="B321" s="28" t="s">
        <v>20</v>
      </c>
      <c r="C321" s="28" t="s">
        <v>21</v>
      </c>
      <c r="D321" s="28" t="s">
        <v>21</v>
      </c>
      <c r="E321" s="28" t="s">
        <v>3139</v>
      </c>
      <c r="F321" s="28" t="s">
        <v>3140</v>
      </c>
      <c r="G321" s="28">
        <v>320</v>
      </c>
      <c r="H321" s="28" t="s">
        <v>5</v>
      </c>
      <c r="I321" s="28" t="s">
        <v>3141</v>
      </c>
      <c r="J321" s="28" t="s">
        <v>365</v>
      </c>
      <c r="K321" s="28" t="s">
        <v>366</v>
      </c>
      <c r="L321" s="28" t="s">
        <v>240</v>
      </c>
      <c r="M321" s="28" t="s">
        <v>38</v>
      </c>
      <c r="N321" s="28" t="s">
        <v>39</v>
      </c>
      <c r="O321" s="28" t="s">
        <v>4687</v>
      </c>
      <c r="P321" s="28" t="s">
        <v>3142</v>
      </c>
      <c r="Q321" s="28"/>
      <c r="R321" s="28">
        <v>333</v>
      </c>
      <c r="S321" s="28" t="s">
        <v>29</v>
      </c>
    </row>
    <row r="322" spans="1:19" ht="29.25">
      <c r="A322" s="28">
        <v>10900</v>
      </c>
      <c r="B322" s="28" t="s">
        <v>20</v>
      </c>
      <c r="C322" s="28" t="s">
        <v>21</v>
      </c>
      <c r="D322" s="28" t="s">
        <v>21</v>
      </c>
      <c r="E322" s="28" t="s">
        <v>3143</v>
      </c>
      <c r="F322" s="28" t="s">
        <v>3144</v>
      </c>
      <c r="G322" s="28">
        <v>320</v>
      </c>
      <c r="H322" s="28" t="s">
        <v>5</v>
      </c>
      <c r="I322" s="28" t="s">
        <v>3141</v>
      </c>
      <c r="J322" s="28" t="s">
        <v>365</v>
      </c>
      <c r="K322" s="28" t="s">
        <v>366</v>
      </c>
      <c r="L322" s="28" t="s">
        <v>240</v>
      </c>
      <c r="M322" s="28" t="s">
        <v>38</v>
      </c>
      <c r="N322" s="28" t="s">
        <v>39</v>
      </c>
      <c r="O322" s="28" t="s">
        <v>4687</v>
      </c>
      <c r="P322" s="28" t="s">
        <v>3145</v>
      </c>
      <c r="Q322" s="28"/>
      <c r="R322" s="28">
        <v>333</v>
      </c>
      <c r="S322" s="28" t="s">
        <v>29</v>
      </c>
    </row>
    <row r="323" spans="1:19">
      <c r="A323" s="28">
        <v>20200</v>
      </c>
      <c r="B323" s="28" t="s">
        <v>20</v>
      </c>
      <c r="C323" s="28" t="s">
        <v>30</v>
      </c>
      <c r="D323" s="28" t="s">
        <v>21</v>
      </c>
      <c r="E323" s="28" t="s">
        <v>2098</v>
      </c>
      <c r="F323" s="28" t="s">
        <v>2099</v>
      </c>
      <c r="G323" s="28">
        <v>20</v>
      </c>
      <c r="H323" s="28" t="s">
        <v>24</v>
      </c>
      <c r="I323" s="28" t="s">
        <v>2100</v>
      </c>
      <c r="J323" s="28" t="s">
        <v>365</v>
      </c>
      <c r="K323" s="28" t="s">
        <v>366</v>
      </c>
      <c r="L323" s="28" t="s">
        <v>2101</v>
      </c>
      <c r="M323" s="28" t="s">
        <v>27</v>
      </c>
      <c r="N323" s="28" t="s">
        <v>159</v>
      </c>
      <c r="O323" s="29">
        <v>33604</v>
      </c>
      <c r="P323" s="28"/>
      <c r="Q323" s="28"/>
      <c r="R323" s="28">
        <v>20</v>
      </c>
      <c r="S323" s="28" t="s">
        <v>29</v>
      </c>
    </row>
    <row r="324" spans="1:19">
      <c r="A324" s="28">
        <v>9000</v>
      </c>
      <c r="B324" s="28" t="s">
        <v>20</v>
      </c>
      <c r="C324" s="28" t="s">
        <v>21</v>
      </c>
      <c r="D324" s="28" t="s">
        <v>21</v>
      </c>
      <c r="E324" s="28" t="s">
        <v>2496</v>
      </c>
      <c r="F324" s="28" t="s">
        <v>2497</v>
      </c>
      <c r="G324" s="28">
        <v>45.42</v>
      </c>
      <c r="H324" s="28" t="s">
        <v>143</v>
      </c>
      <c r="I324" s="28" t="s">
        <v>2498</v>
      </c>
      <c r="J324" s="28" t="s">
        <v>295</v>
      </c>
      <c r="K324" s="28" t="s">
        <v>580</v>
      </c>
      <c r="L324" s="28" t="s">
        <v>240</v>
      </c>
      <c r="M324" s="28" t="s">
        <v>38</v>
      </c>
      <c r="N324" s="28" t="s">
        <v>144</v>
      </c>
      <c r="O324" s="29">
        <v>37405</v>
      </c>
      <c r="P324" s="28"/>
      <c r="Q324" s="28"/>
      <c r="R324" s="28">
        <v>47.3</v>
      </c>
      <c r="S324" s="28" t="s">
        <v>29</v>
      </c>
    </row>
    <row r="325" spans="1:19">
      <c r="A325" s="28">
        <v>99100</v>
      </c>
      <c r="B325" s="28" t="s">
        <v>20</v>
      </c>
      <c r="C325" s="28" t="s">
        <v>21</v>
      </c>
      <c r="D325" s="28" t="s">
        <v>21</v>
      </c>
      <c r="E325" s="28" t="s">
        <v>2939</v>
      </c>
      <c r="F325" s="28" t="s">
        <v>2940</v>
      </c>
      <c r="G325" s="28">
        <v>48.1</v>
      </c>
      <c r="H325" s="28" t="s">
        <v>143</v>
      </c>
      <c r="I325" s="28" t="s">
        <v>2941</v>
      </c>
      <c r="J325" s="28" t="s">
        <v>295</v>
      </c>
      <c r="K325" s="28" t="s">
        <v>580</v>
      </c>
      <c r="L325" s="28" t="s">
        <v>240</v>
      </c>
      <c r="M325" s="28" t="s">
        <v>38</v>
      </c>
      <c r="N325" s="28" t="s">
        <v>144</v>
      </c>
      <c r="O325" s="29">
        <v>40345</v>
      </c>
      <c r="P325" s="28"/>
      <c r="Q325" s="28"/>
      <c r="R325" s="28">
        <v>49.9</v>
      </c>
      <c r="S325" s="28" t="s">
        <v>29</v>
      </c>
    </row>
    <row r="326" spans="1:19">
      <c r="A326" s="28">
        <v>9100</v>
      </c>
      <c r="B326" s="28" t="s">
        <v>20</v>
      </c>
      <c r="C326" s="28" t="s">
        <v>21</v>
      </c>
      <c r="D326" s="28" t="s">
        <v>21</v>
      </c>
      <c r="E326" s="28" t="s">
        <v>577</v>
      </c>
      <c r="F326" s="28" t="s">
        <v>578</v>
      </c>
      <c r="G326" s="28">
        <v>16.36</v>
      </c>
      <c r="H326" s="28" t="s">
        <v>143</v>
      </c>
      <c r="I326" s="28" t="s">
        <v>579</v>
      </c>
      <c r="J326" s="28" t="s">
        <v>295</v>
      </c>
      <c r="K326" s="28" t="s">
        <v>580</v>
      </c>
      <c r="L326" s="28" t="s">
        <v>240</v>
      </c>
      <c r="M326" s="28" t="s">
        <v>38</v>
      </c>
      <c r="N326" s="28" t="s">
        <v>144</v>
      </c>
      <c r="O326" s="29">
        <v>24838</v>
      </c>
      <c r="P326" s="28"/>
      <c r="Q326" s="28"/>
      <c r="R326" s="28">
        <v>15</v>
      </c>
      <c r="S326" s="28" t="s">
        <v>29</v>
      </c>
    </row>
    <row r="327" spans="1:19">
      <c r="A327" s="28">
        <v>96500</v>
      </c>
      <c r="B327" s="28" t="s">
        <v>20</v>
      </c>
      <c r="C327" s="28" t="s">
        <v>21</v>
      </c>
      <c r="D327" s="28" t="s">
        <v>21</v>
      </c>
      <c r="E327" s="28" t="s">
        <v>2875</v>
      </c>
      <c r="F327" s="28" t="s">
        <v>2876</v>
      </c>
      <c r="G327" s="28">
        <v>9.8000000000000007</v>
      </c>
      <c r="H327" s="28" t="s">
        <v>24</v>
      </c>
      <c r="I327" s="28" t="s">
        <v>2874</v>
      </c>
      <c r="J327" s="28" t="s">
        <v>788</v>
      </c>
      <c r="K327" s="28" t="s">
        <v>366</v>
      </c>
      <c r="L327" s="28" t="s">
        <v>888</v>
      </c>
      <c r="M327" s="28" t="s">
        <v>27</v>
      </c>
      <c r="N327" s="28" t="s">
        <v>28</v>
      </c>
      <c r="O327" s="29">
        <v>39684</v>
      </c>
      <c r="P327" s="28"/>
      <c r="Q327" s="28"/>
      <c r="R327" s="28">
        <v>12.5</v>
      </c>
      <c r="S327" s="28" t="s">
        <v>29</v>
      </c>
    </row>
    <row r="328" spans="1:19">
      <c r="A328" s="28">
        <v>9400</v>
      </c>
      <c r="B328" s="28" t="s">
        <v>20</v>
      </c>
      <c r="C328" s="28" t="s">
        <v>21</v>
      </c>
      <c r="D328" s="28" t="s">
        <v>21</v>
      </c>
      <c r="E328" s="28" t="s">
        <v>477</v>
      </c>
      <c r="F328" s="28" t="s">
        <v>478</v>
      </c>
      <c r="G328" s="28">
        <v>335</v>
      </c>
      <c r="H328" s="28" t="s">
        <v>5</v>
      </c>
      <c r="I328" s="28" t="s">
        <v>479</v>
      </c>
      <c r="J328" s="28" t="s">
        <v>365</v>
      </c>
      <c r="K328" s="28" t="s">
        <v>366</v>
      </c>
      <c r="L328" s="28" t="s">
        <v>240</v>
      </c>
      <c r="M328" s="28" t="s">
        <v>38</v>
      </c>
      <c r="N328" s="28" t="s">
        <v>39</v>
      </c>
      <c r="O328" s="29">
        <v>23377</v>
      </c>
      <c r="P328" s="28"/>
      <c r="Q328" s="28"/>
      <c r="R328" s="28">
        <v>335</v>
      </c>
      <c r="S328" s="28" t="s">
        <v>29</v>
      </c>
    </row>
    <row r="329" spans="1:19">
      <c r="A329" s="28">
        <v>9500</v>
      </c>
      <c r="B329" s="28" t="s">
        <v>20</v>
      </c>
      <c r="C329" s="28" t="s">
        <v>21</v>
      </c>
      <c r="D329" s="28" t="s">
        <v>21</v>
      </c>
      <c r="E329" s="28" t="s">
        <v>496</v>
      </c>
      <c r="F329" s="28" t="s">
        <v>497</v>
      </c>
      <c r="G329" s="28">
        <v>335</v>
      </c>
      <c r="H329" s="28" t="s">
        <v>5</v>
      </c>
      <c r="I329" s="28" t="s">
        <v>479</v>
      </c>
      <c r="J329" s="28" t="s">
        <v>365</v>
      </c>
      <c r="K329" s="28" t="s">
        <v>366</v>
      </c>
      <c r="L329" s="28" t="s">
        <v>240</v>
      </c>
      <c r="M329" s="28" t="s">
        <v>38</v>
      </c>
      <c r="N329" s="28" t="s">
        <v>39</v>
      </c>
      <c r="O329" s="29">
        <v>23743</v>
      </c>
      <c r="P329" s="28"/>
      <c r="Q329" s="28"/>
      <c r="R329" s="28">
        <v>335</v>
      </c>
      <c r="S329" s="28" t="s">
        <v>29</v>
      </c>
    </row>
    <row r="330" spans="1:19" ht="29.25">
      <c r="A330" s="24">
        <v>111600</v>
      </c>
      <c r="B330" s="24" t="s">
        <v>20</v>
      </c>
      <c r="C330" s="24" t="s">
        <v>21</v>
      </c>
      <c r="D330" s="24" t="s">
        <v>30</v>
      </c>
      <c r="E330" s="24" t="s">
        <v>4603</v>
      </c>
      <c r="F330" s="24" t="s">
        <v>4604</v>
      </c>
      <c r="G330" s="24">
        <v>263</v>
      </c>
      <c r="H330" s="24" t="s">
        <v>5</v>
      </c>
      <c r="I330" s="24" t="s">
        <v>4721</v>
      </c>
      <c r="J330" s="24" t="s">
        <v>365</v>
      </c>
      <c r="K330" s="24" t="s">
        <v>705</v>
      </c>
      <c r="L330" s="24" t="s">
        <v>240</v>
      </c>
      <c r="M330" s="24" t="s">
        <v>38</v>
      </c>
      <c r="N330" s="24" t="s">
        <v>39</v>
      </c>
      <c r="O330" s="25">
        <v>41454</v>
      </c>
      <c r="P330" s="24"/>
      <c r="Q330" s="24"/>
      <c r="R330" s="24">
        <v>348</v>
      </c>
      <c r="S330" s="24" t="s">
        <v>29</v>
      </c>
    </row>
    <row r="331" spans="1:19" ht="29.25">
      <c r="A331" s="26">
        <v>111601</v>
      </c>
      <c r="B331" s="26" t="s">
        <v>87</v>
      </c>
      <c r="C331" s="26" t="s">
        <v>21</v>
      </c>
      <c r="D331" s="26" t="s">
        <v>21</v>
      </c>
      <c r="E331" s="26" t="s">
        <v>4722</v>
      </c>
      <c r="F331" s="26" t="s">
        <v>4723</v>
      </c>
      <c r="G331" s="26">
        <v>228</v>
      </c>
      <c r="H331" s="26" t="s">
        <v>5</v>
      </c>
      <c r="I331" s="26" t="s">
        <v>4721</v>
      </c>
      <c r="J331" s="26" t="s">
        <v>365</v>
      </c>
      <c r="K331" s="26" t="s">
        <v>705</v>
      </c>
      <c r="L331" s="26" t="s">
        <v>240</v>
      </c>
      <c r="M331" s="26" t="s">
        <v>38</v>
      </c>
      <c r="N331" s="26"/>
      <c r="O331" s="27">
        <v>41454</v>
      </c>
      <c r="P331" s="26"/>
      <c r="Q331" s="26"/>
      <c r="R331" s="26">
        <v>235</v>
      </c>
      <c r="S331" s="26" t="s">
        <v>29</v>
      </c>
    </row>
    <row r="332" spans="1:19" ht="29.25">
      <c r="A332" s="26">
        <v>111602</v>
      </c>
      <c r="B332" s="26" t="s">
        <v>87</v>
      </c>
      <c r="C332" s="26" t="s">
        <v>21</v>
      </c>
      <c r="D332" s="26" t="s">
        <v>21</v>
      </c>
      <c r="E332" s="26" t="s">
        <v>4724</v>
      </c>
      <c r="F332" s="26" t="s">
        <v>4725</v>
      </c>
      <c r="G332" s="26">
        <v>90.5</v>
      </c>
      <c r="H332" s="26" t="s">
        <v>5</v>
      </c>
      <c r="I332" s="26" t="s">
        <v>4721</v>
      </c>
      <c r="J332" s="26" t="s">
        <v>365</v>
      </c>
      <c r="K332" s="26" t="s">
        <v>705</v>
      </c>
      <c r="L332" s="26" t="s">
        <v>240</v>
      </c>
      <c r="M332" s="26" t="s">
        <v>38</v>
      </c>
      <c r="N332" s="26"/>
      <c r="O332" s="27">
        <v>41454</v>
      </c>
      <c r="P332" s="26"/>
      <c r="Q332" s="26"/>
      <c r="R332" s="26">
        <v>83.2</v>
      </c>
      <c r="S332" s="26" t="s">
        <v>29</v>
      </c>
    </row>
    <row r="333" spans="1:19">
      <c r="A333" s="28">
        <v>111400</v>
      </c>
      <c r="B333" s="28" t="s">
        <v>20</v>
      </c>
      <c r="C333" s="28" t="s">
        <v>21</v>
      </c>
      <c r="D333" s="28" t="s">
        <v>21</v>
      </c>
      <c r="E333" s="28" t="s">
        <v>4605</v>
      </c>
      <c r="F333" s="28" t="s">
        <v>4606</v>
      </c>
      <c r="G333" s="28">
        <v>263.68</v>
      </c>
      <c r="H333" s="28" t="s">
        <v>5</v>
      </c>
      <c r="I333" s="28" t="s">
        <v>4721</v>
      </c>
      <c r="J333" s="28" t="s">
        <v>694</v>
      </c>
      <c r="K333" s="28" t="s">
        <v>705</v>
      </c>
      <c r="L333" s="28" t="s">
        <v>240</v>
      </c>
      <c r="M333" s="28" t="s">
        <v>38</v>
      </c>
      <c r="N333" s="28" t="s">
        <v>39</v>
      </c>
      <c r="O333" s="29">
        <v>41454</v>
      </c>
      <c r="P333" s="28"/>
      <c r="Q333" s="28"/>
      <c r="R333" s="28">
        <v>348</v>
      </c>
      <c r="S333" s="28" t="s">
        <v>29</v>
      </c>
    </row>
    <row r="334" spans="1:19" ht="29.25">
      <c r="A334" s="28">
        <v>9700</v>
      </c>
      <c r="B334" s="28" t="s">
        <v>20</v>
      </c>
      <c r="C334" s="28" t="s">
        <v>21</v>
      </c>
      <c r="D334" s="28" t="s">
        <v>21</v>
      </c>
      <c r="E334" s="28" t="s">
        <v>3146</v>
      </c>
      <c r="F334" s="28" t="s">
        <v>3147</v>
      </c>
      <c r="G334" s="28">
        <v>54</v>
      </c>
      <c r="H334" s="28" t="s">
        <v>5</v>
      </c>
      <c r="I334" s="28" t="s">
        <v>445</v>
      </c>
      <c r="J334" s="28" t="s">
        <v>295</v>
      </c>
      <c r="K334" s="28" t="s">
        <v>580</v>
      </c>
      <c r="L334" s="28" t="s">
        <v>240</v>
      </c>
      <c r="M334" s="28" t="s">
        <v>38</v>
      </c>
      <c r="N334" s="28" t="s">
        <v>39</v>
      </c>
      <c r="O334" s="28" t="s">
        <v>4687</v>
      </c>
      <c r="P334" s="28" t="s">
        <v>3148</v>
      </c>
      <c r="Q334" s="28"/>
      <c r="R334" s="28">
        <v>56</v>
      </c>
      <c r="S334" s="28" t="s">
        <v>29</v>
      </c>
    </row>
    <row r="335" spans="1:19">
      <c r="A335" s="28">
        <v>9800</v>
      </c>
      <c r="B335" s="28" t="s">
        <v>20</v>
      </c>
      <c r="C335" s="28" t="s">
        <v>21</v>
      </c>
      <c r="D335" s="28" t="s">
        <v>21</v>
      </c>
      <c r="E335" s="28" t="s">
        <v>581</v>
      </c>
      <c r="F335" s="28" t="s">
        <v>582</v>
      </c>
      <c r="G335" s="28">
        <v>14.5</v>
      </c>
      <c r="H335" s="28" t="s">
        <v>143</v>
      </c>
      <c r="I335" s="28" t="s">
        <v>364</v>
      </c>
      <c r="J335" s="28" t="s">
        <v>295</v>
      </c>
      <c r="K335" s="28" t="s">
        <v>580</v>
      </c>
      <c r="L335" s="28" t="s">
        <v>240</v>
      </c>
      <c r="M335" s="28" t="s">
        <v>38</v>
      </c>
      <c r="N335" s="28" t="s">
        <v>144</v>
      </c>
      <c r="O335" s="29">
        <v>24838</v>
      </c>
      <c r="P335" s="28"/>
      <c r="Q335" s="28"/>
      <c r="R335" s="28">
        <v>18</v>
      </c>
      <c r="S335" s="28" t="s">
        <v>29</v>
      </c>
    </row>
    <row r="336" spans="1:19">
      <c r="A336" s="28">
        <v>9900</v>
      </c>
      <c r="B336" s="28" t="s">
        <v>20</v>
      </c>
      <c r="C336" s="28" t="s">
        <v>21</v>
      </c>
      <c r="D336" s="28" t="s">
        <v>21</v>
      </c>
      <c r="E336" s="28" t="s">
        <v>362</v>
      </c>
      <c r="F336" s="28" t="s">
        <v>363</v>
      </c>
      <c r="G336" s="28">
        <v>106</v>
      </c>
      <c r="H336" s="28" t="s">
        <v>143</v>
      </c>
      <c r="I336" s="28" t="s">
        <v>364</v>
      </c>
      <c r="J336" s="28" t="s">
        <v>365</v>
      </c>
      <c r="K336" s="28" t="s">
        <v>366</v>
      </c>
      <c r="L336" s="28" t="s">
        <v>240</v>
      </c>
      <c r="M336" s="28" t="s">
        <v>38</v>
      </c>
      <c r="N336" s="28" t="s">
        <v>144</v>
      </c>
      <c r="O336" s="29">
        <v>19725</v>
      </c>
      <c r="P336" s="28"/>
      <c r="Q336" s="28"/>
      <c r="R336" s="28">
        <v>106.25</v>
      </c>
      <c r="S336" s="28" t="s">
        <v>29</v>
      </c>
    </row>
    <row r="337" spans="1:19">
      <c r="A337" s="28">
        <v>10000</v>
      </c>
      <c r="B337" s="28" t="s">
        <v>20</v>
      </c>
      <c r="C337" s="28" t="s">
        <v>21</v>
      </c>
      <c r="D337" s="28" t="s">
        <v>21</v>
      </c>
      <c r="E337" s="28" t="s">
        <v>383</v>
      </c>
      <c r="F337" s="28" t="s">
        <v>384</v>
      </c>
      <c r="G337" s="28">
        <v>104</v>
      </c>
      <c r="H337" s="28" t="s">
        <v>143</v>
      </c>
      <c r="I337" s="28" t="s">
        <v>364</v>
      </c>
      <c r="J337" s="28" t="s">
        <v>365</v>
      </c>
      <c r="K337" s="28" t="s">
        <v>366</v>
      </c>
      <c r="L337" s="28" t="s">
        <v>240</v>
      </c>
      <c r="M337" s="28" t="s">
        <v>38</v>
      </c>
      <c r="N337" s="28" t="s">
        <v>144</v>
      </c>
      <c r="O337" s="29">
        <v>20455</v>
      </c>
      <c r="P337" s="28"/>
      <c r="Q337" s="28"/>
      <c r="R337" s="28">
        <v>110.25</v>
      </c>
      <c r="S337" s="28" t="s">
        <v>29</v>
      </c>
    </row>
    <row r="338" spans="1:19">
      <c r="A338" s="28">
        <v>10100</v>
      </c>
      <c r="B338" s="28" t="s">
        <v>20</v>
      </c>
      <c r="C338" s="28" t="s">
        <v>21</v>
      </c>
      <c r="D338" s="28" t="s">
        <v>21</v>
      </c>
      <c r="E338" s="28" t="s">
        <v>406</v>
      </c>
      <c r="F338" s="28" t="s">
        <v>407</v>
      </c>
      <c r="G338" s="28">
        <v>110</v>
      </c>
      <c r="H338" s="28" t="s">
        <v>143</v>
      </c>
      <c r="I338" s="28" t="s">
        <v>364</v>
      </c>
      <c r="J338" s="28" t="s">
        <v>365</v>
      </c>
      <c r="K338" s="28" t="s">
        <v>366</v>
      </c>
      <c r="L338" s="28" t="s">
        <v>240</v>
      </c>
      <c r="M338" s="28" t="s">
        <v>38</v>
      </c>
      <c r="N338" s="28" t="s">
        <v>144</v>
      </c>
      <c r="O338" s="29">
        <v>21186</v>
      </c>
      <c r="P338" s="28"/>
      <c r="Q338" s="28"/>
      <c r="R338" s="28">
        <v>110.25</v>
      </c>
      <c r="S338" s="28" t="s">
        <v>29</v>
      </c>
    </row>
    <row r="339" spans="1:19">
      <c r="A339" s="28">
        <v>10200</v>
      </c>
      <c r="B339" s="28" t="s">
        <v>20</v>
      </c>
      <c r="C339" s="28" t="s">
        <v>21</v>
      </c>
      <c r="D339" s="28" t="s">
        <v>21</v>
      </c>
      <c r="E339" s="28" t="s">
        <v>674</v>
      </c>
      <c r="F339" s="28" t="s">
        <v>675</v>
      </c>
      <c r="G339" s="28">
        <v>300</v>
      </c>
      <c r="H339" s="28" t="s">
        <v>143</v>
      </c>
      <c r="I339" s="28" t="s">
        <v>364</v>
      </c>
      <c r="J339" s="28" t="s">
        <v>365</v>
      </c>
      <c r="K339" s="28" t="s">
        <v>366</v>
      </c>
      <c r="L339" s="28" t="s">
        <v>240</v>
      </c>
      <c r="M339" s="28" t="s">
        <v>38</v>
      </c>
      <c r="N339" s="28" t="s">
        <v>144</v>
      </c>
      <c r="O339" s="29">
        <v>26665</v>
      </c>
      <c r="P339" s="28"/>
      <c r="Q339" s="28"/>
      <c r="R339" s="28">
        <v>306</v>
      </c>
      <c r="S339" s="28" t="s">
        <v>29</v>
      </c>
    </row>
    <row r="340" spans="1:19">
      <c r="A340" s="28">
        <v>10300</v>
      </c>
      <c r="B340" s="28" t="s">
        <v>20</v>
      </c>
      <c r="C340" s="28" t="s">
        <v>21</v>
      </c>
      <c r="D340" s="28" t="s">
        <v>21</v>
      </c>
      <c r="E340" s="28" t="s">
        <v>721</v>
      </c>
      <c r="F340" s="28" t="s">
        <v>722</v>
      </c>
      <c r="G340" s="28">
        <v>330</v>
      </c>
      <c r="H340" s="28" t="s">
        <v>143</v>
      </c>
      <c r="I340" s="28" t="s">
        <v>364</v>
      </c>
      <c r="J340" s="28" t="s">
        <v>365</v>
      </c>
      <c r="K340" s="28" t="s">
        <v>366</v>
      </c>
      <c r="L340" s="28" t="s">
        <v>240</v>
      </c>
      <c r="M340" s="28" t="s">
        <v>38</v>
      </c>
      <c r="N340" s="28" t="s">
        <v>144</v>
      </c>
      <c r="O340" s="29">
        <v>28491</v>
      </c>
      <c r="P340" s="28"/>
      <c r="Q340" s="28"/>
      <c r="R340" s="28">
        <v>345.6</v>
      </c>
      <c r="S340" s="28" t="s">
        <v>29</v>
      </c>
    </row>
    <row r="341" spans="1:19">
      <c r="A341" s="28">
        <v>10400</v>
      </c>
      <c r="B341" s="28" t="s">
        <v>20</v>
      </c>
      <c r="C341" s="28" t="s">
        <v>21</v>
      </c>
      <c r="D341" s="28" t="s">
        <v>21</v>
      </c>
      <c r="E341" s="28" t="s">
        <v>2468</v>
      </c>
      <c r="F341" s="28" t="s">
        <v>2469</v>
      </c>
      <c r="G341" s="28">
        <v>48.04</v>
      </c>
      <c r="H341" s="28" t="s">
        <v>143</v>
      </c>
      <c r="I341" s="28" t="s">
        <v>2470</v>
      </c>
      <c r="J341" s="28" t="s">
        <v>295</v>
      </c>
      <c r="K341" s="28" t="s">
        <v>580</v>
      </c>
      <c r="L341" s="28" t="s">
        <v>240</v>
      </c>
      <c r="M341" s="28" t="s">
        <v>38</v>
      </c>
      <c r="N341" s="28" t="s">
        <v>144</v>
      </c>
      <c r="O341" s="29">
        <v>37187</v>
      </c>
      <c r="P341" s="28"/>
      <c r="Q341" s="28"/>
      <c r="R341" s="28">
        <v>46.9</v>
      </c>
      <c r="S341" s="28" t="s">
        <v>29</v>
      </c>
    </row>
    <row r="342" spans="1:19">
      <c r="A342" s="28">
        <v>11200</v>
      </c>
      <c r="B342" s="28" t="s">
        <v>20</v>
      </c>
      <c r="C342" s="28" t="s">
        <v>21</v>
      </c>
      <c r="D342" s="28" t="s">
        <v>21</v>
      </c>
      <c r="E342" s="28" t="s">
        <v>526</v>
      </c>
      <c r="F342" s="28" t="s">
        <v>527</v>
      </c>
      <c r="G342" s="28">
        <v>94.5</v>
      </c>
      <c r="H342" s="28" t="s">
        <v>24</v>
      </c>
      <c r="I342" s="28" t="s">
        <v>528</v>
      </c>
      <c r="J342" s="28" t="s">
        <v>25</v>
      </c>
      <c r="K342" s="28" t="s">
        <v>25</v>
      </c>
      <c r="L342" s="28" t="s">
        <v>26</v>
      </c>
      <c r="M342" s="28" t="s">
        <v>27</v>
      </c>
      <c r="N342" s="28" t="s">
        <v>28</v>
      </c>
      <c r="O342" s="29">
        <v>24473</v>
      </c>
      <c r="P342" s="28"/>
      <c r="Q342" s="28" t="s">
        <v>529</v>
      </c>
      <c r="R342" s="28">
        <v>94.5</v>
      </c>
      <c r="S342" s="28" t="s">
        <v>29</v>
      </c>
    </row>
    <row r="343" spans="1:19" ht="29.25">
      <c r="A343" s="28">
        <v>81800</v>
      </c>
      <c r="B343" s="28" t="s">
        <v>20</v>
      </c>
      <c r="C343" s="28" t="s">
        <v>21</v>
      </c>
      <c r="D343" s="28" t="s">
        <v>21</v>
      </c>
      <c r="E343" s="28" t="s">
        <v>2562</v>
      </c>
      <c r="F343" s="28" t="s">
        <v>2563</v>
      </c>
      <c r="G343" s="28">
        <v>46.3</v>
      </c>
      <c r="H343" s="28" t="s">
        <v>24</v>
      </c>
      <c r="I343" s="28" t="s">
        <v>2564</v>
      </c>
      <c r="J343" s="28" t="s">
        <v>295</v>
      </c>
      <c r="K343" s="28" t="s">
        <v>580</v>
      </c>
      <c r="L343" s="28" t="s">
        <v>240</v>
      </c>
      <c r="M343" s="28" t="s">
        <v>27</v>
      </c>
      <c r="N343" s="28" t="s">
        <v>28</v>
      </c>
      <c r="O343" s="29">
        <v>37613</v>
      </c>
      <c r="P343" s="28"/>
      <c r="Q343" s="28"/>
      <c r="R343" s="28">
        <v>49.9</v>
      </c>
      <c r="S343" s="28" t="s">
        <v>29</v>
      </c>
    </row>
    <row r="344" spans="1:19">
      <c r="A344" s="28">
        <v>98100</v>
      </c>
      <c r="B344" s="28" t="s">
        <v>20</v>
      </c>
      <c r="C344" s="28" t="s">
        <v>21</v>
      </c>
      <c r="D344" s="28" t="s">
        <v>21</v>
      </c>
      <c r="E344" s="28" t="s">
        <v>2903</v>
      </c>
      <c r="F344" s="28" t="s">
        <v>2904</v>
      </c>
      <c r="G344" s="28">
        <v>2</v>
      </c>
      <c r="H344" s="28" t="s">
        <v>5</v>
      </c>
      <c r="I344" s="28" t="s">
        <v>2905</v>
      </c>
      <c r="J344" s="28" t="s">
        <v>1025</v>
      </c>
      <c r="K344" s="28" t="s">
        <v>2138</v>
      </c>
      <c r="L344" s="28" t="s">
        <v>1026</v>
      </c>
      <c r="M344" s="28" t="s">
        <v>38</v>
      </c>
      <c r="N344" s="28" t="s">
        <v>39</v>
      </c>
      <c r="O344" s="29">
        <v>39994</v>
      </c>
      <c r="P344" s="28"/>
      <c r="Q344" s="28"/>
      <c r="R344" s="28">
        <v>2</v>
      </c>
      <c r="S344" s="28" t="s">
        <v>29</v>
      </c>
    </row>
    <row r="345" spans="1:19" ht="43.5">
      <c r="A345" s="24">
        <v>11300</v>
      </c>
      <c r="B345" s="24" t="s">
        <v>20</v>
      </c>
      <c r="C345" s="24" t="s">
        <v>21</v>
      </c>
      <c r="D345" s="24" t="s">
        <v>30</v>
      </c>
      <c r="E345" s="24" t="s">
        <v>49</v>
      </c>
      <c r="F345" s="24" t="s">
        <v>50</v>
      </c>
      <c r="G345" s="24">
        <v>2.56</v>
      </c>
      <c r="H345" s="24" t="s">
        <v>5</v>
      </c>
      <c r="I345" s="24" t="s">
        <v>5</v>
      </c>
      <c r="J345" s="24" t="s">
        <v>25</v>
      </c>
      <c r="K345" s="24" t="s">
        <v>25</v>
      </c>
      <c r="L345" s="24" t="s">
        <v>26</v>
      </c>
      <c r="M345" s="24" t="s">
        <v>38</v>
      </c>
      <c r="N345" s="24" t="s">
        <v>39</v>
      </c>
      <c r="O345" s="25">
        <v>1462</v>
      </c>
      <c r="P345" s="24" t="s">
        <v>40</v>
      </c>
      <c r="Q345" s="24"/>
      <c r="R345" s="24">
        <v>2.56</v>
      </c>
      <c r="S345" s="24" t="s">
        <v>29</v>
      </c>
    </row>
    <row r="346" spans="1:19">
      <c r="A346" s="26">
        <v>11301</v>
      </c>
      <c r="B346" s="26" t="s">
        <v>20</v>
      </c>
      <c r="C346" s="26" t="s">
        <v>21</v>
      </c>
      <c r="D346" s="26" t="s">
        <v>21</v>
      </c>
      <c r="E346" s="26"/>
      <c r="F346" s="26" t="s">
        <v>150</v>
      </c>
      <c r="G346" s="26"/>
      <c r="H346" s="26" t="s">
        <v>5</v>
      </c>
      <c r="I346" s="26" t="s">
        <v>5</v>
      </c>
      <c r="J346" s="26" t="s">
        <v>25</v>
      </c>
      <c r="K346" s="26" t="s">
        <v>25</v>
      </c>
      <c r="L346" s="26" t="s">
        <v>26</v>
      </c>
      <c r="M346" s="26" t="s">
        <v>38</v>
      </c>
      <c r="N346" s="26" t="s">
        <v>39</v>
      </c>
      <c r="O346" s="27">
        <v>6211</v>
      </c>
      <c r="P346" s="26"/>
      <c r="Q346" s="26"/>
      <c r="R346" s="26">
        <v>0.9</v>
      </c>
      <c r="S346" s="26" t="s">
        <v>29</v>
      </c>
    </row>
    <row r="347" spans="1:19">
      <c r="A347" s="26">
        <v>11304</v>
      </c>
      <c r="B347" s="26" t="s">
        <v>20</v>
      </c>
      <c r="C347" s="26" t="s">
        <v>21</v>
      </c>
      <c r="D347" s="26" t="s">
        <v>21</v>
      </c>
      <c r="E347" s="26"/>
      <c r="F347" s="26" t="s">
        <v>51</v>
      </c>
      <c r="G347" s="26"/>
      <c r="H347" s="26" t="s">
        <v>5</v>
      </c>
      <c r="I347" s="26" t="s">
        <v>5</v>
      </c>
      <c r="J347" s="26" t="s">
        <v>25</v>
      </c>
      <c r="K347" s="26" t="s">
        <v>25</v>
      </c>
      <c r="L347" s="26" t="s">
        <v>26</v>
      </c>
      <c r="M347" s="26" t="s">
        <v>38</v>
      </c>
      <c r="N347" s="26" t="s">
        <v>39</v>
      </c>
      <c r="O347" s="27">
        <v>1462</v>
      </c>
      <c r="P347" s="26"/>
      <c r="Q347" s="26"/>
      <c r="R347" s="26">
        <v>0.34</v>
      </c>
      <c r="S347" s="26" t="s">
        <v>29</v>
      </c>
    </row>
    <row r="348" spans="1:19">
      <c r="A348" s="26">
        <v>11303</v>
      </c>
      <c r="B348" s="26" t="s">
        <v>20</v>
      </c>
      <c r="C348" s="26" t="s">
        <v>21</v>
      </c>
      <c r="D348" s="26" t="s">
        <v>21</v>
      </c>
      <c r="E348" s="26"/>
      <c r="F348" s="26" t="s">
        <v>51</v>
      </c>
      <c r="G348" s="26"/>
      <c r="H348" s="26" t="s">
        <v>5</v>
      </c>
      <c r="I348" s="26" t="s">
        <v>5</v>
      </c>
      <c r="J348" s="26" t="s">
        <v>25</v>
      </c>
      <c r="K348" s="26" t="s">
        <v>25</v>
      </c>
      <c r="L348" s="26" t="s">
        <v>26</v>
      </c>
      <c r="M348" s="26" t="s">
        <v>38</v>
      </c>
      <c r="N348" s="26" t="s">
        <v>39</v>
      </c>
      <c r="O348" s="27">
        <v>1462</v>
      </c>
      <c r="P348" s="26"/>
      <c r="Q348" s="26"/>
      <c r="R348" s="26">
        <v>0.34</v>
      </c>
      <c r="S348" s="26" t="s">
        <v>29</v>
      </c>
    </row>
    <row r="349" spans="1:19">
      <c r="A349" s="26">
        <v>11302</v>
      </c>
      <c r="B349" s="26" t="s">
        <v>20</v>
      </c>
      <c r="C349" s="26" t="s">
        <v>21</v>
      </c>
      <c r="D349" s="26" t="s">
        <v>21</v>
      </c>
      <c r="E349" s="26"/>
      <c r="F349" s="26" t="s">
        <v>151</v>
      </c>
      <c r="G349" s="26"/>
      <c r="H349" s="26" t="s">
        <v>5</v>
      </c>
      <c r="I349" s="26" t="s">
        <v>5</v>
      </c>
      <c r="J349" s="26" t="s">
        <v>25</v>
      </c>
      <c r="K349" s="26" t="s">
        <v>25</v>
      </c>
      <c r="L349" s="26" t="s">
        <v>26</v>
      </c>
      <c r="M349" s="26" t="s">
        <v>38</v>
      </c>
      <c r="N349" s="26" t="s">
        <v>39</v>
      </c>
      <c r="O349" s="27">
        <v>6211</v>
      </c>
      <c r="P349" s="26"/>
      <c r="Q349" s="26"/>
      <c r="R349" s="26">
        <v>0.98</v>
      </c>
      <c r="S349" s="26" t="s">
        <v>29</v>
      </c>
    </row>
    <row r="350" spans="1:19" ht="57.75">
      <c r="A350" s="28">
        <v>58701</v>
      </c>
      <c r="B350" s="28" t="s">
        <v>20</v>
      </c>
      <c r="C350" s="28" t="s">
        <v>21</v>
      </c>
      <c r="D350" s="28" t="s">
        <v>21</v>
      </c>
      <c r="E350" s="28" t="s">
        <v>766</v>
      </c>
      <c r="F350" s="28" t="s">
        <v>767</v>
      </c>
      <c r="G350" s="28">
        <v>9.1</v>
      </c>
      <c r="H350" s="28" t="s">
        <v>5</v>
      </c>
      <c r="I350" s="28" t="s">
        <v>768</v>
      </c>
      <c r="J350" s="28" t="s">
        <v>25</v>
      </c>
      <c r="K350" s="28" t="s">
        <v>25</v>
      </c>
      <c r="L350" s="28" t="s">
        <v>26</v>
      </c>
      <c r="M350" s="28" t="s">
        <v>38</v>
      </c>
      <c r="N350" s="28" t="s">
        <v>39</v>
      </c>
      <c r="O350" s="29">
        <v>29587</v>
      </c>
      <c r="P350" s="28" t="s">
        <v>758</v>
      </c>
      <c r="Q350" s="28"/>
      <c r="R350" s="28">
        <v>9.1</v>
      </c>
      <c r="S350" s="28" t="s">
        <v>29</v>
      </c>
    </row>
    <row r="351" spans="1:19" ht="29.25">
      <c r="A351" s="28">
        <v>100600</v>
      </c>
      <c r="B351" s="28" t="s">
        <v>20</v>
      </c>
      <c r="C351" s="28" t="s">
        <v>21</v>
      </c>
      <c r="D351" s="28" t="s">
        <v>21</v>
      </c>
      <c r="E351" s="28" t="s">
        <v>2978</v>
      </c>
      <c r="F351" s="28" t="s">
        <v>2979</v>
      </c>
      <c r="G351" s="28">
        <v>36.799999999999997</v>
      </c>
      <c r="H351" s="28" t="s">
        <v>24</v>
      </c>
      <c r="I351" s="28" t="s">
        <v>2980</v>
      </c>
      <c r="J351" s="28" t="s">
        <v>781</v>
      </c>
      <c r="K351" s="28" t="s">
        <v>781</v>
      </c>
      <c r="L351" s="28" t="s">
        <v>781</v>
      </c>
      <c r="M351" s="28" t="s">
        <v>27</v>
      </c>
      <c r="N351" s="28" t="s">
        <v>28</v>
      </c>
      <c r="O351" s="29">
        <v>40568</v>
      </c>
      <c r="P351" s="28"/>
      <c r="Q351" s="28"/>
      <c r="R351" s="28">
        <v>36.799999999999997</v>
      </c>
      <c r="S351" s="28" t="s">
        <v>29</v>
      </c>
    </row>
    <row r="352" spans="1:19" ht="57.75">
      <c r="A352" s="24">
        <v>11600</v>
      </c>
      <c r="B352" s="24" t="s">
        <v>20</v>
      </c>
      <c r="C352" s="24" t="s">
        <v>21</v>
      </c>
      <c r="D352" s="24" t="s">
        <v>30</v>
      </c>
      <c r="E352" s="24" t="s">
        <v>2292</v>
      </c>
      <c r="F352" s="24" t="s">
        <v>2293</v>
      </c>
      <c r="G352" s="24">
        <v>50.6</v>
      </c>
      <c r="H352" s="24" t="s">
        <v>24</v>
      </c>
      <c r="I352" s="24" t="s">
        <v>1936</v>
      </c>
      <c r="J352" s="24" t="s">
        <v>365</v>
      </c>
      <c r="K352" s="24" t="s">
        <v>705</v>
      </c>
      <c r="L352" s="24" t="s">
        <v>240</v>
      </c>
      <c r="M352" s="24" t="s">
        <v>27</v>
      </c>
      <c r="N352" s="24" t="s">
        <v>28</v>
      </c>
      <c r="O352" s="25">
        <v>36892</v>
      </c>
      <c r="P352" s="24" t="s">
        <v>2294</v>
      </c>
      <c r="Q352" s="24"/>
      <c r="R352" s="24">
        <v>54</v>
      </c>
      <c r="S352" s="24" t="s">
        <v>29</v>
      </c>
    </row>
    <row r="353" spans="1:19">
      <c r="A353" s="26">
        <v>11602</v>
      </c>
      <c r="B353" s="26" t="s">
        <v>20</v>
      </c>
      <c r="C353" s="26" t="s">
        <v>21</v>
      </c>
      <c r="D353" s="26" t="s">
        <v>21</v>
      </c>
      <c r="E353" s="26" t="s">
        <v>1934</v>
      </c>
      <c r="F353" s="26" t="s">
        <v>1935</v>
      </c>
      <c r="G353" s="26">
        <v>7.5</v>
      </c>
      <c r="H353" s="26" t="s">
        <v>24</v>
      </c>
      <c r="I353" s="26" t="s">
        <v>1936</v>
      </c>
      <c r="J353" s="26" t="s">
        <v>365</v>
      </c>
      <c r="K353" s="26" t="s">
        <v>366</v>
      </c>
      <c r="L353" s="26" t="s">
        <v>712</v>
      </c>
      <c r="M353" s="26" t="s">
        <v>27</v>
      </c>
      <c r="N353" s="26" t="s">
        <v>28</v>
      </c>
      <c r="O353" s="27">
        <v>32874</v>
      </c>
      <c r="P353" s="26"/>
      <c r="Q353" s="26"/>
      <c r="R353" s="26">
        <v>7.5</v>
      </c>
      <c r="S353" s="26" t="s">
        <v>29</v>
      </c>
    </row>
    <row r="354" spans="1:19" ht="43.5">
      <c r="A354" s="26">
        <v>11603</v>
      </c>
      <c r="B354" s="26" t="s">
        <v>20</v>
      </c>
      <c r="C354" s="26" t="s">
        <v>21</v>
      </c>
      <c r="D354" s="26" t="s">
        <v>21</v>
      </c>
      <c r="E354" s="26" t="s">
        <v>3149</v>
      </c>
      <c r="F354" s="26" t="s">
        <v>3150</v>
      </c>
      <c r="G354" s="26">
        <v>46.5</v>
      </c>
      <c r="H354" s="26" t="s">
        <v>24</v>
      </c>
      <c r="I354" s="26" t="s">
        <v>1936</v>
      </c>
      <c r="J354" s="26" t="s">
        <v>365</v>
      </c>
      <c r="K354" s="26" t="s">
        <v>580</v>
      </c>
      <c r="L354" s="26" t="s">
        <v>240</v>
      </c>
      <c r="M354" s="26" t="s">
        <v>27</v>
      </c>
      <c r="N354" s="26" t="s">
        <v>28</v>
      </c>
      <c r="O354" s="266">
        <v>38366</v>
      </c>
      <c r="P354" s="26" t="s">
        <v>3151</v>
      </c>
      <c r="Q354" s="26"/>
      <c r="R354" s="26">
        <v>46.5</v>
      </c>
      <c r="S354" s="26" t="s">
        <v>29</v>
      </c>
    </row>
    <row r="355" spans="1:19" ht="29.25">
      <c r="A355" s="24">
        <v>93300</v>
      </c>
      <c r="B355" s="24" t="s">
        <v>20</v>
      </c>
      <c r="C355" s="24" t="s">
        <v>21</v>
      </c>
      <c r="D355" s="24" t="s">
        <v>30</v>
      </c>
      <c r="E355" s="24" t="s">
        <v>2827</v>
      </c>
      <c r="F355" s="24" t="s">
        <v>2828</v>
      </c>
      <c r="G355" s="24">
        <v>22.69</v>
      </c>
      <c r="H355" s="24" t="s">
        <v>24</v>
      </c>
      <c r="I355" s="24" t="s">
        <v>2829</v>
      </c>
      <c r="J355" s="24" t="s">
        <v>295</v>
      </c>
      <c r="K355" s="24" t="s">
        <v>1022</v>
      </c>
      <c r="L355" s="24" t="s">
        <v>240</v>
      </c>
      <c r="M355" s="24" t="s">
        <v>27</v>
      </c>
      <c r="N355" s="24" t="s">
        <v>28</v>
      </c>
      <c r="O355" s="25">
        <v>38959</v>
      </c>
      <c r="P355" s="24"/>
      <c r="Q355" s="24"/>
      <c r="R355" s="24">
        <v>22.69</v>
      </c>
      <c r="S355" s="24" t="s">
        <v>29</v>
      </c>
    </row>
    <row r="356" spans="1:19" ht="29.25">
      <c r="A356" s="26">
        <v>11700</v>
      </c>
      <c r="B356" s="26" t="s">
        <v>20</v>
      </c>
      <c r="C356" s="26" t="s">
        <v>21</v>
      </c>
      <c r="D356" s="26" t="s">
        <v>21</v>
      </c>
      <c r="E356" s="26" t="s">
        <v>2440</v>
      </c>
      <c r="F356" s="26" t="s">
        <v>2441</v>
      </c>
      <c r="G356" s="26">
        <v>21</v>
      </c>
      <c r="H356" s="26" t="s">
        <v>24</v>
      </c>
      <c r="I356" s="26" t="s">
        <v>1936</v>
      </c>
      <c r="J356" s="26" t="s">
        <v>295</v>
      </c>
      <c r="K356" s="26" t="s">
        <v>580</v>
      </c>
      <c r="L356" s="26" t="s">
        <v>240</v>
      </c>
      <c r="M356" s="26" t="s">
        <v>27</v>
      </c>
      <c r="N356" s="26" t="s">
        <v>28</v>
      </c>
      <c r="O356" s="27">
        <v>37119</v>
      </c>
      <c r="P356" s="26"/>
      <c r="Q356" s="26"/>
      <c r="R356" s="26">
        <v>21</v>
      </c>
      <c r="S356" s="26" t="s">
        <v>29</v>
      </c>
    </row>
    <row r="357" spans="1:19" ht="29.25">
      <c r="A357" s="26">
        <v>93301</v>
      </c>
      <c r="B357" s="26" t="s">
        <v>20</v>
      </c>
      <c r="C357" s="26" t="s">
        <v>21</v>
      </c>
      <c r="D357" s="26" t="s">
        <v>21</v>
      </c>
      <c r="E357" s="26" t="s">
        <v>2830</v>
      </c>
      <c r="F357" s="26" t="s">
        <v>2831</v>
      </c>
      <c r="G357" s="26">
        <v>0.23</v>
      </c>
      <c r="H357" s="26" t="s">
        <v>24</v>
      </c>
      <c r="I357" s="26" t="s">
        <v>2829</v>
      </c>
      <c r="J357" s="26" t="s">
        <v>295</v>
      </c>
      <c r="K357" s="26" t="s">
        <v>2258</v>
      </c>
      <c r="L357" s="26" t="s">
        <v>240</v>
      </c>
      <c r="M357" s="26" t="s">
        <v>27</v>
      </c>
      <c r="N357" s="26" t="s">
        <v>28</v>
      </c>
      <c r="O357" s="27">
        <v>38959</v>
      </c>
      <c r="P357" s="26"/>
      <c r="Q357" s="26"/>
      <c r="R357" s="26">
        <v>0.23</v>
      </c>
      <c r="S357" s="26" t="s">
        <v>29</v>
      </c>
    </row>
    <row r="358" spans="1:19" ht="29.25">
      <c r="A358" s="28">
        <v>102900</v>
      </c>
      <c r="B358" s="28" t="s">
        <v>20</v>
      </c>
      <c r="C358" s="28" t="s">
        <v>21</v>
      </c>
      <c r="D358" s="28" t="s">
        <v>21</v>
      </c>
      <c r="E358" s="28" t="s">
        <v>3049</v>
      </c>
      <c r="F358" s="28" t="s">
        <v>3050</v>
      </c>
      <c r="G358" s="28">
        <v>15</v>
      </c>
      <c r="H358" s="28" t="s">
        <v>24</v>
      </c>
      <c r="I358" s="28" t="s">
        <v>3028</v>
      </c>
      <c r="J358" s="28" t="s">
        <v>1025</v>
      </c>
      <c r="K358" s="28" t="s">
        <v>2138</v>
      </c>
      <c r="L358" s="28" t="s">
        <v>1026</v>
      </c>
      <c r="M358" s="28" t="s">
        <v>27</v>
      </c>
      <c r="N358" s="28" t="s">
        <v>1420</v>
      </c>
      <c r="O358" s="29">
        <v>40823</v>
      </c>
      <c r="P358" s="28" t="s">
        <v>3051</v>
      </c>
      <c r="Q358" s="28"/>
      <c r="R358" s="28">
        <v>15</v>
      </c>
      <c r="S358" s="28" t="s">
        <v>29</v>
      </c>
    </row>
    <row r="359" spans="1:19">
      <c r="A359" s="28">
        <v>11400</v>
      </c>
      <c r="B359" s="28" t="s">
        <v>20</v>
      </c>
      <c r="C359" s="28" t="s">
        <v>21</v>
      </c>
      <c r="D359" s="28" t="s">
        <v>21</v>
      </c>
      <c r="E359" s="28" t="s">
        <v>458</v>
      </c>
      <c r="F359" s="28" t="s">
        <v>459</v>
      </c>
      <c r="G359" s="28">
        <v>39</v>
      </c>
      <c r="H359" s="28" t="s">
        <v>24</v>
      </c>
      <c r="I359" s="28" t="s">
        <v>460</v>
      </c>
      <c r="J359" s="28" t="s">
        <v>25</v>
      </c>
      <c r="K359" s="28" t="s">
        <v>25</v>
      </c>
      <c r="L359" s="28" t="s">
        <v>26</v>
      </c>
      <c r="M359" s="28" t="s">
        <v>27</v>
      </c>
      <c r="N359" s="28" t="s">
        <v>28</v>
      </c>
      <c r="O359" s="29">
        <v>23012</v>
      </c>
      <c r="P359" s="28"/>
      <c r="Q359" s="28" t="s">
        <v>461</v>
      </c>
      <c r="R359" s="28">
        <v>39</v>
      </c>
      <c r="S359" s="28" t="s">
        <v>29</v>
      </c>
    </row>
    <row r="360" spans="1:19">
      <c r="A360" s="28">
        <v>11500</v>
      </c>
      <c r="B360" s="28" t="s">
        <v>20</v>
      </c>
      <c r="C360" s="28" t="s">
        <v>21</v>
      </c>
      <c r="D360" s="28" t="s">
        <v>21</v>
      </c>
      <c r="E360" s="28" t="s">
        <v>510</v>
      </c>
      <c r="F360" s="28" t="s">
        <v>511</v>
      </c>
      <c r="G360" s="28">
        <v>18</v>
      </c>
      <c r="H360" s="28" t="s">
        <v>24</v>
      </c>
      <c r="I360" s="28" t="s">
        <v>512</v>
      </c>
      <c r="J360" s="28" t="s">
        <v>25</v>
      </c>
      <c r="K360" s="28" t="s">
        <v>25</v>
      </c>
      <c r="L360" s="28" t="s">
        <v>26</v>
      </c>
      <c r="M360" s="28" t="s">
        <v>27</v>
      </c>
      <c r="N360" s="28" t="s">
        <v>28</v>
      </c>
      <c r="O360" s="29">
        <v>24108</v>
      </c>
      <c r="P360" s="28"/>
      <c r="Q360" s="28" t="s">
        <v>513</v>
      </c>
      <c r="R360" s="28">
        <v>18</v>
      </c>
      <c r="S360" s="28" t="s">
        <v>29</v>
      </c>
    </row>
    <row r="361" spans="1:19" ht="29.25">
      <c r="A361" s="28">
        <v>111300</v>
      </c>
      <c r="B361" s="28" t="s">
        <v>20</v>
      </c>
      <c r="C361" s="28" t="s">
        <v>21</v>
      </c>
      <c r="D361" s="28" t="s">
        <v>21</v>
      </c>
      <c r="E361" s="28" t="s">
        <v>4726</v>
      </c>
      <c r="F361" s="28" t="s">
        <v>4727</v>
      </c>
      <c r="G361" s="28">
        <v>1.6</v>
      </c>
      <c r="H361" s="28" t="s">
        <v>24</v>
      </c>
      <c r="I361" s="28" t="s">
        <v>4728</v>
      </c>
      <c r="J361" s="28" t="s">
        <v>788</v>
      </c>
      <c r="K361" s="28" t="s">
        <v>296</v>
      </c>
      <c r="L361" s="28" t="s">
        <v>888</v>
      </c>
      <c r="M361" s="28" t="s">
        <v>27</v>
      </c>
      <c r="N361" s="28" t="s">
        <v>28</v>
      </c>
      <c r="O361" s="29">
        <v>41464</v>
      </c>
      <c r="P361" s="28"/>
      <c r="Q361" s="28"/>
      <c r="R361" s="28">
        <v>1.6</v>
      </c>
      <c r="S361" s="28" t="s">
        <v>29</v>
      </c>
    </row>
    <row r="362" spans="1:19">
      <c r="A362" s="28">
        <v>97000</v>
      </c>
      <c r="B362" s="28" t="s">
        <v>20</v>
      </c>
      <c r="C362" s="28" t="s">
        <v>21</v>
      </c>
      <c r="D362" s="28" t="s">
        <v>21</v>
      </c>
      <c r="E362" s="28" t="s">
        <v>2879</v>
      </c>
      <c r="F362" s="28" t="s">
        <v>2880</v>
      </c>
      <c r="G362" s="28">
        <v>1.5</v>
      </c>
      <c r="H362" s="28" t="s">
        <v>24</v>
      </c>
      <c r="I362" s="28" t="s">
        <v>2881</v>
      </c>
      <c r="J362" s="28" t="s">
        <v>788</v>
      </c>
      <c r="K362" s="28" t="s">
        <v>296</v>
      </c>
      <c r="L362" s="28" t="s">
        <v>888</v>
      </c>
      <c r="M362" s="28" t="s">
        <v>27</v>
      </c>
      <c r="N362" s="28" t="s">
        <v>28</v>
      </c>
      <c r="O362" s="29">
        <v>39821</v>
      </c>
      <c r="P362" s="28"/>
      <c r="Q362" s="28"/>
      <c r="R362" s="28">
        <v>1.6</v>
      </c>
      <c r="S362" s="28" t="s">
        <v>29</v>
      </c>
    </row>
    <row r="363" spans="1:19" ht="29.25">
      <c r="A363" s="28">
        <v>97500</v>
      </c>
      <c r="B363" s="28" t="s">
        <v>20</v>
      </c>
      <c r="C363" s="28" t="s">
        <v>21</v>
      </c>
      <c r="D363" s="28" t="s">
        <v>21</v>
      </c>
      <c r="E363" s="28" t="s">
        <v>2897</v>
      </c>
      <c r="F363" s="28" t="s">
        <v>2898</v>
      </c>
      <c r="G363" s="28">
        <v>6.5</v>
      </c>
      <c r="H363" s="28" t="s">
        <v>5</v>
      </c>
      <c r="I363" s="28" t="s">
        <v>2899</v>
      </c>
      <c r="J363" s="28" t="s">
        <v>781</v>
      </c>
      <c r="K363" s="28" t="s">
        <v>781</v>
      </c>
      <c r="L363" s="28" t="s">
        <v>781</v>
      </c>
      <c r="M363" s="28" t="s">
        <v>38</v>
      </c>
      <c r="N363" s="28" t="s">
        <v>39</v>
      </c>
      <c r="O363" s="29">
        <v>39966</v>
      </c>
      <c r="P363" s="28"/>
      <c r="Q363" s="28"/>
      <c r="R363" s="28">
        <v>6</v>
      </c>
      <c r="S363" s="28" t="s">
        <v>29</v>
      </c>
    </row>
    <row r="364" spans="1:19">
      <c r="A364" s="24">
        <v>92300</v>
      </c>
      <c r="B364" s="24" t="s">
        <v>20</v>
      </c>
      <c r="C364" s="24" t="s">
        <v>21</v>
      </c>
      <c r="D364" s="24" t="s">
        <v>30</v>
      </c>
      <c r="E364" s="24" t="s">
        <v>2748</v>
      </c>
      <c r="F364" s="24" t="s">
        <v>2749</v>
      </c>
      <c r="G364" s="24">
        <v>46</v>
      </c>
      <c r="H364" s="24" t="s">
        <v>24</v>
      </c>
      <c r="I364" s="24" t="s">
        <v>2478</v>
      </c>
      <c r="J364" s="24" t="s">
        <v>295</v>
      </c>
      <c r="K364" s="24" t="s">
        <v>1022</v>
      </c>
      <c r="L364" s="24" t="s">
        <v>240</v>
      </c>
      <c r="M364" s="24" t="s">
        <v>193</v>
      </c>
      <c r="N364" s="24" t="s">
        <v>194</v>
      </c>
      <c r="O364" s="25">
        <v>38567</v>
      </c>
      <c r="P364" s="24"/>
      <c r="Q364" s="24"/>
      <c r="R364" s="24">
        <v>46.35</v>
      </c>
      <c r="S364" s="24" t="s">
        <v>29</v>
      </c>
    </row>
    <row r="365" spans="1:19" ht="29.25">
      <c r="A365" s="26">
        <v>12100</v>
      </c>
      <c r="B365" s="26" t="s">
        <v>20</v>
      </c>
      <c r="C365" s="26" t="s">
        <v>21</v>
      </c>
      <c r="D365" s="26" t="s">
        <v>21</v>
      </c>
      <c r="E365" s="26" t="s">
        <v>2476</v>
      </c>
      <c r="F365" s="26" t="s">
        <v>2477</v>
      </c>
      <c r="G365" s="26">
        <v>46</v>
      </c>
      <c r="H365" s="26" t="s">
        <v>24</v>
      </c>
      <c r="I365" s="26" t="s">
        <v>2478</v>
      </c>
      <c r="J365" s="26" t="s">
        <v>295</v>
      </c>
      <c r="K365" s="26" t="s">
        <v>580</v>
      </c>
      <c r="L365" s="26" t="s">
        <v>240</v>
      </c>
      <c r="M365" s="26" t="s">
        <v>193</v>
      </c>
      <c r="N365" s="26" t="s">
        <v>194</v>
      </c>
      <c r="O365" s="27">
        <v>37252</v>
      </c>
      <c r="P365" s="26"/>
      <c r="Q365" s="26"/>
      <c r="R365" s="26">
        <v>46</v>
      </c>
      <c r="S365" s="26" t="s">
        <v>29</v>
      </c>
    </row>
    <row r="366" spans="1:19" ht="29.25">
      <c r="A366" s="26">
        <v>92301</v>
      </c>
      <c r="B366" s="26" t="s">
        <v>20</v>
      </c>
      <c r="C366" s="26" t="s">
        <v>21</v>
      </c>
      <c r="D366" s="26" t="s">
        <v>21</v>
      </c>
      <c r="E366" s="26" t="s">
        <v>2750</v>
      </c>
      <c r="F366" s="26" t="s">
        <v>2751</v>
      </c>
      <c r="G366" s="26">
        <v>0.3</v>
      </c>
      <c r="H366" s="26" t="s">
        <v>24</v>
      </c>
      <c r="I366" s="26" t="s">
        <v>2478</v>
      </c>
      <c r="J366" s="26" t="s">
        <v>295</v>
      </c>
      <c r="K366" s="26" t="s">
        <v>296</v>
      </c>
      <c r="L366" s="26" t="s">
        <v>240</v>
      </c>
      <c r="M366" s="26" t="s">
        <v>193</v>
      </c>
      <c r="N366" s="26" t="s">
        <v>194</v>
      </c>
      <c r="O366" s="27">
        <v>38574</v>
      </c>
      <c r="P366" s="26"/>
      <c r="Q366" s="26"/>
      <c r="R366" s="26">
        <v>0.35</v>
      </c>
      <c r="S366" s="26" t="s">
        <v>29</v>
      </c>
    </row>
    <row r="367" spans="1:19" ht="29.25">
      <c r="A367" s="24">
        <v>12200</v>
      </c>
      <c r="B367" s="24" t="s">
        <v>20</v>
      </c>
      <c r="C367" s="24" t="s">
        <v>30</v>
      </c>
      <c r="D367" s="24" t="s">
        <v>30</v>
      </c>
      <c r="E367" s="24" t="s">
        <v>1450</v>
      </c>
      <c r="F367" s="24" t="s">
        <v>1451</v>
      </c>
      <c r="G367" s="24">
        <v>9.9</v>
      </c>
      <c r="H367" s="24" t="s">
        <v>5</v>
      </c>
      <c r="I367" s="24" t="s">
        <v>1452</v>
      </c>
      <c r="J367" s="24" t="s">
        <v>694</v>
      </c>
      <c r="K367" s="24" t="s">
        <v>580</v>
      </c>
      <c r="L367" s="24" t="s">
        <v>240</v>
      </c>
      <c r="M367" s="24" t="s">
        <v>38</v>
      </c>
      <c r="N367" s="24" t="s">
        <v>39</v>
      </c>
      <c r="O367" s="25">
        <v>31778</v>
      </c>
      <c r="P367" s="24"/>
      <c r="Q367" s="24"/>
      <c r="R367" s="24">
        <v>10.5</v>
      </c>
      <c r="S367" s="24" t="s">
        <v>29</v>
      </c>
    </row>
    <row r="368" spans="1:19" ht="29.25">
      <c r="A368" s="26">
        <v>12201</v>
      </c>
      <c r="B368" s="26" t="s">
        <v>20</v>
      </c>
      <c r="C368" s="26" t="s">
        <v>30</v>
      </c>
      <c r="D368" s="26" t="s">
        <v>21</v>
      </c>
      <c r="E368" s="26"/>
      <c r="F368" s="26" t="s">
        <v>1453</v>
      </c>
      <c r="G368" s="26"/>
      <c r="H368" s="26" t="s">
        <v>5</v>
      </c>
      <c r="I368" s="26" t="s">
        <v>1452</v>
      </c>
      <c r="J368" s="26" t="s">
        <v>694</v>
      </c>
      <c r="K368" s="26" t="s">
        <v>580</v>
      </c>
      <c r="L368" s="26" t="s">
        <v>240</v>
      </c>
      <c r="M368" s="26" t="s">
        <v>38</v>
      </c>
      <c r="N368" s="26" t="s">
        <v>39</v>
      </c>
      <c r="O368" s="27">
        <v>31778</v>
      </c>
      <c r="P368" s="26"/>
      <c r="Q368" s="26"/>
      <c r="R368" s="26">
        <v>3.5</v>
      </c>
      <c r="S368" s="26" t="s">
        <v>29</v>
      </c>
    </row>
    <row r="369" spans="1:19" ht="29.25">
      <c r="A369" s="26">
        <v>12202</v>
      </c>
      <c r="B369" s="26" t="s">
        <v>20</v>
      </c>
      <c r="C369" s="26" t="s">
        <v>30</v>
      </c>
      <c r="D369" s="26" t="s">
        <v>21</v>
      </c>
      <c r="E369" s="26"/>
      <c r="F369" s="26" t="s">
        <v>1454</v>
      </c>
      <c r="G369" s="26"/>
      <c r="H369" s="26" t="s">
        <v>5</v>
      </c>
      <c r="I369" s="26" t="s">
        <v>1452</v>
      </c>
      <c r="J369" s="26" t="s">
        <v>694</v>
      </c>
      <c r="K369" s="26" t="s">
        <v>580</v>
      </c>
      <c r="L369" s="26" t="s">
        <v>240</v>
      </c>
      <c r="M369" s="26" t="s">
        <v>38</v>
      </c>
      <c r="N369" s="26" t="s">
        <v>39</v>
      </c>
      <c r="O369" s="27">
        <v>31778</v>
      </c>
      <c r="P369" s="26"/>
      <c r="Q369" s="26"/>
      <c r="R369" s="26">
        <v>3.5</v>
      </c>
      <c r="S369" s="26" t="s">
        <v>29</v>
      </c>
    </row>
    <row r="370" spans="1:19" ht="29.25">
      <c r="A370" s="26">
        <v>12205</v>
      </c>
      <c r="B370" s="26" t="s">
        <v>20</v>
      </c>
      <c r="C370" s="26" t="s">
        <v>30</v>
      </c>
      <c r="D370" s="26" t="s">
        <v>21</v>
      </c>
      <c r="E370" s="26"/>
      <c r="F370" s="26" t="s">
        <v>1457</v>
      </c>
      <c r="G370" s="26"/>
      <c r="H370" s="26" t="s">
        <v>5</v>
      </c>
      <c r="I370" s="26" t="s">
        <v>1452</v>
      </c>
      <c r="J370" s="26" t="s">
        <v>694</v>
      </c>
      <c r="K370" s="26" t="s">
        <v>580</v>
      </c>
      <c r="L370" s="26" t="s">
        <v>240</v>
      </c>
      <c r="M370" s="26" t="s">
        <v>38</v>
      </c>
      <c r="N370" s="26" t="s">
        <v>39</v>
      </c>
      <c r="O370" s="27">
        <v>31778</v>
      </c>
      <c r="P370" s="26"/>
      <c r="Q370" s="26"/>
      <c r="R370" s="26">
        <v>3.5</v>
      </c>
      <c r="S370" s="26" t="s">
        <v>29</v>
      </c>
    </row>
    <row r="371" spans="1:19" ht="29.25">
      <c r="A371" s="26">
        <v>12204</v>
      </c>
      <c r="B371" s="26" t="s">
        <v>20</v>
      </c>
      <c r="C371" s="26" t="s">
        <v>30</v>
      </c>
      <c r="D371" s="26" t="s">
        <v>21</v>
      </c>
      <c r="E371" s="26"/>
      <c r="F371" s="26" t="s">
        <v>1456</v>
      </c>
      <c r="G371" s="26"/>
      <c r="H371" s="26" t="s">
        <v>5</v>
      </c>
      <c r="I371" s="26" t="s">
        <v>1452</v>
      </c>
      <c r="J371" s="26" t="s">
        <v>694</v>
      </c>
      <c r="K371" s="26" t="s">
        <v>580</v>
      </c>
      <c r="L371" s="26" t="s">
        <v>240</v>
      </c>
      <c r="M371" s="26" t="s">
        <v>38</v>
      </c>
      <c r="N371" s="26" t="s">
        <v>39</v>
      </c>
      <c r="O371" s="27">
        <v>31778</v>
      </c>
      <c r="P371" s="26"/>
      <c r="Q371" s="26"/>
      <c r="R371" s="26">
        <v>3.5</v>
      </c>
      <c r="S371" s="26" t="s">
        <v>29</v>
      </c>
    </row>
    <row r="372" spans="1:19" ht="29.25">
      <c r="A372" s="26">
        <v>12203</v>
      </c>
      <c r="B372" s="26" t="s">
        <v>20</v>
      </c>
      <c r="C372" s="26" t="s">
        <v>30</v>
      </c>
      <c r="D372" s="26" t="s">
        <v>21</v>
      </c>
      <c r="E372" s="26"/>
      <c r="F372" s="26" t="s">
        <v>1455</v>
      </c>
      <c r="G372" s="26"/>
      <c r="H372" s="26" t="s">
        <v>5</v>
      </c>
      <c r="I372" s="26" t="s">
        <v>1452</v>
      </c>
      <c r="J372" s="26" t="s">
        <v>694</v>
      </c>
      <c r="K372" s="26" t="s">
        <v>580</v>
      </c>
      <c r="L372" s="26" t="s">
        <v>240</v>
      </c>
      <c r="M372" s="26" t="s">
        <v>38</v>
      </c>
      <c r="N372" s="26" t="s">
        <v>39</v>
      </c>
      <c r="O372" s="27">
        <v>31778</v>
      </c>
      <c r="P372" s="26"/>
      <c r="Q372" s="26"/>
      <c r="R372" s="26">
        <v>3.5</v>
      </c>
      <c r="S372" s="26" t="s">
        <v>29</v>
      </c>
    </row>
    <row r="373" spans="1:19" ht="29.25">
      <c r="A373" s="28">
        <v>109400</v>
      </c>
      <c r="B373" s="28" t="s">
        <v>20</v>
      </c>
      <c r="C373" s="28" t="s">
        <v>21</v>
      </c>
      <c r="D373" s="28" t="s">
        <v>21</v>
      </c>
      <c r="E373" s="28" t="s">
        <v>4454</v>
      </c>
      <c r="F373" s="28" t="s">
        <v>4455</v>
      </c>
      <c r="G373" s="28">
        <v>200</v>
      </c>
      <c r="H373" s="28" t="s">
        <v>24</v>
      </c>
      <c r="I373" s="28" t="s">
        <v>4456</v>
      </c>
      <c r="J373" s="28" t="s">
        <v>694</v>
      </c>
      <c r="K373" s="28" t="s">
        <v>580</v>
      </c>
      <c r="L373" s="28" t="s">
        <v>240</v>
      </c>
      <c r="M373" s="28" t="s">
        <v>27</v>
      </c>
      <c r="N373" s="28" t="s">
        <v>28</v>
      </c>
      <c r="O373" s="29">
        <v>41395</v>
      </c>
      <c r="P373" s="28"/>
      <c r="Q373" s="28"/>
      <c r="R373" s="28">
        <v>222</v>
      </c>
      <c r="S373" s="28" t="s">
        <v>29</v>
      </c>
    </row>
    <row r="374" spans="1:19" ht="29.25">
      <c r="A374" s="28">
        <v>109500</v>
      </c>
      <c r="B374" s="28" t="s">
        <v>20</v>
      </c>
      <c r="C374" s="28" t="s">
        <v>21</v>
      </c>
      <c r="D374" s="28" t="s">
        <v>21</v>
      </c>
      <c r="E374" s="28" t="s">
        <v>4457</v>
      </c>
      <c r="F374" s="28" t="s">
        <v>4458</v>
      </c>
      <c r="G374" s="28">
        <v>200</v>
      </c>
      <c r="H374" s="28" t="s">
        <v>24</v>
      </c>
      <c r="I374" s="28" t="s">
        <v>4456</v>
      </c>
      <c r="J374" s="28" t="s">
        <v>694</v>
      </c>
      <c r="K374" s="28" t="s">
        <v>580</v>
      </c>
      <c r="L374" s="28" t="s">
        <v>240</v>
      </c>
      <c r="M374" s="28" t="s">
        <v>27</v>
      </c>
      <c r="N374" s="28" t="s">
        <v>28</v>
      </c>
      <c r="O374" s="29">
        <v>41395</v>
      </c>
      <c r="P374" s="28"/>
      <c r="Q374" s="28"/>
      <c r="R374" s="28">
        <v>222</v>
      </c>
      <c r="S374" s="28" t="s">
        <v>29</v>
      </c>
    </row>
    <row r="375" spans="1:19" ht="29.25">
      <c r="A375" s="28">
        <v>109600</v>
      </c>
      <c r="B375" s="28" t="s">
        <v>20</v>
      </c>
      <c r="C375" s="28" t="s">
        <v>21</v>
      </c>
      <c r="D375" s="28" t="s">
        <v>21</v>
      </c>
      <c r="E375" s="28" t="s">
        <v>4459</v>
      </c>
      <c r="F375" s="28" t="s">
        <v>4460</v>
      </c>
      <c r="G375" s="28">
        <v>200</v>
      </c>
      <c r="H375" s="28" t="s">
        <v>24</v>
      </c>
      <c r="I375" s="28" t="s">
        <v>4456</v>
      </c>
      <c r="J375" s="28" t="s">
        <v>694</v>
      </c>
      <c r="K375" s="28" t="s">
        <v>580</v>
      </c>
      <c r="L375" s="28" t="s">
        <v>240</v>
      </c>
      <c r="M375" s="28" t="s">
        <v>27</v>
      </c>
      <c r="N375" s="28" t="s">
        <v>28</v>
      </c>
      <c r="O375" s="29">
        <v>41395</v>
      </c>
      <c r="P375" s="28"/>
      <c r="Q375" s="28"/>
      <c r="R375" s="28">
        <v>222</v>
      </c>
      <c r="S375" s="28" t="s">
        <v>29</v>
      </c>
    </row>
    <row r="376" spans="1:19" ht="29.25">
      <c r="A376" s="28">
        <v>109700</v>
      </c>
      <c r="B376" s="28" t="s">
        <v>20</v>
      </c>
      <c r="C376" s="28" t="s">
        <v>21</v>
      </c>
      <c r="D376" s="28" t="s">
        <v>21</v>
      </c>
      <c r="E376" s="28" t="s">
        <v>4461</v>
      </c>
      <c r="F376" s="28" t="s">
        <v>4462</v>
      </c>
      <c r="G376" s="28">
        <v>200</v>
      </c>
      <c r="H376" s="28" t="s">
        <v>24</v>
      </c>
      <c r="I376" s="28" t="s">
        <v>4456</v>
      </c>
      <c r="J376" s="28" t="s">
        <v>694</v>
      </c>
      <c r="K376" s="28" t="s">
        <v>580</v>
      </c>
      <c r="L376" s="28" t="s">
        <v>240</v>
      </c>
      <c r="M376" s="28" t="s">
        <v>27</v>
      </c>
      <c r="N376" s="28" t="s">
        <v>28</v>
      </c>
      <c r="O376" s="29">
        <v>41395</v>
      </c>
      <c r="P376" s="28"/>
      <c r="Q376" s="28"/>
      <c r="R376" s="28">
        <v>222</v>
      </c>
      <c r="S376" s="28" t="s">
        <v>29</v>
      </c>
    </row>
    <row r="377" spans="1:19" ht="29.25">
      <c r="A377" s="24">
        <v>93500</v>
      </c>
      <c r="B377" s="24" t="s">
        <v>20</v>
      </c>
      <c r="C377" s="24" t="s">
        <v>30</v>
      </c>
      <c r="D377" s="24" t="s">
        <v>30</v>
      </c>
      <c r="E377" s="24" t="s">
        <v>3219</v>
      </c>
      <c r="F377" s="24" t="s">
        <v>3220</v>
      </c>
      <c r="G377" s="24">
        <v>22</v>
      </c>
      <c r="H377" s="24" t="s">
        <v>24</v>
      </c>
      <c r="I377" s="24"/>
      <c r="J377" s="24" t="s">
        <v>644</v>
      </c>
      <c r="K377" s="24" t="s">
        <v>1022</v>
      </c>
      <c r="L377" s="24" t="s">
        <v>644</v>
      </c>
      <c r="M377" s="24" t="s">
        <v>27</v>
      </c>
      <c r="N377" s="24" t="s">
        <v>28</v>
      </c>
      <c r="O377" s="263">
        <v>32656</v>
      </c>
      <c r="P377" s="24" t="s">
        <v>3208</v>
      </c>
      <c r="Q377" s="24"/>
      <c r="R377" s="24">
        <v>22</v>
      </c>
      <c r="S377" s="24" t="s">
        <v>29</v>
      </c>
    </row>
    <row r="378" spans="1:19" ht="29.25">
      <c r="A378" s="26">
        <v>47800</v>
      </c>
      <c r="B378" s="26" t="s">
        <v>87</v>
      </c>
      <c r="C378" s="26" t="s">
        <v>30</v>
      </c>
      <c r="D378" s="26" t="s">
        <v>21</v>
      </c>
      <c r="E378" s="26" t="s">
        <v>1852</v>
      </c>
      <c r="F378" s="26" t="s">
        <v>1853</v>
      </c>
      <c r="G378" s="26">
        <v>11.5</v>
      </c>
      <c r="H378" s="26" t="s">
        <v>24</v>
      </c>
      <c r="I378" s="26" t="s">
        <v>1854</v>
      </c>
      <c r="J378" s="26" t="s">
        <v>644</v>
      </c>
      <c r="K378" s="26" t="s">
        <v>366</v>
      </c>
      <c r="L378" s="26" t="s">
        <v>644</v>
      </c>
      <c r="M378" s="26" t="s">
        <v>27</v>
      </c>
      <c r="N378" s="26" t="s">
        <v>28</v>
      </c>
      <c r="O378" s="27">
        <v>32675</v>
      </c>
      <c r="P378" s="26" t="s">
        <v>1842</v>
      </c>
      <c r="Q378" s="26"/>
      <c r="R378" s="26">
        <v>11.5</v>
      </c>
      <c r="S378" s="26" t="s">
        <v>29</v>
      </c>
    </row>
    <row r="379" spans="1:19" ht="29.25">
      <c r="A379" s="26">
        <v>47900</v>
      </c>
      <c r="B379" s="26" t="s">
        <v>87</v>
      </c>
      <c r="C379" s="26" t="s">
        <v>30</v>
      </c>
      <c r="D379" s="26" t="s">
        <v>21</v>
      </c>
      <c r="E379" s="26" t="s">
        <v>1839</v>
      </c>
      <c r="F379" s="26" t="s">
        <v>1840</v>
      </c>
      <c r="G379" s="26">
        <v>11.5</v>
      </c>
      <c r="H379" s="26" t="s">
        <v>24</v>
      </c>
      <c r="I379" s="26" t="s">
        <v>1841</v>
      </c>
      <c r="J379" s="26" t="s">
        <v>644</v>
      </c>
      <c r="K379" s="26" t="s">
        <v>366</v>
      </c>
      <c r="L379" s="26" t="s">
        <v>644</v>
      </c>
      <c r="M379" s="26" t="s">
        <v>27</v>
      </c>
      <c r="N379" s="26" t="s">
        <v>28</v>
      </c>
      <c r="O379" s="27">
        <v>32656</v>
      </c>
      <c r="P379" s="26" t="s">
        <v>1842</v>
      </c>
      <c r="Q379" s="26"/>
      <c r="R379" s="26">
        <v>11.5</v>
      </c>
      <c r="S379" s="26" t="s">
        <v>29</v>
      </c>
    </row>
    <row r="380" spans="1:19" ht="29.25">
      <c r="A380" s="24">
        <v>48000</v>
      </c>
      <c r="B380" s="24" t="s">
        <v>20</v>
      </c>
      <c r="C380" s="24" t="s">
        <v>21</v>
      </c>
      <c r="D380" s="24" t="s">
        <v>30</v>
      </c>
      <c r="E380" s="24" t="s">
        <v>1039</v>
      </c>
      <c r="F380" s="24" t="s">
        <v>1040</v>
      </c>
      <c r="G380" s="24">
        <v>92.1</v>
      </c>
      <c r="H380" s="24" t="s">
        <v>24</v>
      </c>
      <c r="I380" s="24" t="s">
        <v>1041</v>
      </c>
      <c r="J380" s="24" t="s">
        <v>644</v>
      </c>
      <c r="K380" s="24" t="s">
        <v>366</v>
      </c>
      <c r="L380" s="24" t="s">
        <v>644</v>
      </c>
      <c r="M380" s="24" t="s">
        <v>27</v>
      </c>
      <c r="N380" s="24" t="s">
        <v>28</v>
      </c>
      <c r="O380" s="25">
        <v>30755</v>
      </c>
      <c r="P380" s="24"/>
      <c r="Q380" s="24"/>
      <c r="R380" s="24">
        <v>103.8</v>
      </c>
      <c r="S380" s="24" t="s">
        <v>29</v>
      </c>
    </row>
    <row r="381" spans="1:19" ht="29.25">
      <c r="A381" s="26">
        <v>48001</v>
      </c>
      <c r="B381" s="26" t="s">
        <v>87</v>
      </c>
      <c r="C381" s="26" t="s">
        <v>30</v>
      </c>
      <c r="D381" s="26" t="s">
        <v>21</v>
      </c>
      <c r="E381" s="26" t="s">
        <v>1042</v>
      </c>
      <c r="F381" s="26" t="s">
        <v>1043</v>
      </c>
      <c r="G381" s="26"/>
      <c r="H381" s="26" t="s">
        <v>24</v>
      </c>
      <c r="I381" s="26" t="s">
        <v>1041</v>
      </c>
      <c r="J381" s="26" t="s">
        <v>644</v>
      </c>
      <c r="K381" s="26" t="s">
        <v>366</v>
      </c>
      <c r="L381" s="26" t="s">
        <v>644</v>
      </c>
      <c r="M381" s="26" t="s">
        <v>27</v>
      </c>
      <c r="N381" s="26" t="s">
        <v>28</v>
      </c>
      <c r="O381" s="27">
        <v>30755</v>
      </c>
      <c r="P381" s="26"/>
      <c r="Q381" s="26"/>
      <c r="R381" s="26">
        <v>51.9</v>
      </c>
      <c r="S381" s="26" t="s">
        <v>29</v>
      </c>
    </row>
    <row r="382" spans="1:19" ht="29.25">
      <c r="A382" s="26">
        <v>48002</v>
      </c>
      <c r="B382" s="26" t="s">
        <v>87</v>
      </c>
      <c r="C382" s="26" t="s">
        <v>30</v>
      </c>
      <c r="D382" s="26" t="s">
        <v>21</v>
      </c>
      <c r="E382" s="26" t="s">
        <v>1044</v>
      </c>
      <c r="F382" s="26" t="s">
        <v>1045</v>
      </c>
      <c r="G382" s="26"/>
      <c r="H382" s="26" t="s">
        <v>24</v>
      </c>
      <c r="I382" s="26" t="s">
        <v>1041</v>
      </c>
      <c r="J382" s="26" t="s">
        <v>644</v>
      </c>
      <c r="K382" s="26" t="s">
        <v>366</v>
      </c>
      <c r="L382" s="26" t="s">
        <v>644</v>
      </c>
      <c r="M382" s="26" t="s">
        <v>27</v>
      </c>
      <c r="N382" s="26" t="s">
        <v>28</v>
      </c>
      <c r="O382" s="27">
        <v>30755</v>
      </c>
      <c r="P382" s="26"/>
      <c r="Q382" s="26"/>
      <c r="R382" s="26">
        <v>51.9</v>
      </c>
      <c r="S382" s="26" t="s">
        <v>29</v>
      </c>
    </row>
    <row r="383" spans="1:19" ht="29.25">
      <c r="A383" s="24">
        <v>13500</v>
      </c>
      <c r="B383" s="24" t="s">
        <v>20</v>
      </c>
      <c r="C383" s="24" t="s">
        <v>21</v>
      </c>
      <c r="D383" s="24" t="s">
        <v>30</v>
      </c>
      <c r="E383" s="24" t="s">
        <v>641</v>
      </c>
      <c r="F383" s="24" t="s">
        <v>642</v>
      </c>
      <c r="G383" s="24">
        <v>85</v>
      </c>
      <c r="H383" s="24" t="s">
        <v>24</v>
      </c>
      <c r="I383" s="24" t="s">
        <v>643</v>
      </c>
      <c r="J383" s="24" t="s">
        <v>644</v>
      </c>
      <c r="K383" s="24" t="s">
        <v>366</v>
      </c>
      <c r="L383" s="24" t="s">
        <v>644</v>
      </c>
      <c r="M383" s="24" t="s">
        <v>27</v>
      </c>
      <c r="N383" s="24" t="s">
        <v>28</v>
      </c>
      <c r="O383" s="25">
        <v>25934</v>
      </c>
      <c r="P383" s="24"/>
      <c r="Q383" s="24"/>
      <c r="R383" s="24">
        <v>110</v>
      </c>
      <c r="S383" s="24" t="s">
        <v>29</v>
      </c>
    </row>
    <row r="384" spans="1:19">
      <c r="A384" s="26">
        <v>13501</v>
      </c>
      <c r="B384" s="26" t="s">
        <v>20</v>
      </c>
      <c r="C384" s="26" t="s">
        <v>21</v>
      </c>
      <c r="D384" s="26" t="s">
        <v>21</v>
      </c>
      <c r="E384" s="26" t="s">
        <v>645</v>
      </c>
      <c r="F384" s="26" t="s">
        <v>646</v>
      </c>
      <c r="G384" s="26">
        <v>55</v>
      </c>
      <c r="H384" s="26" t="s">
        <v>24</v>
      </c>
      <c r="I384" s="26" t="s">
        <v>643</v>
      </c>
      <c r="J384" s="26" t="s">
        <v>644</v>
      </c>
      <c r="K384" s="26" t="s">
        <v>366</v>
      </c>
      <c r="L384" s="26" t="s">
        <v>644</v>
      </c>
      <c r="M384" s="26" t="s">
        <v>27</v>
      </c>
      <c r="N384" s="26" t="s">
        <v>28</v>
      </c>
      <c r="O384" s="27">
        <v>25934</v>
      </c>
      <c r="P384" s="26"/>
      <c r="Q384" s="26"/>
      <c r="R384" s="26">
        <v>55</v>
      </c>
      <c r="S384" s="26" t="s">
        <v>29</v>
      </c>
    </row>
    <row r="385" spans="1:19">
      <c r="A385" s="26">
        <v>13502</v>
      </c>
      <c r="B385" s="26" t="s">
        <v>20</v>
      </c>
      <c r="C385" s="26" t="s">
        <v>21</v>
      </c>
      <c r="D385" s="26" t="s">
        <v>21</v>
      </c>
      <c r="E385" s="26" t="s">
        <v>647</v>
      </c>
      <c r="F385" s="26" t="s">
        <v>648</v>
      </c>
      <c r="G385" s="26">
        <v>55</v>
      </c>
      <c r="H385" s="26" t="s">
        <v>24</v>
      </c>
      <c r="I385" s="26" t="s">
        <v>643</v>
      </c>
      <c r="J385" s="26" t="s">
        <v>644</v>
      </c>
      <c r="K385" s="26" t="s">
        <v>366</v>
      </c>
      <c r="L385" s="26" t="s">
        <v>644</v>
      </c>
      <c r="M385" s="26" t="s">
        <v>27</v>
      </c>
      <c r="N385" s="26" t="s">
        <v>28</v>
      </c>
      <c r="O385" s="27">
        <v>25934</v>
      </c>
      <c r="P385" s="26"/>
      <c r="Q385" s="26"/>
      <c r="R385" s="26">
        <v>55</v>
      </c>
      <c r="S385" s="26" t="s">
        <v>29</v>
      </c>
    </row>
    <row r="386" spans="1:19" ht="29.25">
      <c r="A386" s="24">
        <v>13600</v>
      </c>
      <c r="B386" s="24" t="s">
        <v>20</v>
      </c>
      <c r="C386" s="24" t="s">
        <v>21</v>
      </c>
      <c r="D386" s="24" t="s">
        <v>30</v>
      </c>
      <c r="E386" s="24" t="s">
        <v>658</v>
      </c>
      <c r="F386" s="24" t="s">
        <v>659</v>
      </c>
      <c r="G386" s="24">
        <v>82</v>
      </c>
      <c r="H386" s="24" t="s">
        <v>24</v>
      </c>
      <c r="I386" s="24" t="s">
        <v>643</v>
      </c>
      <c r="J386" s="24" t="s">
        <v>644</v>
      </c>
      <c r="K386" s="24" t="s">
        <v>366</v>
      </c>
      <c r="L386" s="24" t="s">
        <v>644</v>
      </c>
      <c r="M386" s="24" t="s">
        <v>27</v>
      </c>
      <c r="N386" s="24" t="s">
        <v>28</v>
      </c>
      <c r="O386" s="25">
        <v>26299</v>
      </c>
      <c r="P386" s="24"/>
      <c r="Q386" s="24"/>
      <c r="R386" s="24">
        <v>110</v>
      </c>
      <c r="S386" s="24" t="s">
        <v>29</v>
      </c>
    </row>
    <row r="387" spans="1:19">
      <c r="A387" s="26">
        <v>13601</v>
      </c>
      <c r="B387" s="26" t="s">
        <v>20</v>
      </c>
      <c r="C387" s="26" t="s">
        <v>21</v>
      </c>
      <c r="D387" s="26" t="s">
        <v>21</v>
      </c>
      <c r="E387" s="26" t="s">
        <v>660</v>
      </c>
      <c r="F387" s="26" t="s">
        <v>661</v>
      </c>
      <c r="G387" s="26">
        <v>55</v>
      </c>
      <c r="H387" s="26" t="s">
        <v>24</v>
      </c>
      <c r="I387" s="26" t="s">
        <v>643</v>
      </c>
      <c r="J387" s="26" t="s">
        <v>644</v>
      </c>
      <c r="K387" s="26" t="s">
        <v>366</v>
      </c>
      <c r="L387" s="26" t="s">
        <v>644</v>
      </c>
      <c r="M387" s="26" t="s">
        <v>27</v>
      </c>
      <c r="N387" s="26" t="s">
        <v>28</v>
      </c>
      <c r="O387" s="27">
        <v>26299</v>
      </c>
      <c r="P387" s="26"/>
      <c r="Q387" s="26"/>
      <c r="R387" s="26">
        <v>55</v>
      </c>
      <c r="S387" s="26" t="s">
        <v>29</v>
      </c>
    </row>
    <row r="388" spans="1:19">
      <c r="A388" s="26">
        <v>13602</v>
      </c>
      <c r="B388" s="26" t="s">
        <v>20</v>
      </c>
      <c r="C388" s="26" t="s">
        <v>21</v>
      </c>
      <c r="D388" s="26" t="s">
        <v>21</v>
      </c>
      <c r="E388" s="26" t="s">
        <v>662</v>
      </c>
      <c r="F388" s="26" t="s">
        <v>663</v>
      </c>
      <c r="G388" s="26">
        <v>55</v>
      </c>
      <c r="H388" s="26" t="s">
        <v>24</v>
      </c>
      <c r="I388" s="26" t="s">
        <v>643</v>
      </c>
      <c r="J388" s="26" t="s">
        <v>644</v>
      </c>
      <c r="K388" s="26" t="s">
        <v>366</v>
      </c>
      <c r="L388" s="26" t="s">
        <v>644</v>
      </c>
      <c r="M388" s="26" t="s">
        <v>27</v>
      </c>
      <c r="N388" s="26" t="s">
        <v>28</v>
      </c>
      <c r="O388" s="27">
        <v>26299</v>
      </c>
      <c r="P388" s="26"/>
      <c r="Q388" s="26"/>
      <c r="R388" s="26">
        <v>55</v>
      </c>
      <c r="S388" s="26" t="s">
        <v>29</v>
      </c>
    </row>
    <row r="389" spans="1:19" ht="29.25">
      <c r="A389" s="24">
        <v>48100</v>
      </c>
      <c r="B389" s="24" t="s">
        <v>20</v>
      </c>
      <c r="C389" s="24" t="s">
        <v>30</v>
      </c>
      <c r="D389" s="24" t="s">
        <v>30</v>
      </c>
      <c r="E389" s="24" t="s">
        <v>1458</v>
      </c>
      <c r="F389" s="24" t="s">
        <v>1459</v>
      </c>
      <c r="G389" s="24">
        <v>120</v>
      </c>
      <c r="H389" s="24" t="s">
        <v>24</v>
      </c>
      <c r="I389" s="24" t="s">
        <v>1460</v>
      </c>
      <c r="J389" s="24" t="s">
        <v>694</v>
      </c>
      <c r="K389" s="24" t="s">
        <v>705</v>
      </c>
      <c r="L389" s="24" t="s">
        <v>240</v>
      </c>
      <c r="M389" s="24" t="s">
        <v>27</v>
      </c>
      <c r="N389" s="24" t="s">
        <v>28</v>
      </c>
      <c r="O389" s="25">
        <v>31778</v>
      </c>
      <c r="P389" s="24" t="s">
        <v>1461</v>
      </c>
      <c r="Q389" s="24"/>
      <c r="R389" s="24">
        <v>140</v>
      </c>
      <c r="S389" s="24" t="s">
        <v>29</v>
      </c>
    </row>
    <row r="390" spans="1:19">
      <c r="A390" s="26">
        <v>48101</v>
      </c>
      <c r="B390" s="26" t="s">
        <v>20</v>
      </c>
      <c r="C390" s="26" t="s">
        <v>30</v>
      </c>
      <c r="D390" s="26" t="s">
        <v>21</v>
      </c>
      <c r="E390" s="26" t="s">
        <v>1462</v>
      </c>
      <c r="F390" s="26" t="s">
        <v>1463</v>
      </c>
      <c r="G390" s="26">
        <v>95</v>
      </c>
      <c r="H390" s="26" t="s">
        <v>24</v>
      </c>
      <c r="I390" s="26" t="s">
        <v>1464</v>
      </c>
      <c r="J390" s="26" t="s">
        <v>694</v>
      </c>
      <c r="K390" s="26" t="s">
        <v>580</v>
      </c>
      <c r="L390" s="26" t="s">
        <v>240</v>
      </c>
      <c r="M390" s="26" t="s">
        <v>27</v>
      </c>
      <c r="N390" s="26" t="s">
        <v>28</v>
      </c>
      <c r="O390" s="27">
        <v>31778</v>
      </c>
      <c r="P390" s="26"/>
      <c r="Q390" s="26"/>
      <c r="R390" s="26">
        <v>95</v>
      </c>
      <c r="S390" s="26" t="s">
        <v>29</v>
      </c>
    </row>
    <row r="391" spans="1:19">
      <c r="A391" s="26">
        <v>48102</v>
      </c>
      <c r="B391" s="26" t="s">
        <v>20</v>
      </c>
      <c r="C391" s="26" t="s">
        <v>30</v>
      </c>
      <c r="D391" s="26" t="s">
        <v>21</v>
      </c>
      <c r="E391" s="26" t="s">
        <v>1465</v>
      </c>
      <c r="F391" s="26" t="s">
        <v>1466</v>
      </c>
      <c r="G391" s="26">
        <v>45</v>
      </c>
      <c r="H391" s="26" t="s">
        <v>24</v>
      </c>
      <c r="I391" s="26" t="s">
        <v>1464</v>
      </c>
      <c r="J391" s="26" t="s">
        <v>694</v>
      </c>
      <c r="K391" s="26" t="s">
        <v>366</v>
      </c>
      <c r="L391" s="26" t="s">
        <v>712</v>
      </c>
      <c r="M391" s="26" t="s">
        <v>27</v>
      </c>
      <c r="N391" s="26" t="s">
        <v>28</v>
      </c>
      <c r="O391" s="27">
        <v>31778</v>
      </c>
      <c r="P391" s="26"/>
      <c r="Q391" s="26"/>
      <c r="R391" s="26">
        <v>45</v>
      </c>
      <c r="S391" s="26" t="s">
        <v>29</v>
      </c>
    </row>
    <row r="392" spans="1:19" ht="29.25">
      <c r="A392" s="24">
        <v>14000</v>
      </c>
      <c r="B392" s="24" t="s">
        <v>20</v>
      </c>
      <c r="C392" s="24" t="s">
        <v>21</v>
      </c>
      <c r="D392" s="24" t="s">
        <v>30</v>
      </c>
      <c r="E392" s="24" t="s">
        <v>2483</v>
      </c>
      <c r="F392" s="24" t="s">
        <v>2484</v>
      </c>
      <c r="G392" s="24">
        <v>95.4</v>
      </c>
      <c r="H392" s="24" t="s">
        <v>24</v>
      </c>
      <c r="I392" s="24" t="s">
        <v>643</v>
      </c>
      <c r="J392" s="24" t="s">
        <v>295</v>
      </c>
      <c r="K392" s="24" t="s">
        <v>580</v>
      </c>
      <c r="L392" s="24" t="s">
        <v>240</v>
      </c>
      <c r="M392" s="24" t="s">
        <v>27</v>
      </c>
      <c r="N392" s="24" t="s">
        <v>28</v>
      </c>
      <c r="O392" s="25">
        <v>37285</v>
      </c>
      <c r="P392" s="24"/>
      <c r="Q392" s="24"/>
      <c r="R392" s="24">
        <v>99.8</v>
      </c>
      <c r="S392" s="24" t="s">
        <v>29</v>
      </c>
    </row>
    <row r="393" spans="1:19">
      <c r="A393" s="26">
        <v>14001</v>
      </c>
      <c r="B393" s="26" t="s">
        <v>20</v>
      </c>
      <c r="C393" s="26" t="s">
        <v>21</v>
      </c>
      <c r="D393" s="26" t="s">
        <v>21</v>
      </c>
      <c r="E393" s="26" t="s">
        <v>2485</v>
      </c>
      <c r="F393" s="26" t="s">
        <v>2486</v>
      </c>
      <c r="G393" s="26">
        <v>49.9</v>
      </c>
      <c r="H393" s="26" t="s">
        <v>24</v>
      </c>
      <c r="I393" s="26" t="s">
        <v>643</v>
      </c>
      <c r="J393" s="26" t="s">
        <v>295</v>
      </c>
      <c r="K393" s="26" t="s">
        <v>580</v>
      </c>
      <c r="L393" s="26" t="s">
        <v>240</v>
      </c>
      <c r="M393" s="26" t="s">
        <v>27</v>
      </c>
      <c r="N393" s="26" t="s">
        <v>28</v>
      </c>
      <c r="O393" s="27">
        <v>37285</v>
      </c>
      <c r="P393" s="26"/>
      <c r="Q393" s="26"/>
      <c r="R393" s="26">
        <v>49.9</v>
      </c>
      <c r="S393" s="26" t="s">
        <v>29</v>
      </c>
    </row>
    <row r="394" spans="1:19">
      <c r="A394" s="26">
        <v>14002</v>
      </c>
      <c r="B394" s="26" t="s">
        <v>20</v>
      </c>
      <c r="C394" s="26" t="s">
        <v>21</v>
      </c>
      <c r="D394" s="26" t="s">
        <v>21</v>
      </c>
      <c r="E394" s="26" t="s">
        <v>2487</v>
      </c>
      <c r="F394" s="26" t="s">
        <v>2488</v>
      </c>
      <c r="G394" s="26">
        <v>49.9</v>
      </c>
      <c r="H394" s="26" t="s">
        <v>24</v>
      </c>
      <c r="I394" s="26" t="s">
        <v>643</v>
      </c>
      <c r="J394" s="26" t="s">
        <v>295</v>
      </c>
      <c r="K394" s="26" t="s">
        <v>580</v>
      </c>
      <c r="L394" s="26" t="s">
        <v>240</v>
      </c>
      <c r="M394" s="26" t="s">
        <v>27</v>
      </c>
      <c r="N394" s="26" t="s">
        <v>28</v>
      </c>
      <c r="O394" s="27">
        <v>37285</v>
      </c>
      <c r="P394" s="26"/>
      <c r="Q394" s="26"/>
      <c r="R394" s="26">
        <v>49.9</v>
      </c>
      <c r="S394" s="26" t="s">
        <v>29</v>
      </c>
    </row>
    <row r="395" spans="1:19" ht="29.25">
      <c r="A395" s="28">
        <v>81900</v>
      </c>
      <c r="B395" s="28" t="s">
        <v>20</v>
      </c>
      <c r="C395" s="28" t="s">
        <v>21</v>
      </c>
      <c r="D395" s="28" t="s">
        <v>21</v>
      </c>
      <c r="E395" s="28" t="s">
        <v>2568</v>
      </c>
      <c r="F395" s="28" t="s">
        <v>2569</v>
      </c>
      <c r="G395" s="28">
        <v>48</v>
      </c>
      <c r="H395" s="28" t="s">
        <v>24</v>
      </c>
      <c r="I395" s="28" t="s">
        <v>2570</v>
      </c>
      <c r="J395" s="28" t="s">
        <v>295</v>
      </c>
      <c r="K395" s="28" t="s">
        <v>580</v>
      </c>
      <c r="L395" s="28" t="s">
        <v>240</v>
      </c>
      <c r="M395" s="28" t="s">
        <v>27</v>
      </c>
      <c r="N395" s="28" t="s">
        <v>28</v>
      </c>
      <c r="O395" s="29">
        <v>37627</v>
      </c>
      <c r="P395" s="28"/>
      <c r="Q395" s="28"/>
      <c r="R395" s="28">
        <v>49.9</v>
      </c>
      <c r="S395" s="28" t="s">
        <v>29</v>
      </c>
    </row>
    <row r="396" spans="1:19" ht="29.25">
      <c r="A396" s="24">
        <v>90500</v>
      </c>
      <c r="B396" s="24" t="s">
        <v>20</v>
      </c>
      <c r="C396" s="24" t="s">
        <v>30</v>
      </c>
      <c r="D396" s="24" t="s">
        <v>30</v>
      </c>
      <c r="E396" s="24" t="s">
        <v>3152</v>
      </c>
      <c r="F396" s="24" t="s">
        <v>3153</v>
      </c>
      <c r="G396" s="24">
        <v>16.5</v>
      </c>
      <c r="H396" s="24" t="s">
        <v>5</v>
      </c>
      <c r="I396" s="24" t="s">
        <v>3154</v>
      </c>
      <c r="J396" s="24" t="s">
        <v>781</v>
      </c>
      <c r="K396" s="24" t="s">
        <v>781</v>
      </c>
      <c r="L396" s="24" t="s">
        <v>781</v>
      </c>
      <c r="M396" s="24" t="s">
        <v>38</v>
      </c>
      <c r="N396" s="24" t="s">
        <v>39</v>
      </c>
      <c r="O396" s="24" t="s">
        <v>4687</v>
      </c>
      <c r="P396" s="24"/>
      <c r="Q396" s="24"/>
      <c r="R396" s="24">
        <v>16.5</v>
      </c>
      <c r="S396" s="24" t="s">
        <v>29</v>
      </c>
    </row>
    <row r="397" spans="1:19" ht="29.25">
      <c r="A397" s="26">
        <v>11800</v>
      </c>
      <c r="B397" s="26" t="s">
        <v>20</v>
      </c>
      <c r="C397" s="26" t="s">
        <v>30</v>
      </c>
      <c r="D397" s="26" t="s">
        <v>21</v>
      </c>
      <c r="E397" s="26" t="s">
        <v>3155</v>
      </c>
      <c r="F397" s="26" t="s">
        <v>3156</v>
      </c>
      <c r="G397" s="26">
        <v>6.75</v>
      </c>
      <c r="H397" s="26" t="s">
        <v>5</v>
      </c>
      <c r="I397" s="26" t="s">
        <v>3154</v>
      </c>
      <c r="J397" s="26" t="s">
        <v>781</v>
      </c>
      <c r="K397" s="26" t="s">
        <v>781</v>
      </c>
      <c r="L397" s="26" t="s">
        <v>781</v>
      </c>
      <c r="M397" s="26" t="s">
        <v>38</v>
      </c>
      <c r="N397" s="26" t="s">
        <v>39</v>
      </c>
      <c r="O397" s="26" t="s">
        <v>4687</v>
      </c>
      <c r="P397" s="26"/>
      <c r="Q397" s="26"/>
      <c r="R397" s="26">
        <v>6.75</v>
      </c>
      <c r="S397" s="26" t="s">
        <v>29</v>
      </c>
    </row>
    <row r="398" spans="1:19" ht="29.25">
      <c r="A398" s="26">
        <v>11900</v>
      </c>
      <c r="B398" s="26" t="s">
        <v>20</v>
      </c>
      <c r="C398" s="26" t="s">
        <v>30</v>
      </c>
      <c r="D398" s="26" t="s">
        <v>21</v>
      </c>
      <c r="E398" s="26" t="s">
        <v>3157</v>
      </c>
      <c r="F398" s="26" t="s">
        <v>3158</v>
      </c>
      <c r="G398" s="26">
        <v>6.75</v>
      </c>
      <c r="H398" s="26" t="s">
        <v>5</v>
      </c>
      <c r="I398" s="26" t="s">
        <v>3154</v>
      </c>
      <c r="J398" s="26" t="s">
        <v>781</v>
      </c>
      <c r="K398" s="26" t="s">
        <v>781</v>
      </c>
      <c r="L398" s="26" t="s">
        <v>781</v>
      </c>
      <c r="M398" s="26" t="s">
        <v>38</v>
      </c>
      <c r="N398" s="26" t="s">
        <v>39</v>
      </c>
      <c r="O398" s="26" t="s">
        <v>4687</v>
      </c>
      <c r="P398" s="26"/>
      <c r="Q398" s="26"/>
      <c r="R398" s="26">
        <v>3</v>
      </c>
      <c r="S398" s="26" t="s">
        <v>29</v>
      </c>
    </row>
    <row r="399" spans="1:19" ht="29.25">
      <c r="A399" s="26">
        <v>12000</v>
      </c>
      <c r="B399" s="26" t="s">
        <v>20</v>
      </c>
      <c r="C399" s="26" t="s">
        <v>30</v>
      </c>
      <c r="D399" s="26" t="s">
        <v>21</v>
      </c>
      <c r="E399" s="26" t="s">
        <v>3159</v>
      </c>
      <c r="F399" s="26" t="s">
        <v>3160</v>
      </c>
      <c r="G399" s="26">
        <v>3</v>
      </c>
      <c r="H399" s="26" t="s">
        <v>5</v>
      </c>
      <c r="I399" s="26" t="s">
        <v>3154</v>
      </c>
      <c r="J399" s="26" t="s">
        <v>781</v>
      </c>
      <c r="K399" s="26" t="s">
        <v>781</v>
      </c>
      <c r="L399" s="26" t="s">
        <v>781</v>
      </c>
      <c r="M399" s="26" t="s">
        <v>38</v>
      </c>
      <c r="N399" s="26" t="s">
        <v>39</v>
      </c>
      <c r="O399" s="26" t="s">
        <v>4687</v>
      </c>
      <c r="P399" s="26"/>
      <c r="Q399" s="26"/>
      <c r="R399" s="26">
        <v>6.75</v>
      </c>
      <c r="S399" s="26" t="s">
        <v>29</v>
      </c>
    </row>
    <row r="400" spans="1:19" ht="29.25">
      <c r="A400" s="28">
        <v>108400</v>
      </c>
      <c r="B400" s="28" t="s">
        <v>20</v>
      </c>
      <c r="C400" s="28" t="s">
        <v>21</v>
      </c>
      <c r="D400" s="28" t="s">
        <v>21</v>
      </c>
      <c r="E400" s="28" t="s">
        <v>4463</v>
      </c>
      <c r="F400" s="28" t="s">
        <v>4464</v>
      </c>
      <c r="G400" s="28">
        <v>2.5</v>
      </c>
      <c r="H400" s="28" t="s">
        <v>24</v>
      </c>
      <c r="I400" s="28" t="s">
        <v>4465</v>
      </c>
      <c r="J400" s="28" t="s">
        <v>1025</v>
      </c>
      <c r="K400" s="28" t="s">
        <v>2138</v>
      </c>
      <c r="L400" s="28" t="s">
        <v>1026</v>
      </c>
      <c r="M400" s="28" t="s">
        <v>27</v>
      </c>
      <c r="N400" s="28" t="s">
        <v>28</v>
      </c>
      <c r="O400" s="29">
        <v>41365</v>
      </c>
      <c r="P400" s="28"/>
      <c r="Q400" s="28"/>
      <c r="R400" s="28">
        <v>2.5</v>
      </c>
      <c r="S400" s="28" t="s">
        <v>29</v>
      </c>
    </row>
    <row r="401" spans="1:19" ht="29.25">
      <c r="A401" s="24">
        <v>14400</v>
      </c>
      <c r="B401" s="24" t="s">
        <v>20</v>
      </c>
      <c r="C401" s="24" t="s">
        <v>21</v>
      </c>
      <c r="D401" s="24" t="s">
        <v>30</v>
      </c>
      <c r="E401" s="24" t="s">
        <v>2442</v>
      </c>
      <c r="F401" s="24" t="s">
        <v>2443</v>
      </c>
      <c r="G401" s="24">
        <v>98.46</v>
      </c>
      <c r="H401" s="24" t="s">
        <v>24</v>
      </c>
      <c r="I401" s="24" t="s">
        <v>2297</v>
      </c>
      <c r="J401" s="24" t="s">
        <v>295</v>
      </c>
      <c r="K401" s="24" t="s">
        <v>580</v>
      </c>
      <c r="L401" s="24" t="s">
        <v>240</v>
      </c>
      <c r="M401" s="24" t="s">
        <v>27</v>
      </c>
      <c r="N401" s="24" t="s">
        <v>28</v>
      </c>
      <c r="O401" s="25">
        <v>37130</v>
      </c>
      <c r="P401" s="24"/>
      <c r="Q401" s="24"/>
      <c r="R401" s="24">
        <v>96</v>
      </c>
      <c r="S401" s="24" t="s">
        <v>29</v>
      </c>
    </row>
    <row r="402" spans="1:19">
      <c r="A402" s="26">
        <v>14401</v>
      </c>
      <c r="B402" s="26" t="s">
        <v>20</v>
      </c>
      <c r="C402" s="26" t="s">
        <v>21</v>
      </c>
      <c r="D402" s="26" t="s">
        <v>21</v>
      </c>
      <c r="E402" s="26" t="s">
        <v>2295</v>
      </c>
      <c r="F402" s="26" t="s">
        <v>2296</v>
      </c>
      <c r="G402" s="26">
        <v>48</v>
      </c>
      <c r="H402" s="26" t="s">
        <v>24</v>
      </c>
      <c r="I402" s="26" t="s">
        <v>2297</v>
      </c>
      <c r="J402" s="26" t="s">
        <v>295</v>
      </c>
      <c r="K402" s="26" t="s">
        <v>580</v>
      </c>
      <c r="L402" s="26" t="s">
        <v>240</v>
      </c>
      <c r="M402" s="26" t="s">
        <v>27</v>
      </c>
      <c r="N402" s="26" t="s">
        <v>28</v>
      </c>
      <c r="O402" s="27">
        <v>36892</v>
      </c>
      <c r="P402" s="26"/>
      <c r="Q402" s="26"/>
      <c r="R402" s="26">
        <v>48</v>
      </c>
      <c r="S402" s="26" t="s">
        <v>29</v>
      </c>
    </row>
    <row r="403" spans="1:19">
      <c r="A403" s="26">
        <v>14402</v>
      </c>
      <c r="B403" s="26" t="s">
        <v>20</v>
      </c>
      <c r="C403" s="26" t="s">
        <v>21</v>
      </c>
      <c r="D403" s="26" t="s">
        <v>21</v>
      </c>
      <c r="E403" s="26" t="s">
        <v>2298</v>
      </c>
      <c r="F403" s="26" t="s">
        <v>2299</v>
      </c>
      <c r="G403" s="26">
        <v>48</v>
      </c>
      <c r="H403" s="26" t="s">
        <v>24</v>
      </c>
      <c r="I403" s="26" t="s">
        <v>2297</v>
      </c>
      <c r="J403" s="26" t="s">
        <v>295</v>
      </c>
      <c r="K403" s="26" t="s">
        <v>580</v>
      </c>
      <c r="L403" s="26" t="s">
        <v>240</v>
      </c>
      <c r="M403" s="26" t="s">
        <v>27</v>
      </c>
      <c r="N403" s="26" t="s">
        <v>28</v>
      </c>
      <c r="O403" s="27">
        <v>36892</v>
      </c>
      <c r="P403" s="26"/>
      <c r="Q403" s="26"/>
      <c r="R403" s="26">
        <v>48</v>
      </c>
      <c r="S403" s="26" t="s">
        <v>29</v>
      </c>
    </row>
    <row r="404" spans="1:19" ht="29.25">
      <c r="A404" s="28">
        <v>111900</v>
      </c>
      <c r="B404" s="28" t="s">
        <v>20</v>
      </c>
      <c r="C404" s="28" t="s">
        <v>21</v>
      </c>
      <c r="D404" s="28" t="s">
        <v>21</v>
      </c>
      <c r="E404" s="28" t="s">
        <v>4729</v>
      </c>
      <c r="F404" s="28" t="s">
        <v>4730</v>
      </c>
      <c r="G404" s="28">
        <v>20</v>
      </c>
      <c r="H404" s="28" t="s">
        <v>24</v>
      </c>
      <c r="I404" s="28" t="s">
        <v>3037</v>
      </c>
      <c r="J404" s="28" t="s">
        <v>1025</v>
      </c>
      <c r="K404" s="28" t="s">
        <v>2138</v>
      </c>
      <c r="L404" s="28" t="s">
        <v>1026</v>
      </c>
      <c r="M404" s="28" t="s">
        <v>3325</v>
      </c>
      <c r="N404" s="28" t="s">
        <v>28</v>
      </c>
      <c r="O404" s="29">
        <v>41449</v>
      </c>
      <c r="P404" s="28"/>
      <c r="Q404" s="28"/>
      <c r="R404" s="28">
        <v>20</v>
      </c>
      <c r="S404" s="28" t="s">
        <v>29</v>
      </c>
    </row>
    <row r="405" spans="1:19">
      <c r="A405" s="28">
        <v>96900</v>
      </c>
      <c r="B405" s="28" t="s">
        <v>20</v>
      </c>
      <c r="C405" s="28" t="s">
        <v>21</v>
      </c>
      <c r="D405" s="28" t="s">
        <v>21</v>
      </c>
      <c r="E405" s="28" t="s">
        <v>2877</v>
      </c>
      <c r="F405" s="28" t="s">
        <v>2878</v>
      </c>
      <c r="G405" s="28">
        <v>590</v>
      </c>
      <c r="H405" s="28" t="s">
        <v>24</v>
      </c>
      <c r="I405" s="28" t="s">
        <v>4</v>
      </c>
      <c r="J405" s="28" t="s">
        <v>365</v>
      </c>
      <c r="K405" s="28" t="s">
        <v>705</v>
      </c>
      <c r="L405" s="28" t="s">
        <v>240</v>
      </c>
      <c r="M405" s="28" t="s">
        <v>27</v>
      </c>
      <c r="N405" s="28" t="s">
        <v>28</v>
      </c>
      <c r="O405" s="29">
        <v>39817</v>
      </c>
      <c r="P405" s="28"/>
      <c r="Q405" s="28"/>
      <c r="R405" s="28">
        <v>619</v>
      </c>
      <c r="S405" s="28" t="s">
        <v>29</v>
      </c>
    </row>
    <row r="406" spans="1:19">
      <c r="A406" s="24">
        <v>110600</v>
      </c>
      <c r="B406" s="24" t="s">
        <v>20</v>
      </c>
      <c r="C406" s="24" t="s">
        <v>21</v>
      </c>
      <c r="D406" s="24" t="s">
        <v>30</v>
      </c>
      <c r="E406" s="24" t="s">
        <v>4731</v>
      </c>
      <c r="F406" s="24" t="s">
        <v>4732</v>
      </c>
      <c r="G406" s="24">
        <v>250</v>
      </c>
      <c r="H406" s="24" t="s">
        <v>24</v>
      </c>
      <c r="I406" s="24" t="s">
        <v>4733</v>
      </c>
      <c r="J406" s="24" t="s">
        <v>1025</v>
      </c>
      <c r="K406" s="24" t="s">
        <v>366</v>
      </c>
      <c r="L406" s="24" t="s">
        <v>1026</v>
      </c>
      <c r="M406" s="24" t="s">
        <v>27</v>
      </c>
      <c r="N406" s="24" t="s">
        <v>1420</v>
      </c>
      <c r="O406" s="25">
        <v>41605</v>
      </c>
      <c r="P406" s="24"/>
      <c r="Q406" s="24"/>
      <c r="R406" s="24">
        <v>250</v>
      </c>
      <c r="S406" s="24" t="s">
        <v>29</v>
      </c>
    </row>
    <row r="407" spans="1:19">
      <c r="A407" s="26">
        <v>110601</v>
      </c>
      <c r="B407" s="26" t="s">
        <v>87</v>
      </c>
      <c r="C407" s="26" t="s">
        <v>21</v>
      </c>
      <c r="D407" s="26" t="s">
        <v>21</v>
      </c>
      <c r="E407" s="26" t="s">
        <v>4734</v>
      </c>
      <c r="F407" s="26" t="s">
        <v>4735</v>
      </c>
      <c r="G407" s="26">
        <v>140</v>
      </c>
      <c r="H407" s="26" t="s">
        <v>24</v>
      </c>
      <c r="I407" s="26" t="s">
        <v>4733</v>
      </c>
      <c r="J407" s="26" t="s">
        <v>1025</v>
      </c>
      <c r="K407" s="26" t="s">
        <v>366</v>
      </c>
      <c r="L407" s="26" t="s">
        <v>1026</v>
      </c>
      <c r="M407" s="26" t="s">
        <v>27</v>
      </c>
      <c r="N407" s="26" t="s">
        <v>1420</v>
      </c>
      <c r="O407" s="27">
        <v>41605</v>
      </c>
      <c r="P407" s="26"/>
      <c r="Q407" s="26"/>
      <c r="R407" s="26">
        <v>125</v>
      </c>
      <c r="S407" s="26" t="s">
        <v>29</v>
      </c>
    </row>
    <row r="408" spans="1:19">
      <c r="A408" s="26">
        <v>110602</v>
      </c>
      <c r="B408" s="26" t="s">
        <v>87</v>
      </c>
      <c r="C408" s="26" t="s">
        <v>21</v>
      </c>
      <c r="D408" s="26" t="s">
        <v>21</v>
      </c>
      <c r="E408" s="26" t="s">
        <v>4736</v>
      </c>
      <c r="F408" s="26" t="s">
        <v>4737</v>
      </c>
      <c r="G408" s="26">
        <v>140</v>
      </c>
      <c r="H408" s="26" t="s">
        <v>24</v>
      </c>
      <c r="I408" s="26" t="s">
        <v>4733</v>
      </c>
      <c r="J408" s="26" t="s">
        <v>1025</v>
      </c>
      <c r="K408" s="26" t="s">
        <v>366</v>
      </c>
      <c r="L408" s="26" t="s">
        <v>1026</v>
      </c>
      <c r="M408" s="26" t="s">
        <v>27</v>
      </c>
      <c r="N408" s="26" t="s">
        <v>1420</v>
      </c>
      <c r="O408" s="27">
        <v>41605</v>
      </c>
      <c r="P408" s="26"/>
      <c r="Q408" s="26"/>
      <c r="R408" s="26">
        <v>125</v>
      </c>
      <c r="S408" s="26" t="s">
        <v>29</v>
      </c>
    </row>
    <row r="409" spans="1:19">
      <c r="A409" s="28">
        <v>12300</v>
      </c>
      <c r="B409" s="28" t="s">
        <v>20</v>
      </c>
      <c r="C409" s="28" t="s">
        <v>21</v>
      </c>
      <c r="D409" s="28" t="s">
        <v>21</v>
      </c>
      <c r="E409" s="28" t="s">
        <v>857</v>
      </c>
      <c r="F409" s="28" t="s">
        <v>858</v>
      </c>
      <c r="G409" s="28">
        <v>38.85</v>
      </c>
      <c r="H409" s="28" t="s">
        <v>24</v>
      </c>
      <c r="I409" s="28" t="s">
        <v>859</v>
      </c>
      <c r="J409" s="28" t="s">
        <v>644</v>
      </c>
      <c r="K409" s="28" t="s">
        <v>366</v>
      </c>
      <c r="L409" s="28" t="s">
        <v>644</v>
      </c>
      <c r="M409" s="28" t="s">
        <v>27</v>
      </c>
      <c r="N409" s="28" t="s">
        <v>28</v>
      </c>
      <c r="O409" s="29">
        <v>30317</v>
      </c>
      <c r="P409" s="28"/>
      <c r="Q409" s="28"/>
      <c r="R409" s="28">
        <v>55</v>
      </c>
      <c r="S409" s="28" t="s">
        <v>29</v>
      </c>
    </row>
    <row r="410" spans="1:19">
      <c r="A410" s="28">
        <v>12400</v>
      </c>
      <c r="B410" s="28" t="s">
        <v>20</v>
      </c>
      <c r="C410" s="28" t="s">
        <v>21</v>
      </c>
      <c r="D410" s="28" t="s">
        <v>21</v>
      </c>
      <c r="E410" s="28" t="s">
        <v>860</v>
      </c>
      <c r="F410" s="28" t="s">
        <v>861</v>
      </c>
      <c r="G410" s="28">
        <v>34</v>
      </c>
      <c r="H410" s="28" t="s">
        <v>24</v>
      </c>
      <c r="I410" s="28" t="s">
        <v>859</v>
      </c>
      <c r="J410" s="28" t="s">
        <v>644</v>
      </c>
      <c r="K410" s="28" t="s">
        <v>366</v>
      </c>
      <c r="L410" s="28" t="s">
        <v>644</v>
      </c>
      <c r="M410" s="28" t="s">
        <v>27</v>
      </c>
      <c r="N410" s="28" t="s">
        <v>28</v>
      </c>
      <c r="O410" s="29">
        <v>30317</v>
      </c>
      <c r="P410" s="28"/>
      <c r="Q410" s="28"/>
      <c r="R410" s="28">
        <v>55</v>
      </c>
      <c r="S410" s="28" t="s">
        <v>29</v>
      </c>
    </row>
    <row r="411" spans="1:19">
      <c r="A411" s="28">
        <v>12500</v>
      </c>
      <c r="B411" s="28" t="s">
        <v>20</v>
      </c>
      <c r="C411" s="28" t="s">
        <v>21</v>
      </c>
      <c r="D411" s="28" t="s">
        <v>21</v>
      </c>
      <c r="E411" s="28" t="s">
        <v>1128</v>
      </c>
      <c r="F411" s="28" t="s">
        <v>1129</v>
      </c>
      <c r="G411" s="28">
        <v>42.42</v>
      </c>
      <c r="H411" s="28" t="s">
        <v>24</v>
      </c>
      <c r="I411" s="28" t="s">
        <v>859</v>
      </c>
      <c r="J411" s="28" t="s">
        <v>644</v>
      </c>
      <c r="K411" s="28" t="s">
        <v>366</v>
      </c>
      <c r="L411" s="28" t="s">
        <v>644</v>
      </c>
      <c r="M411" s="28" t="s">
        <v>27</v>
      </c>
      <c r="N411" s="28" t="s">
        <v>28</v>
      </c>
      <c r="O411" s="29">
        <v>31048</v>
      </c>
      <c r="P411" s="28"/>
      <c r="Q411" s="28"/>
      <c r="R411" s="28">
        <v>55</v>
      </c>
      <c r="S411" s="28" t="s">
        <v>29</v>
      </c>
    </row>
    <row r="412" spans="1:19">
      <c r="A412" s="28">
        <v>12600</v>
      </c>
      <c r="B412" s="28" t="s">
        <v>20</v>
      </c>
      <c r="C412" s="28" t="s">
        <v>21</v>
      </c>
      <c r="D412" s="28" t="s">
        <v>21</v>
      </c>
      <c r="E412" s="28" t="s">
        <v>1275</v>
      </c>
      <c r="F412" s="28" t="s">
        <v>1276</v>
      </c>
      <c r="G412" s="28">
        <v>52.73</v>
      </c>
      <c r="H412" s="28" t="s">
        <v>24</v>
      </c>
      <c r="I412" s="28" t="s">
        <v>859</v>
      </c>
      <c r="J412" s="28" t="s">
        <v>644</v>
      </c>
      <c r="K412" s="28" t="s">
        <v>366</v>
      </c>
      <c r="L412" s="28" t="s">
        <v>644</v>
      </c>
      <c r="M412" s="28" t="s">
        <v>27</v>
      </c>
      <c r="N412" s="28" t="s">
        <v>28</v>
      </c>
      <c r="O412" s="29">
        <v>31413</v>
      </c>
      <c r="P412" s="28"/>
      <c r="Q412" s="28"/>
      <c r="R412" s="28">
        <v>55</v>
      </c>
      <c r="S412" s="28" t="s">
        <v>29</v>
      </c>
    </row>
    <row r="413" spans="1:19">
      <c r="A413" s="28">
        <v>12700</v>
      </c>
      <c r="B413" s="28" t="s">
        <v>20</v>
      </c>
      <c r="C413" s="28" t="s">
        <v>21</v>
      </c>
      <c r="D413" s="28" t="s">
        <v>21</v>
      </c>
      <c r="E413" s="28" t="s">
        <v>681</v>
      </c>
      <c r="F413" s="28" t="s">
        <v>682</v>
      </c>
      <c r="G413" s="28">
        <v>74.400000000000006</v>
      </c>
      <c r="H413" s="28" t="s">
        <v>24</v>
      </c>
      <c r="I413" s="28" t="s">
        <v>643</v>
      </c>
      <c r="J413" s="28" t="s">
        <v>644</v>
      </c>
      <c r="K413" s="28" t="s">
        <v>366</v>
      </c>
      <c r="L413" s="28" t="s">
        <v>644</v>
      </c>
      <c r="M413" s="28" t="s">
        <v>27</v>
      </c>
      <c r="N413" s="28" t="s">
        <v>28</v>
      </c>
      <c r="O413" s="29">
        <v>27395</v>
      </c>
      <c r="P413" s="28"/>
      <c r="Q413" s="28"/>
      <c r="R413" s="28">
        <v>110</v>
      </c>
      <c r="S413" s="28" t="s">
        <v>29</v>
      </c>
    </row>
    <row r="414" spans="1:19">
      <c r="A414" s="28">
        <v>12800</v>
      </c>
      <c r="B414" s="28" t="s">
        <v>20</v>
      </c>
      <c r="C414" s="28" t="s">
        <v>21</v>
      </c>
      <c r="D414" s="28" t="s">
        <v>21</v>
      </c>
      <c r="E414" s="28" t="s">
        <v>738</v>
      </c>
      <c r="F414" s="28" t="s">
        <v>739</v>
      </c>
      <c r="G414" s="28">
        <v>57</v>
      </c>
      <c r="H414" s="28" t="s">
        <v>24</v>
      </c>
      <c r="I414" s="28" t="s">
        <v>643</v>
      </c>
      <c r="J414" s="28" t="s">
        <v>644</v>
      </c>
      <c r="K414" s="28" t="s">
        <v>366</v>
      </c>
      <c r="L414" s="28" t="s">
        <v>644</v>
      </c>
      <c r="M414" s="28" t="s">
        <v>27</v>
      </c>
      <c r="N414" s="28" t="s">
        <v>28</v>
      </c>
      <c r="O414" s="29">
        <v>28856</v>
      </c>
      <c r="P414" s="28"/>
      <c r="Q414" s="28"/>
      <c r="R414" s="28">
        <v>66</v>
      </c>
      <c r="S414" s="28" t="s">
        <v>29</v>
      </c>
    </row>
    <row r="415" spans="1:19">
      <c r="A415" s="28">
        <v>12900</v>
      </c>
      <c r="B415" s="28" t="s">
        <v>20</v>
      </c>
      <c r="C415" s="28" t="s">
        <v>30</v>
      </c>
      <c r="D415" s="28" t="s">
        <v>21</v>
      </c>
      <c r="E415" s="28" t="s">
        <v>751</v>
      </c>
      <c r="F415" s="28" t="s">
        <v>752</v>
      </c>
      <c r="G415" s="28">
        <v>95</v>
      </c>
      <c r="H415" s="28" t="s">
        <v>24</v>
      </c>
      <c r="I415" s="28" t="s">
        <v>643</v>
      </c>
      <c r="J415" s="28" t="s">
        <v>644</v>
      </c>
      <c r="K415" s="28" t="s">
        <v>366</v>
      </c>
      <c r="L415" s="28" t="s">
        <v>644</v>
      </c>
      <c r="M415" s="28" t="s">
        <v>27</v>
      </c>
      <c r="N415" s="28" t="s">
        <v>28</v>
      </c>
      <c r="O415" s="29">
        <v>29221</v>
      </c>
      <c r="P415" s="28"/>
      <c r="Q415" s="28"/>
      <c r="R415" s="28">
        <v>102</v>
      </c>
      <c r="S415" s="28" t="s">
        <v>29</v>
      </c>
    </row>
    <row r="416" spans="1:19">
      <c r="A416" s="28">
        <v>13000</v>
      </c>
      <c r="B416" s="28" t="s">
        <v>20</v>
      </c>
      <c r="C416" s="28" t="s">
        <v>30</v>
      </c>
      <c r="D416" s="28" t="s">
        <v>21</v>
      </c>
      <c r="E416" s="28" t="s">
        <v>753</v>
      </c>
      <c r="F416" s="28" t="s">
        <v>754</v>
      </c>
      <c r="G416" s="28">
        <v>70</v>
      </c>
      <c r="H416" s="28" t="s">
        <v>24</v>
      </c>
      <c r="I416" s="28" t="s">
        <v>643</v>
      </c>
      <c r="J416" s="28" t="s">
        <v>644</v>
      </c>
      <c r="K416" s="28" t="s">
        <v>366</v>
      </c>
      <c r="L416" s="28" t="s">
        <v>644</v>
      </c>
      <c r="M416" s="28" t="s">
        <v>27</v>
      </c>
      <c r="N416" s="28" t="s">
        <v>28</v>
      </c>
      <c r="O416" s="29">
        <v>29221</v>
      </c>
      <c r="P416" s="28"/>
      <c r="Q416" s="28"/>
      <c r="R416" s="28">
        <v>114</v>
      </c>
      <c r="S416" s="28" t="s">
        <v>29</v>
      </c>
    </row>
    <row r="417" spans="1:19">
      <c r="A417" s="28">
        <v>13100</v>
      </c>
      <c r="B417" s="28" t="s">
        <v>20</v>
      </c>
      <c r="C417" s="28" t="s">
        <v>30</v>
      </c>
      <c r="D417" s="28" t="s">
        <v>21</v>
      </c>
      <c r="E417" s="28" t="s">
        <v>1130</v>
      </c>
      <c r="F417" s="28" t="s">
        <v>1131</v>
      </c>
      <c r="G417" s="28">
        <v>85</v>
      </c>
      <c r="H417" s="28" t="s">
        <v>24</v>
      </c>
      <c r="I417" s="28" t="s">
        <v>643</v>
      </c>
      <c r="J417" s="28" t="s">
        <v>644</v>
      </c>
      <c r="K417" s="28" t="s">
        <v>366</v>
      </c>
      <c r="L417" s="28" t="s">
        <v>644</v>
      </c>
      <c r="M417" s="28" t="s">
        <v>27</v>
      </c>
      <c r="N417" s="28" t="s">
        <v>28</v>
      </c>
      <c r="O417" s="29">
        <v>31048</v>
      </c>
      <c r="P417" s="28"/>
      <c r="Q417" s="28"/>
      <c r="R417" s="28">
        <v>119</v>
      </c>
      <c r="S417" s="28" t="s">
        <v>29</v>
      </c>
    </row>
    <row r="418" spans="1:19">
      <c r="A418" s="28">
        <v>13200</v>
      </c>
      <c r="B418" s="28" t="s">
        <v>20</v>
      </c>
      <c r="C418" s="28" t="s">
        <v>21</v>
      </c>
      <c r="D418" s="28" t="s">
        <v>21</v>
      </c>
      <c r="E418" s="28" t="s">
        <v>795</v>
      </c>
      <c r="F418" s="28" t="s">
        <v>796</v>
      </c>
      <c r="G418" s="28">
        <v>60</v>
      </c>
      <c r="H418" s="28" t="s">
        <v>24</v>
      </c>
      <c r="I418" s="28" t="s">
        <v>643</v>
      </c>
      <c r="J418" s="28" t="s">
        <v>644</v>
      </c>
      <c r="K418" s="28" t="s">
        <v>366</v>
      </c>
      <c r="L418" s="28" t="s">
        <v>644</v>
      </c>
      <c r="M418" s="28" t="s">
        <v>27</v>
      </c>
      <c r="N418" s="28" t="s">
        <v>28</v>
      </c>
      <c r="O418" s="29">
        <v>29952</v>
      </c>
      <c r="P418" s="28"/>
      <c r="Q418" s="28"/>
      <c r="R418" s="28">
        <v>65</v>
      </c>
      <c r="S418" s="28" t="s">
        <v>29</v>
      </c>
    </row>
    <row r="419" spans="1:19">
      <c r="A419" s="28">
        <v>13300</v>
      </c>
      <c r="B419" s="28" t="s">
        <v>20</v>
      </c>
      <c r="C419" s="28" t="s">
        <v>21</v>
      </c>
      <c r="D419" s="28" t="s">
        <v>21</v>
      </c>
      <c r="E419" s="28" t="s">
        <v>862</v>
      </c>
      <c r="F419" s="28" t="s">
        <v>863</v>
      </c>
      <c r="G419" s="28">
        <v>72</v>
      </c>
      <c r="H419" s="28" t="s">
        <v>24</v>
      </c>
      <c r="I419" s="28" t="s">
        <v>643</v>
      </c>
      <c r="J419" s="28" t="s">
        <v>644</v>
      </c>
      <c r="K419" s="28" t="s">
        <v>366</v>
      </c>
      <c r="L419" s="28" t="s">
        <v>644</v>
      </c>
      <c r="M419" s="28" t="s">
        <v>27</v>
      </c>
      <c r="N419" s="28" t="s">
        <v>28</v>
      </c>
      <c r="O419" s="29">
        <v>30317</v>
      </c>
      <c r="P419" s="28"/>
      <c r="Q419" s="28"/>
      <c r="R419" s="28">
        <v>119</v>
      </c>
      <c r="S419" s="28" t="s">
        <v>29</v>
      </c>
    </row>
    <row r="420" spans="1:19">
      <c r="A420" s="28">
        <v>13400</v>
      </c>
      <c r="B420" s="28" t="s">
        <v>20</v>
      </c>
      <c r="C420" s="28" t="s">
        <v>21</v>
      </c>
      <c r="D420" s="28" t="s">
        <v>21</v>
      </c>
      <c r="E420" s="28" t="s">
        <v>1132</v>
      </c>
      <c r="F420" s="28" t="s">
        <v>1133</v>
      </c>
      <c r="G420" s="28">
        <v>62</v>
      </c>
      <c r="H420" s="28" t="s">
        <v>24</v>
      </c>
      <c r="I420" s="28" t="s">
        <v>643</v>
      </c>
      <c r="J420" s="28" t="s">
        <v>644</v>
      </c>
      <c r="K420" s="28" t="s">
        <v>366</v>
      </c>
      <c r="L420" s="28" t="s">
        <v>644</v>
      </c>
      <c r="M420" s="28" t="s">
        <v>27</v>
      </c>
      <c r="N420" s="28" t="s">
        <v>28</v>
      </c>
      <c r="O420" s="29">
        <v>31048</v>
      </c>
      <c r="P420" s="28"/>
      <c r="Q420" s="28"/>
      <c r="R420" s="28">
        <v>119</v>
      </c>
      <c r="S420" s="28" t="s">
        <v>29</v>
      </c>
    </row>
    <row r="421" spans="1:19">
      <c r="A421" s="28">
        <v>13700</v>
      </c>
      <c r="B421" s="28" t="s">
        <v>20</v>
      </c>
      <c r="C421" s="28" t="s">
        <v>21</v>
      </c>
      <c r="D421" s="28" t="s">
        <v>21</v>
      </c>
      <c r="E421" s="28" t="s">
        <v>1467</v>
      </c>
      <c r="F421" s="28" t="s">
        <v>1468</v>
      </c>
      <c r="G421" s="28">
        <v>24.75</v>
      </c>
      <c r="H421" s="28" t="s">
        <v>24</v>
      </c>
      <c r="I421" s="28" t="s">
        <v>773</v>
      </c>
      <c r="J421" s="28" t="s">
        <v>295</v>
      </c>
      <c r="K421" s="28" t="s">
        <v>580</v>
      </c>
      <c r="L421" s="28" t="s">
        <v>240</v>
      </c>
      <c r="M421" s="28" t="s">
        <v>27</v>
      </c>
      <c r="N421" s="28" t="s">
        <v>774</v>
      </c>
      <c r="O421" s="29">
        <v>31778</v>
      </c>
      <c r="P421" s="28"/>
      <c r="Q421" s="28"/>
      <c r="R421" s="28">
        <v>24.75</v>
      </c>
      <c r="S421" s="28" t="s">
        <v>29</v>
      </c>
    </row>
    <row r="422" spans="1:19">
      <c r="A422" s="28">
        <v>13800</v>
      </c>
      <c r="B422" s="28" t="s">
        <v>20</v>
      </c>
      <c r="C422" s="28" t="s">
        <v>21</v>
      </c>
      <c r="D422" s="28" t="s">
        <v>21</v>
      </c>
      <c r="E422" s="28" t="s">
        <v>1277</v>
      </c>
      <c r="F422" s="28" t="s">
        <v>1278</v>
      </c>
      <c r="G422" s="28">
        <v>24.75</v>
      </c>
      <c r="H422" s="28" t="s">
        <v>24</v>
      </c>
      <c r="I422" s="28" t="s">
        <v>773</v>
      </c>
      <c r="J422" s="28" t="s">
        <v>295</v>
      </c>
      <c r="K422" s="28" t="s">
        <v>580</v>
      </c>
      <c r="L422" s="28" t="s">
        <v>240</v>
      </c>
      <c r="M422" s="28" t="s">
        <v>27</v>
      </c>
      <c r="N422" s="28" t="s">
        <v>774</v>
      </c>
      <c r="O422" s="29">
        <v>31413</v>
      </c>
      <c r="P422" s="28"/>
      <c r="Q422" s="28"/>
      <c r="R422" s="28">
        <v>24.75</v>
      </c>
      <c r="S422" s="28" t="s">
        <v>29</v>
      </c>
    </row>
    <row r="423" spans="1:19">
      <c r="A423" s="28">
        <v>105000</v>
      </c>
      <c r="B423" s="28" t="s">
        <v>20</v>
      </c>
      <c r="C423" s="28" t="s">
        <v>21</v>
      </c>
      <c r="D423" s="28" t="s">
        <v>21</v>
      </c>
      <c r="E423" s="28" t="s">
        <v>4466</v>
      </c>
      <c r="F423" s="28" t="s">
        <v>4467</v>
      </c>
      <c r="G423" s="28">
        <v>19</v>
      </c>
      <c r="H423" s="28" t="s">
        <v>24</v>
      </c>
      <c r="I423" s="28" t="s">
        <v>3334</v>
      </c>
      <c r="J423" s="28" t="s">
        <v>1025</v>
      </c>
      <c r="K423" s="28" t="s">
        <v>2138</v>
      </c>
      <c r="L423" s="28" t="s">
        <v>1026</v>
      </c>
      <c r="M423" s="28" t="s">
        <v>27</v>
      </c>
      <c r="N423" s="28" t="s">
        <v>28</v>
      </c>
      <c r="O423" s="29">
        <v>41115</v>
      </c>
      <c r="P423" s="28"/>
      <c r="Q423" s="28" t="s">
        <v>4130</v>
      </c>
      <c r="R423" s="28">
        <v>19</v>
      </c>
      <c r="S423" s="28" t="s">
        <v>29</v>
      </c>
    </row>
    <row r="424" spans="1:19">
      <c r="A424" s="28">
        <v>13900</v>
      </c>
      <c r="B424" s="28" t="s">
        <v>20</v>
      </c>
      <c r="C424" s="28" t="s">
        <v>21</v>
      </c>
      <c r="D424" s="28" t="s">
        <v>21</v>
      </c>
      <c r="E424" s="28" t="s">
        <v>2489</v>
      </c>
      <c r="F424" s="28" t="s">
        <v>2490</v>
      </c>
      <c r="G424" s="28">
        <v>46.2</v>
      </c>
      <c r="H424" s="28" t="s">
        <v>24</v>
      </c>
      <c r="I424" s="28" t="s">
        <v>643</v>
      </c>
      <c r="J424" s="28" t="s">
        <v>295</v>
      </c>
      <c r="K424" s="28" t="s">
        <v>580</v>
      </c>
      <c r="L424" s="28" t="s">
        <v>240</v>
      </c>
      <c r="M424" s="28" t="s">
        <v>27</v>
      </c>
      <c r="N424" s="28" t="s">
        <v>28</v>
      </c>
      <c r="O424" s="29">
        <v>37315</v>
      </c>
      <c r="P424" s="28"/>
      <c r="Q424" s="28"/>
      <c r="R424" s="28">
        <v>49.9</v>
      </c>
      <c r="S424" s="28" t="s">
        <v>29</v>
      </c>
    </row>
    <row r="425" spans="1:19">
      <c r="A425" s="28">
        <v>14100</v>
      </c>
      <c r="B425" s="28" t="s">
        <v>20</v>
      </c>
      <c r="C425" s="28" t="s">
        <v>21</v>
      </c>
      <c r="D425" s="28" t="s">
        <v>21</v>
      </c>
      <c r="E425" s="28" t="s">
        <v>687</v>
      </c>
      <c r="F425" s="28" t="s">
        <v>688</v>
      </c>
      <c r="G425" s="28">
        <v>22.3</v>
      </c>
      <c r="H425" s="28" t="s">
        <v>5</v>
      </c>
      <c r="I425" s="28" t="s">
        <v>689</v>
      </c>
      <c r="J425" s="28" t="s">
        <v>295</v>
      </c>
      <c r="K425" s="28" t="s">
        <v>580</v>
      </c>
      <c r="L425" s="28" t="s">
        <v>240</v>
      </c>
      <c r="M425" s="28" t="s">
        <v>38</v>
      </c>
      <c r="N425" s="28" t="s">
        <v>486</v>
      </c>
      <c r="O425" s="29">
        <v>27760</v>
      </c>
      <c r="P425" s="28"/>
      <c r="Q425" s="28"/>
      <c r="R425" s="28">
        <v>30.58</v>
      </c>
      <c r="S425" s="28" t="s">
        <v>29</v>
      </c>
    </row>
    <row r="426" spans="1:19">
      <c r="A426" s="28">
        <v>14200</v>
      </c>
      <c r="B426" s="28" t="s">
        <v>20</v>
      </c>
      <c r="C426" s="28" t="s">
        <v>21</v>
      </c>
      <c r="D426" s="28" t="s">
        <v>21</v>
      </c>
      <c r="E426" s="28" t="s">
        <v>690</v>
      </c>
      <c r="F426" s="28" t="s">
        <v>691</v>
      </c>
      <c r="G426" s="28">
        <v>22.3</v>
      </c>
      <c r="H426" s="28" t="s">
        <v>5</v>
      </c>
      <c r="I426" s="28" t="s">
        <v>689</v>
      </c>
      <c r="J426" s="28" t="s">
        <v>295</v>
      </c>
      <c r="K426" s="28" t="s">
        <v>580</v>
      </c>
      <c r="L426" s="28" t="s">
        <v>240</v>
      </c>
      <c r="M426" s="28" t="s">
        <v>38</v>
      </c>
      <c r="N426" s="28" t="s">
        <v>486</v>
      </c>
      <c r="O426" s="29">
        <v>27760</v>
      </c>
      <c r="P426" s="28"/>
      <c r="Q426" s="28"/>
      <c r="R426" s="28">
        <v>30.58</v>
      </c>
      <c r="S426" s="28" t="s">
        <v>29</v>
      </c>
    </row>
    <row r="427" spans="1:19">
      <c r="A427" s="28">
        <v>89000</v>
      </c>
      <c r="B427" s="28" t="s">
        <v>20</v>
      </c>
      <c r="C427" s="28" t="s">
        <v>21</v>
      </c>
      <c r="D427" s="28" t="s">
        <v>21</v>
      </c>
      <c r="E427" s="28" t="s">
        <v>2672</v>
      </c>
      <c r="F427" s="28" t="s">
        <v>2673</v>
      </c>
      <c r="G427" s="28">
        <v>44.83</v>
      </c>
      <c r="H427" s="28" t="s">
        <v>5</v>
      </c>
      <c r="I427" s="28" t="s">
        <v>689</v>
      </c>
      <c r="J427" s="28" t="s">
        <v>295</v>
      </c>
      <c r="K427" s="28" t="s">
        <v>580</v>
      </c>
      <c r="L427" s="28" t="s">
        <v>240</v>
      </c>
      <c r="M427" s="28" t="s">
        <v>38</v>
      </c>
      <c r="N427" s="28" t="s">
        <v>486</v>
      </c>
      <c r="O427" s="29">
        <v>37994</v>
      </c>
      <c r="P427" s="28"/>
      <c r="Q427" s="28"/>
      <c r="R427" s="28">
        <v>47.3</v>
      </c>
      <c r="S427" s="28" t="s">
        <v>29</v>
      </c>
    </row>
    <row r="428" spans="1:19">
      <c r="A428" s="28">
        <v>89300</v>
      </c>
      <c r="B428" s="28" t="s">
        <v>20</v>
      </c>
      <c r="C428" s="28" t="s">
        <v>21</v>
      </c>
      <c r="D428" s="28" t="s">
        <v>21</v>
      </c>
      <c r="E428" s="28" t="s">
        <v>2674</v>
      </c>
      <c r="F428" s="28" t="s">
        <v>2675</v>
      </c>
      <c r="G428" s="28">
        <v>42.42</v>
      </c>
      <c r="H428" s="28" t="s">
        <v>5</v>
      </c>
      <c r="I428" s="28" t="s">
        <v>689</v>
      </c>
      <c r="J428" s="28" t="s">
        <v>295</v>
      </c>
      <c r="K428" s="28" t="s">
        <v>580</v>
      </c>
      <c r="L428" s="28" t="s">
        <v>240</v>
      </c>
      <c r="M428" s="28" t="s">
        <v>38</v>
      </c>
      <c r="N428" s="28" t="s">
        <v>486</v>
      </c>
      <c r="O428" s="29">
        <v>37994</v>
      </c>
      <c r="P428" s="28"/>
      <c r="Q428" s="28"/>
      <c r="R428" s="28">
        <v>47.3</v>
      </c>
      <c r="S428" s="28" t="s">
        <v>29</v>
      </c>
    </row>
    <row r="429" spans="1:19" ht="57.75">
      <c r="A429" s="28">
        <v>104100</v>
      </c>
      <c r="B429" s="28" t="s">
        <v>20</v>
      </c>
      <c r="C429" s="28" t="s">
        <v>21</v>
      </c>
      <c r="D429" s="28" t="s">
        <v>21</v>
      </c>
      <c r="E429" s="28" t="s">
        <v>3088</v>
      </c>
      <c r="F429" s="28" t="s">
        <v>3089</v>
      </c>
      <c r="G429" s="28">
        <v>1.25</v>
      </c>
      <c r="H429" s="28" t="s">
        <v>5</v>
      </c>
      <c r="I429" s="28" t="s">
        <v>3090</v>
      </c>
      <c r="J429" s="28" t="s">
        <v>1025</v>
      </c>
      <c r="K429" s="28" t="s">
        <v>2138</v>
      </c>
      <c r="L429" s="28" t="s">
        <v>1026</v>
      </c>
      <c r="M429" s="28" t="s">
        <v>38</v>
      </c>
      <c r="N429" s="28" t="s">
        <v>39</v>
      </c>
      <c r="O429" s="29">
        <v>41001</v>
      </c>
      <c r="P429" s="28" t="s">
        <v>3091</v>
      </c>
      <c r="Q429" s="28"/>
      <c r="R429" s="28">
        <v>1.4</v>
      </c>
      <c r="S429" s="28" t="s">
        <v>29</v>
      </c>
    </row>
    <row r="430" spans="1:19" ht="57.75">
      <c r="A430" s="28">
        <v>103800</v>
      </c>
      <c r="B430" s="28" t="s">
        <v>20</v>
      </c>
      <c r="C430" s="28" t="s">
        <v>21</v>
      </c>
      <c r="D430" s="28" t="s">
        <v>21</v>
      </c>
      <c r="E430" s="28" t="s">
        <v>3082</v>
      </c>
      <c r="F430" s="28" t="s">
        <v>3083</v>
      </c>
      <c r="G430" s="28">
        <v>1.1599999999999999</v>
      </c>
      <c r="H430" s="28" t="s">
        <v>5</v>
      </c>
      <c r="I430" s="28" t="s">
        <v>2492</v>
      </c>
      <c r="J430" s="28" t="s">
        <v>1025</v>
      </c>
      <c r="K430" s="28" t="s">
        <v>2138</v>
      </c>
      <c r="L430" s="28" t="s">
        <v>1026</v>
      </c>
      <c r="M430" s="28" t="s">
        <v>38</v>
      </c>
      <c r="N430" s="28" t="s">
        <v>39</v>
      </c>
      <c r="O430" s="29">
        <v>40949</v>
      </c>
      <c r="P430" s="28" t="s">
        <v>3084</v>
      </c>
      <c r="Q430" s="28"/>
      <c r="R430" s="28">
        <v>1.17</v>
      </c>
      <c r="S430" s="28" t="s">
        <v>29</v>
      </c>
    </row>
    <row r="431" spans="1:19">
      <c r="A431" s="28">
        <v>95400</v>
      </c>
      <c r="B431" s="28" t="s">
        <v>20</v>
      </c>
      <c r="C431" s="28" t="s">
        <v>21</v>
      </c>
      <c r="D431" s="28" t="s">
        <v>21</v>
      </c>
      <c r="E431" s="28" t="s">
        <v>2857</v>
      </c>
      <c r="F431" s="28" t="s">
        <v>2858</v>
      </c>
      <c r="G431" s="28">
        <v>46</v>
      </c>
      <c r="H431" s="28" t="s">
        <v>5</v>
      </c>
      <c r="I431" s="28" t="s">
        <v>5</v>
      </c>
      <c r="J431" s="28" t="s">
        <v>295</v>
      </c>
      <c r="K431" s="28" t="s">
        <v>580</v>
      </c>
      <c r="L431" s="28" t="s">
        <v>240</v>
      </c>
      <c r="M431" s="28" t="s">
        <v>38</v>
      </c>
      <c r="N431" s="28" t="s">
        <v>39</v>
      </c>
      <c r="O431" s="29">
        <v>39345</v>
      </c>
      <c r="P431" s="28"/>
      <c r="Q431" s="28"/>
      <c r="R431" s="28">
        <v>49</v>
      </c>
      <c r="S431" s="28" t="s">
        <v>29</v>
      </c>
    </row>
    <row r="432" spans="1:19">
      <c r="A432" s="28">
        <v>112300</v>
      </c>
      <c r="B432" s="28" t="s">
        <v>20</v>
      </c>
      <c r="C432" s="28" t="s">
        <v>21</v>
      </c>
      <c r="D432" s="28" t="s">
        <v>21</v>
      </c>
      <c r="E432" s="28" t="s">
        <v>4598</v>
      </c>
      <c r="F432" s="28" t="s">
        <v>4738</v>
      </c>
      <c r="G432" s="28">
        <v>1</v>
      </c>
      <c r="H432" s="28" t="s">
        <v>24</v>
      </c>
      <c r="I432" s="28" t="s">
        <v>4738</v>
      </c>
      <c r="J432" s="28" t="s">
        <v>1025</v>
      </c>
      <c r="K432" s="28" t="s">
        <v>2138</v>
      </c>
      <c r="L432" s="28" t="s">
        <v>1026</v>
      </c>
      <c r="M432" s="28" t="s">
        <v>3325</v>
      </c>
      <c r="N432" s="28" t="s">
        <v>28</v>
      </c>
      <c r="O432" s="29">
        <v>41456</v>
      </c>
      <c r="P432" s="28"/>
      <c r="Q432" s="28"/>
      <c r="R432" s="28">
        <v>1</v>
      </c>
      <c r="S432" s="28" t="s">
        <v>29</v>
      </c>
    </row>
    <row r="433" spans="1:19">
      <c r="A433" s="28">
        <v>112400</v>
      </c>
      <c r="B433" s="28" t="s">
        <v>20</v>
      </c>
      <c r="C433" s="28" t="s">
        <v>21</v>
      </c>
      <c r="D433" s="28" t="s">
        <v>21</v>
      </c>
      <c r="E433" s="28" t="s">
        <v>4739</v>
      </c>
      <c r="F433" s="28" t="s">
        <v>4599</v>
      </c>
      <c r="G433" s="28">
        <v>1</v>
      </c>
      <c r="H433" s="28" t="s">
        <v>24</v>
      </c>
      <c r="I433" s="28" t="s">
        <v>4599</v>
      </c>
      <c r="J433" s="28" t="s">
        <v>1025</v>
      </c>
      <c r="K433" s="28" t="s">
        <v>2138</v>
      </c>
      <c r="L433" s="28" t="s">
        <v>1026</v>
      </c>
      <c r="M433" s="28" t="s">
        <v>3325</v>
      </c>
      <c r="N433" s="28" t="s">
        <v>28</v>
      </c>
      <c r="O433" s="29">
        <v>41491</v>
      </c>
      <c r="P433" s="28"/>
      <c r="Q433" s="28"/>
      <c r="R433" s="28">
        <v>1</v>
      </c>
      <c r="S433" s="28" t="s">
        <v>29</v>
      </c>
    </row>
    <row r="434" spans="1:19">
      <c r="A434" s="28">
        <v>14300</v>
      </c>
      <c r="B434" s="28" t="s">
        <v>20</v>
      </c>
      <c r="C434" s="28" t="s">
        <v>21</v>
      </c>
      <c r="D434" s="28" t="s">
        <v>21</v>
      </c>
      <c r="E434" s="28" t="s">
        <v>2125</v>
      </c>
      <c r="F434" s="28" t="s">
        <v>2126</v>
      </c>
      <c r="G434" s="28">
        <v>20</v>
      </c>
      <c r="H434" s="28" t="s">
        <v>24</v>
      </c>
      <c r="I434" s="28" t="s">
        <v>4</v>
      </c>
      <c r="J434" s="28" t="s">
        <v>25</v>
      </c>
      <c r="K434" s="28" t="s">
        <v>25</v>
      </c>
      <c r="L434" s="28" t="s">
        <v>26</v>
      </c>
      <c r="M434" s="28" t="s">
        <v>27</v>
      </c>
      <c r="N434" s="28" t="s">
        <v>28</v>
      </c>
      <c r="O434" s="29">
        <v>33970</v>
      </c>
      <c r="P434" s="28"/>
      <c r="Q434" s="28" t="s">
        <v>175</v>
      </c>
      <c r="R434" s="28">
        <v>20</v>
      </c>
      <c r="S434" s="28" t="s">
        <v>29</v>
      </c>
    </row>
    <row r="435" spans="1:19">
      <c r="A435" s="28">
        <v>113500</v>
      </c>
      <c r="B435" s="28" t="s">
        <v>20</v>
      </c>
      <c r="C435" s="28" t="s">
        <v>21</v>
      </c>
      <c r="D435" s="28" t="s">
        <v>21</v>
      </c>
      <c r="E435" s="28" t="s">
        <v>4616</v>
      </c>
      <c r="F435" s="28" t="s">
        <v>4740</v>
      </c>
      <c r="G435" s="28">
        <v>20</v>
      </c>
      <c r="H435" s="28" t="s">
        <v>24</v>
      </c>
      <c r="I435" s="28" t="s">
        <v>4741</v>
      </c>
      <c r="J435" s="28" t="s">
        <v>1025</v>
      </c>
      <c r="K435" s="28" t="s">
        <v>2138</v>
      </c>
      <c r="L435" s="28" t="s">
        <v>1026</v>
      </c>
      <c r="M435" s="28" t="s">
        <v>27</v>
      </c>
      <c r="N435" s="28" t="s">
        <v>1420</v>
      </c>
      <c r="O435" s="29">
        <v>41535</v>
      </c>
      <c r="P435" s="28"/>
      <c r="Q435" s="28"/>
      <c r="R435" s="28">
        <v>20</v>
      </c>
      <c r="S435" s="28" t="s">
        <v>29</v>
      </c>
    </row>
    <row r="436" spans="1:19">
      <c r="A436" s="24">
        <v>14500</v>
      </c>
      <c r="B436" s="24" t="s">
        <v>20</v>
      </c>
      <c r="C436" s="24" t="s">
        <v>21</v>
      </c>
      <c r="D436" s="24" t="s">
        <v>30</v>
      </c>
      <c r="E436" s="24" t="s">
        <v>408</v>
      </c>
      <c r="F436" s="24" t="s">
        <v>409</v>
      </c>
      <c r="G436" s="24">
        <v>144</v>
      </c>
      <c r="H436" s="24" t="s">
        <v>24</v>
      </c>
      <c r="I436" s="24" t="s">
        <v>4</v>
      </c>
      <c r="J436" s="24" t="s">
        <v>25</v>
      </c>
      <c r="K436" s="24" t="s">
        <v>25</v>
      </c>
      <c r="L436" s="24" t="s">
        <v>26</v>
      </c>
      <c r="M436" s="24" t="s">
        <v>27</v>
      </c>
      <c r="N436" s="24" t="s">
        <v>28</v>
      </c>
      <c r="O436" s="25">
        <v>21186</v>
      </c>
      <c r="P436" s="24"/>
      <c r="Q436" s="24" t="s">
        <v>243</v>
      </c>
      <c r="R436" s="24">
        <v>144</v>
      </c>
      <c r="S436" s="24" t="s">
        <v>29</v>
      </c>
    </row>
    <row r="437" spans="1:19">
      <c r="A437" s="26">
        <v>14501</v>
      </c>
      <c r="B437" s="26" t="s">
        <v>20</v>
      </c>
      <c r="C437" s="26" t="s">
        <v>21</v>
      </c>
      <c r="D437" s="26" t="s">
        <v>21</v>
      </c>
      <c r="E437" s="26" t="s">
        <v>410</v>
      </c>
      <c r="F437" s="26" t="s">
        <v>411</v>
      </c>
      <c r="G437" s="26">
        <v>72</v>
      </c>
      <c r="H437" s="26" t="s">
        <v>24</v>
      </c>
      <c r="I437" s="26" t="s">
        <v>4</v>
      </c>
      <c r="J437" s="26" t="s">
        <v>25</v>
      </c>
      <c r="K437" s="26" t="s">
        <v>25</v>
      </c>
      <c r="L437" s="26" t="s">
        <v>26</v>
      </c>
      <c r="M437" s="26" t="s">
        <v>27</v>
      </c>
      <c r="N437" s="26" t="s">
        <v>28</v>
      </c>
      <c r="O437" s="27">
        <v>21186</v>
      </c>
      <c r="P437" s="26"/>
      <c r="Q437" s="26" t="s">
        <v>243</v>
      </c>
      <c r="R437" s="26">
        <v>72</v>
      </c>
      <c r="S437" s="26" t="s">
        <v>29</v>
      </c>
    </row>
    <row r="438" spans="1:19">
      <c r="A438" s="26">
        <v>14502</v>
      </c>
      <c r="B438" s="26" t="s">
        <v>20</v>
      </c>
      <c r="C438" s="26" t="s">
        <v>21</v>
      </c>
      <c r="D438" s="26" t="s">
        <v>21</v>
      </c>
      <c r="E438" s="26" t="s">
        <v>412</v>
      </c>
      <c r="F438" s="26" t="s">
        <v>413</v>
      </c>
      <c r="G438" s="26">
        <v>72</v>
      </c>
      <c r="H438" s="26" t="s">
        <v>24</v>
      </c>
      <c r="I438" s="26" t="s">
        <v>4</v>
      </c>
      <c r="J438" s="26" t="s">
        <v>25</v>
      </c>
      <c r="K438" s="26" t="s">
        <v>25</v>
      </c>
      <c r="L438" s="26" t="s">
        <v>26</v>
      </c>
      <c r="M438" s="26" t="s">
        <v>27</v>
      </c>
      <c r="N438" s="26" t="s">
        <v>28</v>
      </c>
      <c r="O438" s="27">
        <v>21186</v>
      </c>
      <c r="P438" s="26"/>
      <c r="Q438" s="26" t="s">
        <v>243</v>
      </c>
      <c r="R438" s="26">
        <v>72</v>
      </c>
      <c r="S438" s="26" t="s">
        <v>29</v>
      </c>
    </row>
    <row r="439" spans="1:19" ht="29.25">
      <c r="A439" s="24">
        <v>14700</v>
      </c>
      <c r="B439" s="24" t="s">
        <v>20</v>
      </c>
      <c r="C439" s="24" t="s">
        <v>21</v>
      </c>
      <c r="D439" s="24" t="s">
        <v>30</v>
      </c>
      <c r="E439" s="24" t="s">
        <v>180</v>
      </c>
      <c r="F439" s="24" t="s">
        <v>181</v>
      </c>
      <c r="G439" s="24">
        <v>4.9000000000000004</v>
      </c>
      <c r="H439" s="24" t="s">
        <v>24</v>
      </c>
      <c r="I439" s="24" t="s">
        <v>4</v>
      </c>
      <c r="J439" s="24" t="s">
        <v>25</v>
      </c>
      <c r="K439" s="24" t="s">
        <v>25</v>
      </c>
      <c r="L439" s="24" t="s">
        <v>26</v>
      </c>
      <c r="M439" s="24" t="s">
        <v>27</v>
      </c>
      <c r="N439" s="24" t="s">
        <v>28</v>
      </c>
      <c r="O439" s="25">
        <v>7672</v>
      </c>
      <c r="P439" s="24"/>
      <c r="Q439" s="24" t="s">
        <v>175</v>
      </c>
      <c r="R439" s="24">
        <v>4.8</v>
      </c>
      <c r="S439" s="24" t="s">
        <v>29</v>
      </c>
    </row>
    <row r="440" spans="1:19">
      <c r="A440" s="26">
        <v>14701</v>
      </c>
      <c r="B440" s="26" t="s">
        <v>20</v>
      </c>
      <c r="C440" s="26" t="s">
        <v>21</v>
      </c>
      <c r="D440" s="26" t="s">
        <v>21</v>
      </c>
      <c r="E440" s="26" t="s">
        <v>182</v>
      </c>
      <c r="F440" s="26" t="s">
        <v>183</v>
      </c>
      <c r="G440" s="26"/>
      <c r="H440" s="26" t="s">
        <v>24</v>
      </c>
      <c r="I440" s="26" t="s">
        <v>4</v>
      </c>
      <c r="J440" s="26" t="s">
        <v>25</v>
      </c>
      <c r="K440" s="26" t="s">
        <v>25</v>
      </c>
      <c r="L440" s="26" t="s">
        <v>26</v>
      </c>
      <c r="M440" s="26" t="s">
        <v>27</v>
      </c>
      <c r="N440" s="26" t="s">
        <v>28</v>
      </c>
      <c r="O440" s="27">
        <v>7672</v>
      </c>
      <c r="P440" s="26"/>
      <c r="Q440" s="26" t="s">
        <v>175</v>
      </c>
      <c r="R440" s="26">
        <v>2.4</v>
      </c>
      <c r="S440" s="26" t="s">
        <v>29</v>
      </c>
    </row>
    <row r="441" spans="1:19">
      <c r="A441" s="26">
        <v>14702</v>
      </c>
      <c r="B441" s="26" t="s">
        <v>20</v>
      </c>
      <c r="C441" s="26" t="s">
        <v>21</v>
      </c>
      <c r="D441" s="26" t="s">
        <v>21</v>
      </c>
      <c r="E441" s="26" t="s">
        <v>184</v>
      </c>
      <c r="F441" s="26" t="s">
        <v>185</v>
      </c>
      <c r="G441" s="26"/>
      <c r="H441" s="26" t="s">
        <v>24</v>
      </c>
      <c r="I441" s="26" t="s">
        <v>4</v>
      </c>
      <c r="J441" s="26" t="s">
        <v>25</v>
      </c>
      <c r="K441" s="26" t="s">
        <v>25</v>
      </c>
      <c r="L441" s="26" t="s">
        <v>26</v>
      </c>
      <c r="M441" s="26" t="s">
        <v>27</v>
      </c>
      <c r="N441" s="26" t="s">
        <v>28</v>
      </c>
      <c r="O441" s="27">
        <v>7672</v>
      </c>
      <c r="P441" s="26"/>
      <c r="Q441" s="26" t="s">
        <v>175</v>
      </c>
      <c r="R441" s="26">
        <v>2.4</v>
      </c>
      <c r="S441" s="26" t="s">
        <v>29</v>
      </c>
    </row>
    <row r="442" spans="1:19" ht="29.25">
      <c r="A442" s="24">
        <v>90700</v>
      </c>
      <c r="B442" s="24" t="s">
        <v>20</v>
      </c>
      <c r="C442" s="24" t="s">
        <v>21</v>
      </c>
      <c r="D442" s="24" t="s">
        <v>30</v>
      </c>
      <c r="E442" s="24" t="s">
        <v>2374</v>
      </c>
      <c r="F442" s="24" t="s">
        <v>2375</v>
      </c>
      <c r="G442" s="24">
        <v>109.01</v>
      </c>
      <c r="H442" s="24" t="s">
        <v>5</v>
      </c>
      <c r="I442" s="24" t="s">
        <v>1630</v>
      </c>
      <c r="J442" s="24" t="s">
        <v>365</v>
      </c>
      <c r="K442" s="24" t="s">
        <v>705</v>
      </c>
      <c r="L442" s="24" t="s">
        <v>240</v>
      </c>
      <c r="M442" s="24" t="s">
        <v>38</v>
      </c>
      <c r="N442" s="24" t="s">
        <v>39</v>
      </c>
      <c r="O442" s="25">
        <v>37056</v>
      </c>
      <c r="P442" s="24" t="s">
        <v>2376</v>
      </c>
      <c r="Q442" s="24"/>
      <c r="R442" s="24">
        <v>107.45</v>
      </c>
      <c r="S442" s="24" t="s">
        <v>29</v>
      </c>
    </row>
    <row r="443" spans="1:19">
      <c r="A443" s="26">
        <v>14800</v>
      </c>
      <c r="B443" s="26" t="s">
        <v>20</v>
      </c>
      <c r="C443" s="26" t="s">
        <v>21</v>
      </c>
      <c r="D443" s="26" t="s">
        <v>21</v>
      </c>
      <c r="E443" s="26" t="s">
        <v>1628</v>
      </c>
      <c r="F443" s="26" t="s">
        <v>1629</v>
      </c>
      <c r="G443" s="26">
        <v>82.3</v>
      </c>
      <c r="H443" s="26" t="s">
        <v>5</v>
      </c>
      <c r="I443" s="26" t="s">
        <v>1630</v>
      </c>
      <c r="J443" s="26" t="s">
        <v>365</v>
      </c>
      <c r="K443" s="26" t="s">
        <v>580</v>
      </c>
      <c r="L443" s="26" t="s">
        <v>240</v>
      </c>
      <c r="M443" s="26" t="s">
        <v>38</v>
      </c>
      <c r="N443" s="26" t="s">
        <v>39</v>
      </c>
      <c r="O443" s="27">
        <v>32143</v>
      </c>
      <c r="P443" s="26"/>
      <c r="Q443" s="26"/>
      <c r="R443" s="26">
        <v>82.35</v>
      </c>
      <c r="S443" s="26" t="s">
        <v>29</v>
      </c>
    </row>
    <row r="444" spans="1:19">
      <c r="A444" s="26">
        <v>14901</v>
      </c>
      <c r="B444" s="26" t="s">
        <v>20</v>
      </c>
      <c r="C444" s="26" t="s">
        <v>21</v>
      </c>
      <c r="D444" s="26" t="s">
        <v>21</v>
      </c>
      <c r="E444" s="26" t="s">
        <v>2377</v>
      </c>
      <c r="F444" s="26" t="s">
        <v>2378</v>
      </c>
      <c r="G444" s="26">
        <v>13.6</v>
      </c>
      <c r="H444" s="26" t="s">
        <v>5</v>
      </c>
      <c r="I444" s="26" t="s">
        <v>1630</v>
      </c>
      <c r="J444" s="26" t="s">
        <v>365</v>
      </c>
      <c r="K444" s="26" t="s">
        <v>366</v>
      </c>
      <c r="L444" s="26" t="s">
        <v>712</v>
      </c>
      <c r="M444" s="26" t="s">
        <v>38</v>
      </c>
      <c r="N444" s="26" t="s">
        <v>39</v>
      </c>
      <c r="O444" s="27">
        <v>37056</v>
      </c>
      <c r="P444" s="26"/>
      <c r="Q444" s="26"/>
      <c r="R444" s="26">
        <v>13.6</v>
      </c>
      <c r="S444" s="26" t="s">
        <v>29</v>
      </c>
    </row>
    <row r="445" spans="1:19">
      <c r="A445" s="26">
        <v>14902</v>
      </c>
      <c r="B445" s="26" t="s">
        <v>20</v>
      </c>
      <c r="C445" s="26" t="s">
        <v>21</v>
      </c>
      <c r="D445" s="26" t="s">
        <v>21</v>
      </c>
      <c r="E445" s="26" t="s">
        <v>2379</v>
      </c>
      <c r="F445" s="26" t="s">
        <v>2380</v>
      </c>
      <c r="G445" s="26">
        <v>11.5</v>
      </c>
      <c r="H445" s="26" t="s">
        <v>5</v>
      </c>
      <c r="I445" s="26" t="s">
        <v>1630</v>
      </c>
      <c r="J445" s="26" t="s">
        <v>365</v>
      </c>
      <c r="K445" s="26" t="s">
        <v>366</v>
      </c>
      <c r="L445" s="26" t="s">
        <v>712</v>
      </c>
      <c r="M445" s="26" t="s">
        <v>38</v>
      </c>
      <c r="N445" s="26" t="s">
        <v>39</v>
      </c>
      <c r="O445" s="27">
        <v>37056</v>
      </c>
      <c r="P445" s="26"/>
      <c r="Q445" s="26"/>
      <c r="R445" s="26">
        <v>11.5</v>
      </c>
      <c r="S445" s="26" t="s">
        <v>29</v>
      </c>
    </row>
    <row r="446" spans="1:19">
      <c r="A446" s="28">
        <v>15000</v>
      </c>
      <c r="B446" s="28" t="s">
        <v>20</v>
      </c>
      <c r="C446" s="28" t="s">
        <v>21</v>
      </c>
      <c r="D446" s="28" t="s">
        <v>21</v>
      </c>
      <c r="E446" s="28" t="s">
        <v>186</v>
      </c>
      <c r="F446" s="28" t="s">
        <v>187</v>
      </c>
      <c r="G446" s="28">
        <v>8.5</v>
      </c>
      <c r="H446" s="28" t="s">
        <v>24</v>
      </c>
      <c r="I446" s="28" t="s">
        <v>4</v>
      </c>
      <c r="J446" s="28" t="s">
        <v>25</v>
      </c>
      <c r="K446" s="28" t="s">
        <v>25</v>
      </c>
      <c r="L446" s="28" t="s">
        <v>26</v>
      </c>
      <c r="M446" s="28" t="s">
        <v>27</v>
      </c>
      <c r="N446" s="28" t="s">
        <v>28</v>
      </c>
      <c r="O446" s="29">
        <v>7672</v>
      </c>
      <c r="P446" s="28"/>
      <c r="Q446" s="28" t="s">
        <v>188</v>
      </c>
      <c r="R446" s="28">
        <v>8.5</v>
      </c>
      <c r="S446" s="28" t="s">
        <v>29</v>
      </c>
    </row>
    <row r="447" spans="1:19">
      <c r="A447" s="28">
        <v>15100</v>
      </c>
      <c r="B447" s="28" t="s">
        <v>20</v>
      </c>
      <c r="C447" s="28" t="s">
        <v>21</v>
      </c>
      <c r="D447" s="28" t="s">
        <v>21</v>
      </c>
      <c r="E447" s="28" t="s">
        <v>189</v>
      </c>
      <c r="F447" s="28" t="s">
        <v>190</v>
      </c>
      <c r="G447" s="28">
        <v>8.5</v>
      </c>
      <c r="H447" s="28" t="s">
        <v>24</v>
      </c>
      <c r="I447" s="28" t="s">
        <v>4</v>
      </c>
      <c r="J447" s="28" t="s">
        <v>25</v>
      </c>
      <c r="K447" s="28" t="s">
        <v>25</v>
      </c>
      <c r="L447" s="28" t="s">
        <v>26</v>
      </c>
      <c r="M447" s="28" t="s">
        <v>27</v>
      </c>
      <c r="N447" s="28" t="s">
        <v>28</v>
      </c>
      <c r="O447" s="29">
        <v>7672</v>
      </c>
      <c r="P447" s="28"/>
      <c r="Q447" s="28" t="s">
        <v>188</v>
      </c>
      <c r="R447" s="28">
        <v>8.5</v>
      </c>
      <c r="S447" s="28" t="s">
        <v>29</v>
      </c>
    </row>
    <row r="448" spans="1:19" ht="29.25">
      <c r="A448" s="24">
        <v>82800</v>
      </c>
      <c r="B448" s="24" t="s">
        <v>20</v>
      </c>
      <c r="C448" s="24" t="s">
        <v>21</v>
      </c>
      <c r="D448" s="24" t="s">
        <v>30</v>
      </c>
      <c r="E448" s="24" t="s">
        <v>2599</v>
      </c>
      <c r="F448" s="24" t="s">
        <v>2600</v>
      </c>
      <c r="G448" s="24">
        <v>830</v>
      </c>
      <c r="H448" s="24" t="s">
        <v>5</v>
      </c>
      <c r="I448" s="24" t="s">
        <v>2601</v>
      </c>
      <c r="J448" s="24" t="s">
        <v>365</v>
      </c>
      <c r="K448" s="24" t="s">
        <v>705</v>
      </c>
      <c r="L448" s="24" t="s">
        <v>240</v>
      </c>
      <c r="M448" s="24" t="s">
        <v>38</v>
      </c>
      <c r="N448" s="24" t="s">
        <v>39</v>
      </c>
      <c r="O448" s="25">
        <v>37732</v>
      </c>
      <c r="P448" s="24"/>
      <c r="Q448" s="24"/>
      <c r="R448" s="24">
        <v>854.9</v>
      </c>
      <c r="S448" s="24" t="s">
        <v>29</v>
      </c>
    </row>
    <row r="449" spans="1:19" ht="29.25">
      <c r="A449" s="26">
        <v>82801</v>
      </c>
      <c r="B449" s="26" t="s">
        <v>20</v>
      </c>
      <c r="C449" s="26" t="s">
        <v>21</v>
      </c>
      <c r="D449" s="26" t="s">
        <v>21</v>
      </c>
      <c r="E449" s="26"/>
      <c r="F449" s="26" t="s">
        <v>2602</v>
      </c>
      <c r="G449" s="26"/>
      <c r="H449" s="26" t="s">
        <v>5</v>
      </c>
      <c r="I449" s="26" t="s">
        <v>2601</v>
      </c>
      <c r="J449" s="26" t="s">
        <v>365</v>
      </c>
      <c r="K449" s="26" t="s">
        <v>580</v>
      </c>
      <c r="L449" s="26" t="s">
        <v>240</v>
      </c>
      <c r="M449" s="26" t="s">
        <v>38</v>
      </c>
      <c r="N449" s="26" t="s">
        <v>39</v>
      </c>
      <c r="O449" s="27">
        <v>37732</v>
      </c>
      <c r="P449" s="26"/>
      <c r="Q449" s="26"/>
      <c r="R449" s="26">
        <v>177.3</v>
      </c>
      <c r="S449" s="26" t="s">
        <v>29</v>
      </c>
    </row>
    <row r="450" spans="1:19" ht="29.25">
      <c r="A450" s="26">
        <v>82804</v>
      </c>
      <c r="B450" s="26" t="s">
        <v>20</v>
      </c>
      <c r="C450" s="26" t="s">
        <v>21</v>
      </c>
      <c r="D450" s="26" t="s">
        <v>21</v>
      </c>
      <c r="E450" s="26"/>
      <c r="F450" s="26" t="s">
        <v>2605</v>
      </c>
      <c r="G450" s="26"/>
      <c r="H450" s="26" t="s">
        <v>5</v>
      </c>
      <c r="I450" s="26" t="s">
        <v>2601</v>
      </c>
      <c r="J450" s="26" t="s">
        <v>365</v>
      </c>
      <c r="K450" s="26" t="s">
        <v>366</v>
      </c>
      <c r="L450" s="26" t="s">
        <v>712</v>
      </c>
      <c r="M450" s="26" t="s">
        <v>38</v>
      </c>
      <c r="N450" s="26" t="s">
        <v>39</v>
      </c>
      <c r="O450" s="27">
        <v>37732</v>
      </c>
      <c r="P450" s="26"/>
      <c r="Q450" s="26"/>
      <c r="R450" s="26">
        <v>323</v>
      </c>
      <c r="S450" s="26" t="s">
        <v>29</v>
      </c>
    </row>
    <row r="451" spans="1:19" ht="29.25">
      <c r="A451" s="26">
        <v>82803</v>
      </c>
      <c r="B451" s="26" t="s">
        <v>20</v>
      </c>
      <c r="C451" s="26" t="s">
        <v>21</v>
      </c>
      <c r="D451" s="26" t="s">
        <v>21</v>
      </c>
      <c r="E451" s="26"/>
      <c r="F451" s="26" t="s">
        <v>2604</v>
      </c>
      <c r="G451" s="26"/>
      <c r="H451" s="26" t="s">
        <v>5</v>
      </c>
      <c r="I451" s="26" t="s">
        <v>2601</v>
      </c>
      <c r="J451" s="26" t="s">
        <v>365</v>
      </c>
      <c r="K451" s="26" t="s">
        <v>580</v>
      </c>
      <c r="L451" s="26" t="s">
        <v>240</v>
      </c>
      <c r="M451" s="26" t="s">
        <v>38</v>
      </c>
      <c r="N451" s="26" t="s">
        <v>39</v>
      </c>
      <c r="O451" s="27">
        <v>37732</v>
      </c>
      <c r="P451" s="26"/>
      <c r="Q451" s="26"/>
      <c r="R451" s="26">
        <v>177.3</v>
      </c>
      <c r="S451" s="26" t="s">
        <v>29</v>
      </c>
    </row>
    <row r="452" spans="1:19" ht="29.25">
      <c r="A452" s="26">
        <v>82802</v>
      </c>
      <c r="B452" s="26" t="s">
        <v>20</v>
      </c>
      <c r="C452" s="26" t="s">
        <v>21</v>
      </c>
      <c r="D452" s="26" t="s">
        <v>21</v>
      </c>
      <c r="E452" s="26"/>
      <c r="F452" s="26" t="s">
        <v>2603</v>
      </c>
      <c r="G452" s="26"/>
      <c r="H452" s="26" t="s">
        <v>5</v>
      </c>
      <c r="I452" s="26" t="s">
        <v>2601</v>
      </c>
      <c r="J452" s="26" t="s">
        <v>365</v>
      </c>
      <c r="K452" s="26" t="s">
        <v>580</v>
      </c>
      <c r="L452" s="26" t="s">
        <v>240</v>
      </c>
      <c r="M452" s="26" t="s">
        <v>38</v>
      </c>
      <c r="N452" s="26" t="s">
        <v>39</v>
      </c>
      <c r="O452" s="27">
        <v>37732</v>
      </c>
      <c r="P452" s="26"/>
      <c r="Q452" s="26"/>
      <c r="R452" s="26">
        <v>177.3</v>
      </c>
      <c r="S452" s="26" t="s">
        <v>29</v>
      </c>
    </row>
    <row r="453" spans="1:19">
      <c r="A453" s="28">
        <v>84500</v>
      </c>
      <c r="B453" s="28" t="s">
        <v>20</v>
      </c>
      <c r="C453" s="28" t="s">
        <v>21</v>
      </c>
      <c r="D453" s="28" t="s">
        <v>21</v>
      </c>
      <c r="E453" s="28" t="s">
        <v>2666</v>
      </c>
      <c r="F453" s="28" t="s">
        <v>2667</v>
      </c>
      <c r="G453" s="28">
        <v>162</v>
      </c>
      <c r="H453" s="28" t="s">
        <v>24</v>
      </c>
      <c r="I453" s="28" t="s">
        <v>2668</v>
      </c>
      <c r="J453" s="28" t="s">
        <v>781</v>
      </c>
      <c r="K453" s="28" t="s">
        <v>781</v>
      </c>
      <c r="L453" s="28" t="s">
        <v>781</v>
      </c>
      <c r="M453" s="28" t="s">
        <v>27</v>
      </c>
      <c r="N453" s="28" t="s">
        <v>28</v>
      </c>
      <c r="O453" s="29">
        <v>37978</v>
      </c>
      <c r="P453" s="28"/>
      <c r="Q453" s="28"/>
      <c r="R453" s="28">
        <v>162</v>
      </c>
      <c r="S453" s="28" t="s">
        <v>29</v>
      </c>
    </row>
    <row r="454" spans="1:19" ht="29.25">
      <c r="A454" s="24">
        <v>16900</v>
      </c>
      <c r="B454" s="24" t="s">
        <v>20</v>
      </c>
      <c r="C454" s="24" t="s">
        <v>21</v>
      </c>
      <c r="D454" s="24" t="s">
        <v>30</v>
      </c>
      <c r="E454" s="24" t="s">
        <v>583</v>
      </c>
      <c r="F454" s="24" t="s">
        <v>584</v>
      </c>
      <c r="G454" s="24">
        <v>933.1</v>
      </c>
      <c r="H454" s="24" t="s">
        <v>24</v>
      </c>
      <c r="I454" s="24" t="s">
        <v>541</v>
      </c>
      <c r="J454" s="24" t="s">
        <v>25</v>
      </c>
      <c r="K454" s="24" t="s">
        <v>542</v>
      </c>
      <c r="L454" s="24" t="s">
        <v>26</v>
      </c>
      <c r="M454" s="24" t="s">
        <v>27</v>
      </c>
      <c r="N454" s="24" t="s">
        <v>28</v>
      </c>
      <c r="O454" s="25">
        <v>24838</v>
      </c>
      <c r="P454" s="24"/>
      <c r="Q454" s="24"/>
      <c r="R454" s="24">
        <v>941.4</v>
      </c>
      <c r="S454" s="24" t="s">
        <v>29</v>
      </c>
    </row>
    <row r="455" spans="1:19">
      <c r="A455" s="26">
        <v>16901</v>
      </c>
      <c r="B455" s="26" t="s">
        <v>20</v>
      </c>
      <c r="C455" s="26" t="s">
        <v>21</v>
      </c>
      <c r="D455" s="26" t="s">
        <v>21</v>
      </c>
      <c r="E455" s="26" t="s">
        <v>585</v>
      </c>
      <c r="F455" s="26" t="s">
        <v>586</v>
      </c>
      <c r="G455" s="26">
        <v>141.6</v>
      </c>
      <c r="H455" s="26" t="s">
        <v>24</v>
      </c>
      <c r="I455" s="26" t="s">
        <v>541</v>
      </c>
      <c r="J455" s="26" t="s">
        <v>25</v>
      </c>
      <c r="K455" s="26" t="s">
        <v>25</v>
      </c>
      <c r="L455" s="26" t="s">
        <v>26</v>
      </c>
      <c r="M455" s="26" t="s">
        <v>27</v>
      </c>
      <c r="N455" s="26" t="s">
        <v>28</v>
      </c>
      <c r="O455" s="27">
        <v>24838</v>
      </c>
      <c r="P455" s="26"/>
      <c r="Q455" s="26"/>
      <c r="R455" s="26">
        <v>141.6</v>
      </c>
      <c r="S455" s="26" t="s">
        <v>29</v>
      </c>
    </row>
    <row r="456" spans="1:19">
      <c r="A456" s="26">
        <v>16902</v>
      </c>
      <c r="B456" s="26" t="s">
        <v>20</v>
      </c>
      <c r="C456" s="26" t="s">
        <v>21</v>
      </c>
      <c r="D456" s="26" t="s">
        <v>21</v>
      </c>
      <c r="E456" s="26" t="s">
        <v>587</v>
      </c>
      <c r="F456" s="26" t="s">
        <v>588</v>
      </c>
      <c r="G456" s="26">
        <v>132.19999999999999</v>
      </c>
      <c r="H456" s="26" t="s">
        <v>24</v>
      </c>
      <c r="I456" s="26" t="s">
        <v>541</v>
      </c>
      <c r="J456" s="26" t="s">
        <v>25</v>
      </c>
      <c r="K456" s="26" t="s">
        <v>542</v>
      </c>
      <c r="L456" s="26" t="s">
        <v>26</v>
      </c>
      <c r="M456" s="26" t="s">
        <v>27</v>
      </c>
      <c r="N456" s="26" t="s">
        <v>28</v>
      </c>
      <c r="O456" s="27">
        <v>24838</v>
      </c>
      <c r="P456" s="26"/>
      <c r="Q456" s="26"/>
      <c r="R456" s="26">
        <v>132.19999999999999</v>
      </c>
      <c r="S456" s="26" t="s">
        <v>29</v>
      </c>
    </row>
    <row r="457" spans="1:19">
      <c r="A457" s="26">
        <v>16903</v>
      </c>
      <c r="B457" s="26" t="s">
        <v>20</v>
      </c>
      <c r="C457" s="26" t="s">
        <v>21</v>
      </c>
      <c r="D457" s="26" t="s">
        <v>21</v>
      </c>
      <c r="E457" s="26" t="s">
        <v>589</v>
      </c>
      <c r="F457" s="26" t="s">
        <v>590</v>
      </c>
      <c r="G457" s="26">
        <v>141.6</v>
      </c>
      <c r="H457" s="26" t="s">
        <v>24</v>
      </c>
      <c r="I457" s="26" t="s">
        <v>541</v>
      </c>
      <c r="J457" s="26" t="s">
        <v>25</v>
      </c>
      <c r="K457" s="26" t="s">
        <v>25</v>
      </c>
      <c r="L457" s="26" t="s">
        <v>26</v>
      </c>
      <c r="M457" s="26" t="s">
        <v>27</v>
      </c>
      <c r="N457" s="26" t="s">
        <v>28</v>
      </c>
      <c r="O457" s="27">
        <v>24838</v>
      </c>
      <c r="P457" s="26"/>
      <c r="Q457" s="26"/>
      <c r="R457" s="26">
        <v>141.6</v>
      </c>
      <c r="S457" s="26" t="s">
        <v>29</v>
      </c>
    </row>
    <row r="458" spans="1:19">
      <c r="A458" s="26">
        <v>16904</v>
      </c>
      <c r="B458" s="26" t="s">
        <v>20</v>
      </c>
      <c r="C458" s="26" t="s">
        <v>21</v>
      </c>
      <c r="D458" s="26" t="s">
        <v>21</v>
      </c>
      <c r="E458" s="26" t="s">
        <v>591</v>
      </c>
      <c r="F458" s="26" t="s">
        <v>592</v>
      </c>
      <c r="G458" s="26">
        <v>132.19999999999999</v>
      </c>
      <c r="H458" s="26" t="s">
        <v>24</v>
      </c>
      <c r="I458" s="26" t="s">
        <v>541</v>
      </c>
      <c r="J458" s="26" t="s">
        <v>25</v>
      </c>
      <c r="K458" s="26" t="s">
        <v>542</v>
      </c>
      <c r="L458" s="26" t="s">
        <v>26</v>
      </c>
      <c r="M458" s="26" t="s">
        <v>27</v>
      </c>
      <c r="N458" s="26" t="s">
        <v>28</v>
      </c>
      <c r="O458" s="27">
        <v>24838</v>
      </c>
      <c r="P458" s="26"/>
      <c r="Q458" s="26"/>
      <c r="R458" s="26">
        <v>132.19999999999999</v>
      </c>
      <c r="S458" s="26" t="s">
        <v>29</v>
      </c>
    </row>
    <row r="459" spans="1:19">
      <c r="A459" s="26">
        <v>16905</v>
      </c>
      <c r="B459" s="26" t="s">
        <v>20</v>
      </c>
      <c r="C459" s="26" t="s">
        <v>21</v>
      </c>
      <c r="D459" s="26" t="s">
        <v>21</v>
      </c>
      <c r="E459" s="26" t="s">
        <v>593</v>
      </c>
      <c r="F459" s="26" t="s">
        <v>594</v>
      </c>
      <c r="G459" s="26">
        <v>141.6</v>
      </c>
      <c r="H459" s="26" t="s">
        <v>24</v>
      </c>
      <c r="I459" s="26" t="s">
        <v>541</v>
      </c>
      <c r="J459" s="26" t="s">
        <v>25</v>
      </c>
      <c r="K459" s="26" t="s">
        <v>25</v>
      </c>
      <c r="L459" s="26" t="s">
        <v>26</v>
      </c>
      <c r="M459" s="26" t="s">
        <v>27</v>
      </c>
      <c r="N459" s="26" t="s">
        <v>28</v>
      </c>
      <c r="O459" s="27">
        <v>24838</v>
      </c>
      <c r="P459" s="26"/>
      <c r="Q459" s="26"/>
      <c r="R459" s="26">
        <v>141.6</v>
      </c>
      <c r="S459" s="26" t="s">
        <v>29</v>
      </c>
    </row>
    <row r="460" spans="1:19">
      <c r="A460" s="26">
        <v>16906</v>
      </c>
      <c r="B460" s="26" t="s">
        <v>20</v>
      </c>
      <c r="C460" s="26" t="s">
        <v>21</v>
      </c>
      <c r="D460" s="26" t="s">
        <v>21</v>
      </c>
      <c r="E460" s="26" t="s">
        <v>595</v>
      </c>
      <c r="F460" s="26" t="s">
        <v>596</v>
      </c>
      <c r="G460" s="26">
        <v>132.19999999999999</v>
      </c>
      <c r="H460" s="26" t="s">
        <v>24</v>
      </c>
      <c r="I460" s="26" t="s">
        <v>541</v>
      </c>
      <c r="J460" s="26" t="s">
        <v>25</v>
      </c>
      <c r="K460" s="26" t="s">
        <v>542</v>
      </c>
      <c r="L460" s="26" t="s">
        <v>26</v>
      </c>
      <c r="M460" s="26" t="s">
        <v>27</v>
      </c>
      <c r="N460" s="26" t="s">
        <v>28</v>
      </c>
      <c r="O460" s="27">
        <v>24838</v>
      </c>
      <c r="P460" s="26"/>
      <c r="Q460" s="26"/>
      <c r="R460" s="26">
        <v>132.19999999999999</v>
      </c>
      <c r="S460" s="26" t="s">
        <v>29</v>
      </c>
    </row>
    <row r="461" spans="1:19">
      <c r="A461" s="26">
        <v>16907</v>
      </c>
      <c r="B461" s="26" t="s">
        <v>20</v>
      </c>
      <c r="C461" s="26" t="s">
        <v>21</v>
      </c>
      <c r="D461" s="26" t="s">
        <v>21</v>
      </c>
      <c r="E461" s="26" t="s">
        <v>597</v>
      </c>
      <c r="F461" s="26" t="s">
        <v>598</v>
      </c>
      <c r="G461" s="26">
        <v>36</v>
      </c>
      <c r="H461" s="26" t="s">
        <v>24</v>
      </c>
      <c r="I461" s="26" t="s">
        <v>541</v>
      </c>
      <c r="J461" s="26" t="s">
        <v>25</v>
      </c>
      <c r="K461" s="26" t="s">
        <v>25</v>
      </c>
      <c r="L461" s="26" t="s">
        <v>26</v>
      </c>
      <c r="M461" s="26" t="s">
        <v>27</v>
      </c>
      <c r="N461" s="26" t="s">
        <v>28</v>
      </c>
      <c r="O461" s="27">
        <v>24838</v>
      </c>
      <c r="P461" s="26"/>
      <c r="Q461" s="26"/>
      <c r="R461" s="26">
        <v>36</v>
      </c>
      <c r="S461" s="26" t="s">
        <v>29</v>
      </c>
    </row>
    <row r="462" spans="1:19">
      <c r="A462" s="26">
        <v>16908</v>
      </c>
      <c r="B462" s="26" t="s">
        <v>20</v>
      </c>
      <c r="C462" s="26" t="s">
        <v>21</v>
      </c>
      <c r="D462" s="26" t="s">
        <v>21</v>
      </c>
      <c r="E462" s="26" t="s">
        <v>599</v>
      </c>
      <c r="F462" s="26" t="s">
        <v>600</v>
      </c>
      <c r="G462" s="26">
        <v>28</v>
      </c>
      <c r="H462" s="26" t="s">
        <v>24</v>
      </c>
      <c r="I462" s="26" t="s">
        <v>541</v>
      </c>
      <c r="J462" s="26" t="s">
        <v>25</v>
      </c>
      <c r="K462" s="26" t="s">
        <v>542</v>
      </c>
      <c r="L462" s="26" t="s">
        <v>26</v>
      </c>
      <c r="M462" s="26" t="s">
        <v>27</v>
      </c>
      <c r="N462" s="26" t="s">
        <v>28</v>
      </c>
      <c r="O462" s="27">
        <v>24838</v>
      </c>
      <c r="P462" s="26"/>
      <c r="Q462" s="26"/>
      <c r="R462" s="26">
        <v>28</v>
      </c>
      <c r="S462" s="26" t="s">
        <v>29</v>
      </c>
    </row>
    <row r="463" spans="1:19">
      <c r="A463" s="26">
        <v>16909</v>
      </c>
      <c r="B463" s="26" t="s">
        <v>20</v>
      </c>
      <c r="C463" s="26" t="s">
        <v>21</v>
      </c>
      <c r="D463" s="26" t="s">
        <v>21</v>
      </c>
      <c r="E463" s="26" t="s">
        <v>601</v>
      </c>
      <c r="F463" s="26" t="s">
        <v>602</v>
      </c>
      <c r="G463" s="26">
        <v>28</v>
      </c>
      <c r="H463" s="26" t="s">
        <v>24</v>
      </c>
      <c r="I463" s="26" t="s">
        <v>541</v>
      </c>
      <c r="J463" s="26" t="s">
        <v>25</v>
      </c>
      <c r="K463" s="26" t="s">
        <v>542</v>
      </c>
      <c r="L463" s="26" t="s">
        <v>26</v>
      </c>
      <c r="M463" s="26" t="s">
        <v>27</v>
      </c>
      <c r="N463" s="26" t="s">
        <v>28</v>
      </c>
      <c r="O463" s="27">
        <v>24838</v>
      </c>
      <c r="P463" s="26"/>
      <c r="Q463" s="26"/>
      <c r="R463" s="26">
        <v>28</v>
      </c>
      <c r="S463" s="26" t="s">
        <v>29</v>
      </c>
    </row>
    <row r="464" spans="1:19">
      <c r="A464" s="26">
        <v>16910</v>
      </c>
      <c r="B464" s="26" t="s">
        <v>20</v>
      </c>
      <c r="C464" s="26" t="s">
        <v>21</v>
      </c>
      <c r="D464" s="26" t="s">
        <v>21</v>
      </c>
      <c r="E464" s="26" t="s">
        <v>603</v>
      </c>
      <c r="F464" s="26" t="s">
        <v>604</v>
      </c>
      <c r="G464" s="26">
        <v>28</v>
      </c>
      <c r="H464" s="26" t="s">
        <v>24</v>
      </c>
      <c r="I464" s="26" t="s">
        <v>541</v>
      </c>
      <c r="J464" s="26" t="s">
        <v>25</v>
      </c>
      <c r="K464" s="26" t="s">
        <v>542</v>
      </c>
      <c r="L464" s="26" t="s">
        <v>26</v>
      </c>
      <c r="M464" s="26" t="s">
        <v>27</v>
      </c>
      <c r="N464" s="26" t="s">
        <v>28</v>
      </c>
      <c r="O464" s="27">
        <v>24838</v>
      </c>
      <c r="P464" s="26"/>
      <c r="Q464" s="26"/>
      <c r="R464" s="26">
        <v>28</v>
      </c>
      <c r="S464" s="26" t="s">
        <v>29</v>
      </c>
    </row>
    <row r="465" spans="1:19">
      <c r="A465" s="28">
        <v>14600</v>
      </c>
      <c r="B465" s="28" t="s">
        <v>20</v>
      </c>
      <c r="C465" s="28" t="s">
        <v>21</v>
      </c>
      <c r="D465" s="28" t="s">
        <v>21</v>
      </c>
      <c r="E465" s="28" t="s">
        <v>145</v>
      </c>
      <c r="F465" s="28" t="s">
        <v>146</v>
      </c>
      <c r="G465" s="28">
        <v>13.5</v>
      </c>
      <c r="H465" s="28" t="s">
        <v>24</v>
      </c>
      <c r="I465" s="28" t="s">
        <v>4</v>
      </c>
      <c r="J465" s="28" t="s">
        <v>25</v>
      </c>
      <c r="K465" s="28" t="s">
        <v>25</v>
      </c>
      <c r="L465" s="28" t="s">
        <v>26</v>
      </c>
      <c r="M465" s="28" t="s">
        <v>27</v>
      </c>
      <c r="N465" s="28" t="s">
        <v>28</v>
      </c>
      <c r="O465" s="29">
        <v>5845</v>
      </c>
      <c r="P465" s="28"/>
      <c r="Q465" s="28" t="s">
        <v>129</v>
      </c>
      <c r="R465" s="28">
        <v>13.5</v>
      </c>
      <c r="S465" s="28" t="s">
        <v>29</v>
      </c>
    </row>
    <row r="466" spans="1:19">
      <c r="A466" s="28">
        <v>100100</v>
      </c>
      <c r="B466" s="28" t="s">
        <v>20</v>
      </c>
      <c r="C466" s="28" t="s">
        <v>21</v>
      </c>
      <c r="D466" s="28" t="s">
        <v>21</v>
      </c>
      <c r="E466" s="28" t="s">
        <v>2964</v>
      </c>
      <c r="F466" s="28" t="s">
        <v>2965</v>
      </c>
      <c r="G466" s="28">
        <v>102</v>
      </c>
      <c r="H466" s="28" t="s">
        <v>24</v>
      </c>
      <c r="I466" s="28" t="s">
        <v>2966</v>
      </c>
      <c r="J466" s="28" t="s">
        <v>781</v>
      </c>
      <c r="K466" s="28" t="s">
        <v>781</v>
      </c>
      <c r="L466" s="28" t="s">
        <v>781</v>
      </c>
      <c r="M466" s="28" t="s">
        <v>27</v>
      </c>
      <c r="N466" s="28" t="s">
        <v>28</v>
      </c>
      <c r="O466" s="29">
        <v>40501</v>
      </c>
      <c r="P466" s="28"/>
      <c r="Q466" s="28"/>
      <c r="R466" s="28">
        <v>101.2</v>
      </c>
      <c r="S466" s="28" t="s">
        <v>29</v>
      </c>
    </row>
    <row r="467" spans="1:19">
      <c r="A467" s="28">
        <v>15300</v>
      </c>
      <c r="B467" s="28" t="s">
        <v>20</v>
      </c>
      <c r="C467" s="28" t="s">
        <v>21</v>
      </c>
      <c r="D467" s="28" t="s">
        <v>21</v>
      </c>
      <c r="E467" s="28" t="s">
        <v>983</v>
      </c>
      <c r="F467" s="28" t="s">
        <v>984</v>
      </c>
      <c r="G467" s="28">
        <v>407</v>
      </c>
      <c r="H467" s="28" t="s">
        <v>24</v>
      </c>
      <c r="I467" s="28" t="s">
        <v>4</v>
      </c>
      <c r="J467" s="28" t="s">
        <v>25</v>
      </c>
      <c r="K467" s="28" t="s">
        <v>542</v>
      </c>
      <c r="L467" s="28" t="s">
        <v>26</v>
      </c>
      <c r="M467" s="28" t="s">
        <v>27</v>
      </c>
      <c r="N467" s="28" t="s">
        <v>28</v>
      </c>
      <c r="O467" s="29">
        <v>30682</v>
      </c>
      <c r="P467" s="28"/>
      <c r="Q467" s="28" t="s">
        <v>243</v>
      </c>
      <c r="R467" s="28">
        <v>407</v>
      </c>
      <c r="S467" s="28" t="s">
        <v>29</v>
      </c>
    </row>
    <row r="468" spans="1:19">
      <c r="A468" s="28">
        <v>15400</v>
      </c>
      <c r="B468" s="28" t="s">
        <v>20</v>
      </c>
      <c r="C468" s="28" t="s">
        <v>21</v>
      </c>
      <c r="D468" s="28" t="s">
        <v>21</v>
      </c>
      <c r="E468" s="28" t="s">
        <v>985</v>
      </c>
      <c r="F468" s="28" t="s">
        <v>986</v>
      </c>
      <c r="G468" s="28">
        <v>407</v>
      </c>
      <c r="H468" s="28" t="s">
        <v>24</v>
      </c>
      <c r="I468" s="28" t="s">
        <v>4</v>
      </c>
      <c r="J468" s="28" t="s">
        <v>25</v>
      </c>
      <c r="K468" s="28" t="s">
        <v>542</v>
      </c>
      <c r="L468" s="28" t="s">
        <v>26</v>
      </c>
      <c r="M468" s="28" t="s">
        <v>27</v>
      </c>
      <c r="N468" s="28" t="s">
        <v>28</v>
      </c>
      <c r="O468" s="29">
        <v>30682</v>
      </c>
      <c r="P468" s="28"/>
      <c r="Q468" s="28" t="s">
        <v>243</v>
      </c>
      <c r="R468" s="28">
        <v>407</v>
      </c>
      <c r="S468" s="28" t="s">
        <v>29</v>
      </c>
    </row>
    <row r="469" spans="1:19">
      <c r="A469" s="28">
        <v>15500</v>
      </c>
      <c r="B469" s="28" t="s">
        <v>20</v>
      </c>
      <c r="C469" s="28" t="s">
        <v>21</v>
      </c>
      <c r="D469" s="28" t="s">
        <v>21</v>
      </c>
      <c r="E469" s="28" t="s">
        <v>987</v>
      </c>
      <c r="F469" s="28" t="s">
        <v>988</v>
      </c>
      <c r="G469" s="28">
        <v>404</v>
      </c>
      <c r="H469" s="28" t="s">
        <v>24</v>
      </c>
      <c r="I469" s="28" t="s">
        <v>4</v>
      </c>
      <c r="J469" s="28" t="s">
        <v>25</v>
      </c>
      <c r="K469" s="28" t="s">
        <v>542</v>
      </c>
      <c r="L469" s="28" t="s">
        <v>26</v>
      </c>
      <c r="M469" s="28" t="s">
        <v>27</v>
      </c>
      <c r="N469" s="28" t="s">
        <v>28</v>
      </c>
      <c r="O469" s="29">
        <v>30682</v>
      </c>
      <c r="P469" s="28"/>
      <c r="Q469" s="28" t="s">
        <v>243</v>
      </c>
      <c r="R469" s="28">
        <v>404</v>
      </c>
      <c r="S469" s="28" t="s">
        <v>29</v>
      </c>
    </row>
    <row r="470" spans="1:19">
      <c r="A470" s="28">
        <v>15600</v>
      </c>
      <c r="B470" s="28" t="s">
        <v>20</v>
      </c>
      <c r="C470" s="28" t="s">
        <v>21</v>
      </c>
      <c r="D470" s="28" t="s">
        <v>21</v>
      </c>
      <c r="E470" s="28" t="s">
        <v>2525</v>
      </c>
      <c r="F470" s="28" t="s">
        <v>2526</v>
      </c>
      <c r="G470" s="28">
        <v>49.98</v>
      </c>
      <c r="H470" s="28" t="s">
        <v>24</v>
      </c>
      <c r="I470" s="28" t="s">
        <v>2297</v>
      </c>
      <c r="J470" s="28" t="s">
        <v>295</v>
      </c>
      <c r="K470" s="28" t="s">
        <v>580</v>
      </c>
      <c r="L470" s="28" t="s">
        <v>240</v>
      </c>
      <c r="M470" s="28" t="s">
        <v>27</v>
      </c>
      <c r="N470" s="28" t="s">
        <v>28</v>
      </c>
      <c r="O470" s="29">
        <v>37438</v>
      </c>
      <c r="P470" s="28"/>
      <c r="Q470" s="28"/>
      <c r="R470" s="28">
        <v>49</v>
      </c>
      <c r="S470" s="28" t="s">
        <v>29</v>
      </c>
    </row>
    <row r="471" spans="1:19">
      <c r="A471" s="28">
        <v>15700</v>
      </c>
      <c r="B471" s="28" t="s">
        <v>20</v>
      </c>
      <c r="C471" s="28" t="s">
        <v>21</v>
      </c>
      <c r="D471" s="28" t="s">
        <v>21</v>
      </c>
      <c r="E471" s="28" t="s">
        <v>2527</v>
      </c>
      <c r="F471" s="28" t="s">
        <v>2528</v>
      </c>
      <c r="G471" s="28">
        <v>49.42</v>
      </c>
      <c r="H471" s="28" t="s">
        <v>24</v>
      </c>
      <c r="I471" s="28" t="s">
        <v>2297</v>
      </c>
      <c r="J471" s="28" t="s">
        <v>295</v>
      </c>
      <c r="K471" s="28" t="s">
        <v>580</v>
      </c>
      <c r="L471" s="28" t="s">
        <v>240</v>
      </c>
      <c r="M471" s="28" t="s">
        <v>27</v>
      </c>
      <c r="N471" s="28" t="s">
        <v>28</v>
      </c>
      <c r="O471" s="29">
        <v>37438</v>
      </c>
      <c r="P471" s="28"/>
      <c r="Q471" s="28"/>
      <c r="R471" s="28">
        <v>49</v>
      </c>
      <c r="S471" s="28" t="s">
        <v>29</v>
      </c>
    </row>
    <row r="472" spans="1:19">
      <c r="A472" s="28">
        <v>77500</v>
      </c>
      <c r="B472" s="28" t="s">
        <v>20</v>
      </c>
      <c r="C472" s="28" t="s">
        <v>21</v>
      </c>
      <c r="D472" s="28" t="s">
        <v>21</v>
      </c>
      <c r="E472" s="28" t="s">
        <v>1765</v>
      </c>
      <c r="F472" s="28" t="s">
        <v>1766</v>
      </c>
      <c r="G472" s="28">
        <v>0.5</v>
      </c>
      <c r="H472" s="28" t="s">
        <v>24</v>
      </c>
      <c r="I472" s="28" t="s">
        <v>773</v>
      </c>
      <c r="J472" s="28" t="s">
        <v>25</v>
      </c>
      <c r="K472" s="28" t="s">
        <v>25</v>
      </c>
      <c r="L472" s="28" t="s">
        <v>26</v>
      </c>
      <c r="M472" s="28" t="s">
        <v>27</v>
      </c>
      <c r="N472" s="28" t="s">
        <v>28</v>
      </c>
      <c r="O472" s="29">
        <v>32509</v>
      </c>
      <c r="P472" s="28"/>
      <c r="Q472" s="28"/>
      <c r="R472" s="28">
        <v>0.5</v>
      </c>
      <c r="S472" s="28" t="s">
        <v>29</v>
      </c>
    </row>
    <row r="473" spans="1:19" ht="29.25">
      <c r="A473" s="28">
        <v>99600</v>
      </c>
      <c r="B473" s="28" t="s">
        <v>20</v>
      </c>
      <c r="C473" s="28" t="s">
        <v>21</v>
      </c>
      <c r="D473" s="28" t="s">
        <v>21</v>
      </c>
      <c r="E473" s="28" t="s">
        <v>2955</v>
      </c>
      <c r="F473" s="28" t="s">
        <v>2956</v>
      </c>
      <c r="G473" s="28">
        <v>48.81</v>
      </c>
      <c r="H473" s="28" t="s">
        <v>24</v>
      </c>
      <c r="I473" s="28" t="s">
        <v>4</v>
      </c>
      <c r="J473" s="28" t="s">
        <v>365</v>
      </c>
      <c r="K473" s="28" t="s">
        <v>296</v>
      </c>
      <c r="L473" s="28" t="s">
        <v>240</v>
      </c>
      <c r="M473" s="28" t="s">
        <v>27</v>
      </c>
      <c r="N473" s="28" t="s">
        <v>28</v>
      </c>
      <c r="O473" s="29">
        <v>40450</v>
      </c>
      <c r="P473" s="28"/>
      <c r="Q473" s="28"/>
      <c r="R473" s="28">
        <v>48.81</v>
      </c>
      <c r="S473" s="28" t="s">
        <v>29</v>
      </c>
    </row>
    <row r="474" spans="1:19" ht="29.25">
      <c r="A474" s="28">
        <v>99700</v>
      </c>
      <c r="B474" s="28" t="s">
        <v>20</v>
      </c>
      <c r="C474" s="28" t="s">
        <v>21</v>
      </c>
      <c r="D474" s="28" t="s">
        <v>21</v>
      </c>
      <c r="E474" s="28" t="s">
        <v>2957</v>
      </c>
      <c r="F474" s="28" t="s">
        <v>2958</v>
      </c>
      <c r="G474" s="28">
        <v>48.81</v>
      </c>
      <c r="H474" s="28" t="s">
        <v>24</v>
      </c>
      <c r="I474" s="28" t="s">
        <v>4</v>
      </c>
      <c r="J474" s="28" t="s">
        <v>365</v>
      </c>
      <c r="K474" s="28" t="s">
        <v>296</v>
      </c>
      <c r="L474" s="28" t="s">
        <v>240</v>
      </c>
      <c r="M474" s="28" t="s">
        <v>27</v>
      </c>
      <c r="N474" s="28" t="s">
        <v>28</v>
      </c>
      <c r="O474" s="29">
        <v>40450</v>
      </c>
      <c r="P474" s="28"/>
      <c r="Q474" s="28"/>
      <c r="R474" s="28">
        <v>48.81</v>
      </c>
      <c r="S474" s="28" t="s">
        <v>29</v>
      </c>
    </row>
    <row r="475" spans="1:19" ht="29.25">
      <c r="A475" s="28">
        <v>99500</v>
      </c>
      <c r="B475" s="28" t="s">
        <v>20</v>
      </c>
      <c r="C475" s="28" t="s">
        <v>21</v>
      </c>
      <c r="D475" s="28" t="s">
        <v>21</v>
      </c>
      <c r="E475" s="28" t="s">
        <v>2959</v>
      </c>
      <c r="F475" s="28" t="s">
        <v>2960</v>
      </c>
      <c r="G475" s="28">
        <v>65.08</v>
      </c>
      <c r="H475" s="28" t="s">
        <v>24</v>
      </c>
      <c r="I475" s="28" t="s">
        <v>4</v>
      </c>
      <c r="J475" s="28" t="s">
        <v>365</v>
      </c>
      <c r="K475" s="28" t="s">
        <v>296</v>
      </c>
      <c r="L475" s="28" t="s">
        <v>240</v>
      </c>
      <c r="M475" s="28" t="s">
        <v>27</v>
      </c>
      <c r="N475" s="28" t="s">
        <v>28</v>
      </c>
      <c r="O475" s="29">
        <v>40450</v>
      </c>
      <c r="P475" s="28"/>
      <c r="Q475" s="28"/>
      <c r="R475" s="28">
        <v>65.08</v>
      </c>
      <c r="S475" s="28" t="s">
        <v>29</v>
      </c>
    </row>
    <row r="476" spans="1:19">
      <c r="A476" s="28">
        <v>16500</v>
      </c>
      <c r="B476" s="28" t="s">
        <v>20</v>
      </c>
      <c r="C476" s="28" t="s">
        <v>21</v>
      </c>
      <c r="D476" s="28" t="s">
        <v>21</v>
      </c>
      <c r="E476" s="28" t="s">
        <v>3161</v>
      </c>
      <c r="F476" s="28" t="s">
        <v>3162</v>
      </c>
      <c r="G476" s="28">
        <v>225.75</v>
      </c>
      <c r="H476" s="28" t="s">
        <v>5</v>
      </c>
      <c r="I476" s="28" t="s">
        <v>369</v>
      </c>
      <c r="J476" s="28" t="s">
        <v>365</v>
      </c>
      <c r="K476" s="28" t="s">
        <v>366</v>
      </c>
      <c r="L476" s="28" t="s">
        <v>240</v>
      </c>
      <c r="M476" s="28" t="s">
        <v>38</v>
      </c>
      <c r="N476" s="28" t="s">
        <v>39</v>
      </c>
      <c r="O476" s="28" t="s">
        <v>4687</v>
      </c>
      <c r="P476" s="28"/>
      <c r="Q476" s="28"/>
      <c r="R476" s="28">
        <v>226</v>
      </c>
      <c r="S476" s="28" t="s">
        <v>29</v>
      </c>
    </row>
    <row r="477" spans="1:19">
      <c r="A477" s="28">
        <v>16600</v>
      </c>
      <c r="B477" s="28" t="s">
        <v>20</v>
      </c>
      <c r="C477" s="28" t="s">
        <v>21</v>
      </c>
      <c r="D477" s="28" t="s">
        <v>21</v>
      </c>
      <c r="E477" s="28" t="s">
        <v>3163</v>
      </c>
      <c r="F477" s="28" t="s">
        <v>3164</v>
      </c>
      <c r="G477" s="28">
        <v>225.8</v>
      </c>
      <c r="H477" s="28" t="s">
        <v>5</v>
      </c>
      <c r="I477" s="28" t="s">
        <v>369</v>
      </c>
      <c r="J477" s="28" t="s">
        <v>365</v>
      </c>
      <c r="K477" s="28" t="s">
        <v>366</v>
      </c>
      <c r="L477" s="28" t="s">
        <v>240</v>
      </c>
      <c r="M477" s="28" t="s">
        <v>38</v>
      </c>
      <c r="N477" s="28" t="s">
        <v>39</v>
      </c>
      <c r="O477" s="28" t="s">
        <v>4687</v>
      </c>
      <c r="P477" s="28"/>
      <c r="Q477" s="28"/>
      <c r="R477" s="28">
        <v>226</v>
      </c>
      <c r="S477" s="28" t="s">
        <v>29</v>
      </c>
    </row>
    <row r="478" spans="1:19">
      <c r="A478" s="28">
        <v>105400</v>
      </c>
      <c r="B478" s="28" t="s">
        <v>20</v>
      </c>
      <c r="C478" s="28" t="s">
        <v>21</v>
      </c>
      <c r="D478" s="28" t="s">
        <v>21</v>
      </c>
      <c r="E478" s="28" t="s">
        <v>4468</v>
      </c>
      <c r="F478" s="28" t="s">
        <v>4469</v>
      </c>
      <c r="G478" s="28">
        <v>20</v>
      </c>
      <c r="H478" s="28" t="s">
        <v>24</v>
      </c>
      <c r="I478" s="28" t="s">
        <v>3028</v>
      </c>
      <c r="J478" s="28" t="s">
        <v>1025</v>
      </c>
      <c r="K478" s="28" t="s">
        <v>2138</v>
      </c>
      <c r="L478" s="28" t="s">
        <v>1026</v>
      </c>
      <c r="M478" s="28" t="s">
        <v>27</v>
      </c>
      <c r="N478" s="28" t="s">
        <v>28</v>
      </c>
      <c r="O478" s="29">
        <v>41151</v>
      </c>
      <c r="P478" s="28"/>
      <c r="Q478" s="28"/>
      <c r="R478" s="28">
        <v>20</v>
      </c>
      <c r="S478" s="28" t="s">
        <v>29</v>
      </c>
    </row>
    <row r="479" spans="1:19">
      <c r="A479" s="28">
        <v>17300</v>
      </c>
      <c r="B479" s="28" t="s">
        <v>20</v>
      </c>
      <c r="C479" s="28" t="s">
        <v>21</v>
      </c>
      <c r="D479" s="28" t="s">
        <v>21</v>
      </c>
      <c r="E479" s="28" t="s">
        <v>740</v>
      </c>
      <c r="F479" s="28" t="s">
        <v>741</v>
      </c>
      <c r="G479" s="28">
        <v>8</v>
      </c>
      <c r="H479" s="28" t="s">
        <v>24</v>
      </c>
      <c r="I479" s="28" t="s">
        <v>4</v>
      </c>
      <c r="J479" s="28" t="s">
        <v>25</v>
      </c>
      <c r="K479" s="28" t="s">
        <v>25</v>
      </c>
      <c r="L479" s="28" t="s">
        <v>26</v>
      </c>
      <c r="M479" s="28" t="s">
        <v>27</v>
      </c>
      <c r="N479" s="28" t="s">
        <v>28</v>
      </c>
      <c r="O479" s="29">
        <v>28856</v>
      </c>
      <c r="P479" s="28"/>
      <c r="Q479" s="28" t="s">
        <v>737</v>
      </c>
      <c r="R479" s="28">
        <v>8</v>
      </c>
      <c r="S479" s="28" t="s">
        <v>29</v>
      </c>
    </row>
    <row r="480" spans="1:19">
      <c r="A480" s="28">
        <v>109800</v>
      </c>
      <c r="B480" s="28" t="s">
        <v>20</v>
      </c>
      <c r="C480" s="28" t="s">
        <v>21</v>
      </c>
      <c r="D480" s="28" t="s">
        <v>21</v>
      </c>
      <c r="E480" s="28" t="s">
        <v>4470</v>
      </c>
      <c r="F480" s="28" t="s">
        <v>4471</v>
      </c>
      <c r="G480" s="28">
        <v>130</v>
      </c>
      <c r="H480" s="28" t="s">
        <v>143</v>
      </c>
      <c r="I480" s="28" t="s">
        <v>4472</v>
      </c>
      <c r="J480" s="28" t="s">
        <v>1025</v>
      </c>
      <c r="K480" s="28" t="s">
        <v>2138</v>
      </c>
      <c r="L480" s="28" t="s">
        <v>1026</v>
      </c>
      <c r="M480" s="28" t="s">
        <v>38</v>
      </c>
      <c r="N480" s="28" t="s">
        <v>144</v>
      </c>
      <c r="O480" s="29">
        <v>41558</v>
      </c>
      <c r="P480" s="28"/>
      <c r="Q480" s="28"/>
      <c r="R480" s="28">
        <v>130</v>
      </c>
      <c r="S480" s="28" t="s">
        <v>29</v>
      </c>
    </row>
    <row r="481" spans="1:19">
      <c r="A481" s="28">
        <v>17000</v>
      </c>
      <c r="B481" s="28" t="s">
        <v>20</v>
      </c>
      <c r="C481" s="28" t="s">
        <v>21</v>
      </c>
      <c r="D481" s="28" t="s">
        <v>21</v>
      </c>
      <c r="E481" s="28" t="s">
        <v>2462</v>
      </c>
      <c r="F481" s="28" t="s">
        <v>2463</v>
      </c>
      <c r="G481" s="28">
        <v>44</v>
      </c>
      <c r="H481" s="28" t="s">
        <v>5</v>
      </c>
      <c r="I481" s="28" t="s">
        <v>2452</v>
      </c>
      <c r="J481" s="28" t="s">
        <v>295</v>
      </c>
      <c r="K481" s="28" t="s">
        <v>580</v>
      </c>
      <c r="L481" s="28" t="s">
        <v>240</v>
      </c>
      <c r="M481" s="28" t="s">
        <v>38</v>
      </c>
      <c r="N481" s="28" t="s">
        <v>39</v>
      </c>
      <c r="O481" s="29">
        <v>37153</v>
      </c>
      <c r="P481" s="28"/>
      <c r="Q481" s="28"/>
      <c r="R481" s="28">
        <v>45</v>
      </c>
      <c r="S481" s="28" t="s">
        <v>29</v>
      </c>
    </row>
    <row r="482" spans="1:19">
      <c r="A482" s="28">
        <v>17100</v>
      </c>
      <c r="B482" s="28" t="s">
        <v>20</v>
      </c>
      <c r="C482" s="28" t="s">
        <v>21</v>
      </c>
      <c r="D482" s="28" t="s">
        <v>21</v>
      </c>
      <c r="E482" s="28" t="s">
        <v>2464</v>
      </c>
      <c r="F482" s="28" t="s">
        <v>2465</v>
      </c>
      <c r="G482" s="28">
        <v>44.53</v>
      </c>
      <c r="H482" s="28" t="s">
        <v>5</v>
      </c>
      <c r="I482" s="28" t="s">
        <v>2452</v>
      </c>
      <c r="J482" s="28" t="s">
        <v>295</v>
      </c>
      <c r="K482" s="28" t="s">
        <v>580</v>
      </c>
      <c r="L482" s="28" t="s">
        <v>240</v>
      </c>
      <c r="M482" s="28" t="s">
        <v>38</v>
      </c>
      <c r="N482" s="28" t="s">
        <v>39</v>
      </c>
      <c r="O482" s="29">
        <v>37153</v>
      </c>
      <c r="P482" s="28"/>
      <c r="Q482" s="28"/>
      <c r="R482" s="28">
        <v>45</v>
      </c>
      <c r="S482" s="28" t="s">
        <v>29</v>
      </c>
    </row>
    <row r="483" spans="1:19">
      <c r="A483" s="28">
        <v>17200</v>
      </c>
      <c r="B483" s="28" t="s">
        <v>20</v>
      </c>
      <c r="C483" s="28" t="s">
        <v>21</v>
      </c>
      <c r="D483" s="28" t="s">
        <v>21</v>
      </c>
      <c r="E483" s="28" t="s">
        <v>2466</v>
      </c>
      <c r="F483" s="28" t="s">
        <v>2467</v>
      </c>
      <c r="G483" s="28">
        <v>43.69</v>
      </c>
      <c r="H483" s="28" t="s">
        <v>5</v>
      </c>
      <c r="I483" s="28" t="s">
        <v>2452</v>
      </c>
      <c r="J483" s="28" t="s">
        <v>295</v>
      </c>
      <c r="K483" s="28" t="s">
        <v>580</v>
      </c>
      <c r="L483" s="28" t="s">
        <v>240</v>
      </c>
      <c r="M483" s="28" t="s">
        <v>38</v>
      </c>
      <c r="N483" s="28" t="s">
        <v>39</v>
      </c>
      <c r="O483" s="29">
        <v>37153</v>
      </c>
      <c r="P483" s="28"/>
      <c r="Q483" s="28"/>
      <c r="R483" s="28">
        <v>45</v>
      </c>
      <c r="S483" s="28" t="s">
        <v>29</v>
      </c>
    </row>
    <row r="484" spans="1:19" ht="72">
      <c r="A484" s="28">
        <v>104200</v>
      </c>
      <c r="B484" s="28" t="s">
        <v>20</v>
      </c>
      <c r="C484" s="28" t="s">
        <v>21</v>
      </c>
      <c r="D484" s="28" t="s">
        <v>21</v>
      </c>
      <c r="E484" s="28" t="s">
        <v>3096</v>
      </c>
      <c r="F484" s="28" t="s">
        <v>3097</v>
      </c>
      <c r="G484" s="28">
        <v>1.5</v>
      </c>
      <c r="H484" s="28" t="s">
        <v>5</v>
      </c>
      <c r="I484" s="28" t="s">
        <v>3098</v>
      </c>
      <c r="J484" s="28" t="s">
        <v>1025</v>
      </c>
      <c r="K484" s="28" t="s">
        <v>2138</v>
      </c>
      <c r="L484" s="28" t="s">
        <v>1026</v>
      </c>
      <c r="M484" s="28" t="s">
        <v>38</v>
      </c>
      <c r="N484" s="28" t="s">
        <v>39</v>
      </c>
      <c r="O484" s="29">
        <v>41002</v>
      </c>
      <c r="P484" s="28" t="s">
        <v>3099</v>
      </c>
      <c r="Q484" s="28"/>
      <c r="R484" s="28">
        <v>1.75</v>
      </c>
      <c r="S484" s="28" t="s">
        <v>29</v>
      </c>
    </row>
    <row r="485" spans="1:19" ht="29.25">
      <c r="A485" s="28">
        <v>99000</v>
      </c>
      <c r="B485" s="28" t="s">
        <v>20</v>
      </c>
      <c r="C485" s="28" t="s">
        <v>21</v>
      </c>
      <c r="D485" s="28" t="s">
        <v>21</v>
      </c>
      <c r="E485" s="28" t="s">
        <v>2929</v>
      </c>
      <c r="F485" s="28" t="s">
        <v>2930</v>
      </c>
      <c r="G485" s="28">
        <v>366.32</v>
      </c>
      <c r="H485" s="28" t="s">
        <v>5</v>
      </c>
      <c r="I485" s="28" t="s">
        <v>2931</v>
      </c>
      <c r="J485" s="28" t="s">
        <v>365</v>
      </c>
      <c r="K485" s="28" t="s">
        <v>705</v>
      </c>
      <c r="L485" s="28" t="s">
        <v>240</v>
      </c>
      <c r="M485" s="28" t="s">
        <v>38</v>
      </c>
      <c r="N485" s="28" t="s">
        <v>39</v>
      </c>
      <c r="O485" s="29">
        <v>40337</v>
      </c>
      <c r="P485" s="28"/>
      <c r="Q485" s="28"/>
      <c r="R485" s="28">
        <v>405</v>
      </c>
      <c r="S485" s="28" t="s">
        <v>29</v>
      </c>
    </row>
    <row r="486" spans="1:19" ht="29.25">
      <c r="A486" s="28">
        <v>97600</v>
      </c>
      <c r="B486" s="28" t="s">
        <v>20</v>
      </c>
      <c r="C486" s="28" t="s">
        <v>21</v>
      </c>
      <c r="D486" s="28" t="s">
        <v>21</v>
      </c>
      <c r="E486" s="28" t="s">
        <v>2900</v>
      </c>
      <c r="F486" s="28" t="s">
        <v>2901</v>
      </c>
      <c r="G486" s="28">
        <v>376.2</v>
      </c>
      <c r="H486" s="28" t="s">
        <v>5</v>
      </c>
      <c r="I486" s="28" t="s">
        <v>2902</v>
      </c>
      <c r="J486" s="28" t="s">
        <v>365</v>
      </c>
      <c r="K486" s="28" t="s">
        <v>705</v>
      </c>
      <c r="L486" s="28" t="s">
        <v>240</v>
      </c>
      <c r="M486" s="28" t="s">
        <v>38</v>
      </c>
      <c r="N486" s="28" t="s">
        <v>39</v>
      </c>
      <c r="O486" s="29">
        <v>39993</v>
      </c>
      <c r="P486" s="28"/>
      <c r="Q486" s="28"/>
      <c r="R486" s="28">
        <v>405</v>
      </c>
      <c r="S486" s="28" t="s">
        <v>29</v>
      </c>
    </row>
    <row r="487" spans="1:19">
      <c r="A487" s="28">
        <v>17400</v>
      </c>
      <c r="B487" s="28" t="s">
        <v>20</v>
      </c>
      <c r="C487" s="28" t="s">
        <v>21</v>
      </c>
      <c r="D487" s="28" t="s">
        <v>21</v>
      </c>
      <c r="E487" s="28" t="s">
        <v>514</v>
      </c>
      <c r="F487" s="28" t="s">
        <v>515</v>
      </c>
      <c r="G487" s="28">
        <v>85</v>
      </c>
      <c r="H487" s="28" t="s">
        <v>24</v>
      </c>
      <c r="I487" s="28" t="s">
        <v>4</v>
      </c>
      <c r="J487" s="28" t="s">
        <v>25</v>
      </c>
      <c r="K487" s="28" t="s">
        <v>25</v>
      </c>
      <c r="L487" s="28" t="s">
        <v>26</v>
      </c>
      <c r="M487" s="28" t="s">
        <v>27</v>
      </c>
      <c r="N487" s="28" t="s">
        <v>28</v>
      </c>
      <c r="O487" s="29">
        <v>24108</v>
      </c>
      <c r="P487" s="28"/>
      <c r="Q487" s="28" t="s">
        <v>188</v>
      </c>
      <c r="R487" s="28">
        <v>85</v>
      </c>
      <c r="S487" s="28" t="s">
        <v>29</v>
      </c>
    </row>
    <row r="488" spans="1:19">
      <c r="A488" s="28">
        <v>17500</v>
      </c>
      <c r="B488" s="28" t="s">
        <v>20</v>
      </c>
      <c r="C488" s="28" t="s">
        <v>21</v>
      </c>
      <c r="D488" s="28" t="s">
        <v>21</v>
      </c>
      <c r="E488" s="28" t="s">
        <v>498</v>
      </c>
      <c r="F488" s="28" t="s">
        <v>499</v>
      </c>
      <c r="G488" s="28">
        <v>84.1</v>
      </c>
      <c r="H488" s="28" t="s">
        <v>24</v>
      </c>
      <c r="I488" s="28" t="s">
        <v>4</v>
      </c>
      <c r="J488" s="28" t="s">
        <v>25</v>
      </c>
      <c r="K488" s="28" t="s">
        <v>25</v>
      </c>
      <c r="L488" s="28" t="s">
        <v>26</v>
      </c>
      <c r="M488" s="28" t="s">
        <v>27</v>
      </c>
      <c r="N488" s="28" t="s">
        <v>28</v>
      </c>
      <c r="O488" s="29">
        <v>23743</v>
      </c>
      <c r="P488" s="28"/>
      <c r="Q488" s="28" t="s">
        <v>188</v>
      </c>
      <c r="R488" s="28">
        <v>84.1</v>
      </c>
      <c r="S488" s="28" t="s">
        <v>29</v>
      </c>
    </row>
    <row r="489" spans="1:19">
      <c r="A489" s="28">
        <v>111500</v>
      </c>
      <c r="B489" s="28" t="s">
        <v>20</v>
      </c>
      <c r="C489" s="28" t="s">
        <v>21</v>
      </c>
      <c r="D489" s="28" t="s">
        <v>21</v>
      </c>
      <c r="E489" s="28" t="s">
        <v>4742</v>
      </c>
      <c r="F489" s="28" t="s">
        <v>4743</v>
      </c>
      <c r="G489" s="28">
        <v>1.42</v>
      </c>
      <c r="H489" s="28" t="s">
        <v>24</v>
      </c>
      <c r="I489" s="28" t="s">
        <v>4744</v>
      </c>
      <c r="J489" s="28" t="s">
        <v>788</v>
      </c>
      <c r="K489" s="28" t="s">
        <v>2258</v>
      </c>
      <c r="L489" s="28" t="s">
        <v>888</v>
      </c>
      <c r="M489" s="28" t="s">
        <v>27</v>
      </c>
      <c r="N489" s="28" t="s">
        <v>28</v>
      </c>
      <c r="O489" s="29">
        <v>41463</v>
      </c>
      <c r="P489" s="28"/>
      <c r="Q489" s="28"/>
      <c r="R489" s="28">
        <v>1.42</v>
      </c>
      <c r="S489" s="28" t="s">
        <v>29</v>
      </c>
    </row>
    <row r="490" spans="1:19">
      <c r="A490" s="28">
        <v>106600</v>
      </c>
      <c r="B490" s="28" t="s">
        <v>20</v>
      </c>
      <c r="C490" s="28" t="s">
        <v>21</v>
      </c>
      <c r="D490" s="28" t="s">
        <v>21</v>
      </c>
      <c r="E490" s="28" t="s">
        <v>4473</v>
      </c>
      <c r="F490" s="28" t="s">
        <v>4474</v>
      </c>
      <c r="G490" s="28">
        <v>1.5</v>
      </c>
      <c r="H490" s="28" t="s">
        <v>24</v>
      </c>
      <c r="I490" s="28" t="s">
        <v>4475</v>
      </c>
      <c r="J490" s="28" t="s">
        <v>1025</v>
      </c>
      <c r="K490" s="28" t="s">
        <v>2138</v>
      </c>
      <c r="L490" s="28" t="s">
        <v>1026</v>
      </c>
      <c r="M490" s="28" t="s">
        <v>27</v>
      </c>
      <c r="N490" s="28" t="s">
        <v>28</v>
      </c>
      <c r="O490" s="29">
        <v>41264</v>
      </c>
      <c r="P490" s="28"/>
      <c r="Q490" s="28"/>
      <c r="R490" s="28">
        <v>1.5</v>
      </c>
      <c r="S490" s="28" t="s">
        <v>29</v>
      </c>
    </row>
    <row r="491" spans="1:19" ht="43.5">
      <c r="A491" s="24">
        <v>17700</v>
      </c>
      <c r="B491" s="24" t="s">
        <v>20</v>
      </c>
      <c r="C491" s="24" t="s">
        <v>21</v>
      </c>
      <c r="D491" s="24" t="s">
        <v>30</v>
      </c>
      <c r="E491" s="24" t="s">
        <v>134</v>
      </c>
      <c r="F491" s="24" t="s">
        <v>135</v>
      </c>
      <c r="G491" s="24">
        <v>6.55</v>
      </c>
      <c r="H491" s="24" t="s">
        <v>5</v>
      </c>
      <c r="I491" s="24" t="s">
        <v>5</v>
      </c>
      <c r="J491" s="24" t="s">
        <v>25</v>
      </c>
      <c r="K491" s="24" t="s">
        <v>25</v>
      </c>
      <c r="L491" s="24" t="s">
        <v>26</v>
      </c>
      <c r="M491" s="24" t="s">
        <v>38</v>
      </c>
      <c r="N491" s="24" t="s">
        <v>39</v>
      </c>
      <c r="O491" s="25">
        <v>4750</v>
      </c>
      <c r="P491" s="24" t="s">
        <v>40</v>
      </c>
      <c r="Q491" s="24"/>
      <c r="R491" s="24">
        <v>6.55</v>
      </c>
      <c r="S491" s="24" t="s">
        <v>29</v>
      </c>
    </row>
    <row r="492" spans="1:19">
      <c r="A492" s="26">
        <v>17701</v>
      </c>
      <c r="B492" s="26" t="s">
        <v>20</v>
      </c>
      <c r="C492" s="26" t="s">
        <v>21</v>
      </c>
      <c r="D492" s="26" t="s">
        <v>21</v>
      </c>
      <c r="E492" s="26"/>
      <c r="F492" s="26" t="s">
        <v>260</v>
      </c>
      <c r="G492" s="26"/>
      <c r="H492" s="26" t="s">
        <v>5</v>
      </c>
      <c r="I492" s="26" t="s">
        <v>5</v>
      </c>
      <c r="J492" s="26" t="s">
        <v>25</v>
      </c>
      <c r="K492" s="26" t="s">
        <v>25</v>
      </c>
      <c r="L492" s="26" t="s">
        <v>26</v>
      </c>
      <c r="M492" s="26" t="s">
        <v>38</v>
      </c>
      <c r="N492" s="26" t="s">
        <v>39</v>
      </c>
      <c r="O492" s="27">
        <v>10594</v>
      </c>
      <c r="P492" s="26"/>
      <c r="Q492" s="26"/>
      <c r="R492" s="26">
        <v>2.0499999999999998</v>
      </c>
      <c r="S492" s="26" t="s">
        <v>29</v>
      </c>
    </row>
    <row r="493" spans="1:19">
      <c r="A493" s="26">
        <v>17703</v>
      </c>
      <c r="B493" s="26" t="s">
        <v>20</v>
      </c>
      <c r="C493" s="26" t="s">
        <v>21</v>
      </c>
      <c r="D493" s="26" t="s">
        <v>21</v>
      </c>
      <c r="E493" s="26"/>
      <c r="F493" s="26" t="s">
        <v>137</v>
      </c>
      <c r="G493" s="26"/>
      <c r="H493" s="26" t="s">
        <v>5</v>
      </c>
      <c r="I493" s="26" t="s">
        <v>5</v>
      </c>
      <c r="J493" s="26" t="s">
        <v>25</v>
      </c>
      <c r="K493" s="26" t="s">
        <v>25</v>
      </c>
      <c r="L493" s="26" t="s">
        <v>26</v>
      </c>
      <c r="M493" s="26" t="s">
        <v>38</v>
      </c>
      <c r="N493" s="26" t="s">
        <v>39</v>
      </c>
      <c r="O493" s="27">
        <v>4750</v>
      </c>
      <c r="P493" s="26"/>
      <c r="Q493" s="26"/>
      <c r="R493" s="26">
        <v>2.1</v>
      </c>
      <c r="S493" s="26" t="s">
        <v>29</v>
      </c>
    </row>
    <row r="494" spans="1:19">
      <c r="A494" s="26">
        <v>17702</v>
      </c>
      <c r="B494" s="26" t="s">
        <v>20</v>
      </c>
      <c r="C494" s="26" t="s">
        <v>21</v>
      </c>
      <c r="D494" s="26" t="s">
        <v>21</v>
      </c>
      <c r="E494" s="26"/>
      <c r="F494" s="26" t="s">
        <v>136</v>
      </c>
      <c r="G494" s="26"/>
      <c r="H494" s="26" t="s">
        <v>5</v>
      </c>
      <c r="I494" s="26" t="s">
        <v>5</v>
      </c>
      <c r="J494" s="26" t="s">
        <v>25</v>
      </c>
      <c r="K494" s="26" t="s">
        <v>25</v>
      </c>
      <c r="L494" s="26" t="s">
        <v>26</v>
      </c>
      <c r="M494" s="26" t="s">
        <v>38</v>
      </c>
      <c r="N494" s="26" t="s">
        <v>39</v>
      </c>
      <c r="O494" s="27">
        <v>4750</v>
      </c>
      <c r="P494" s="26"/>
      <c r="Q494" s="26"/>
      <c r="R494" s="26">
        <v>2.4</v>
      </c>
      <c r="S494" s="26" t="s">
        <v>29</v>
      </c>
    </row>
    <row r="495" spans="1:19">
      <c r="A495" s="24">
        <v>18000</v>
      </c>
      <c r="B495" s="24" t="s">
        <v>20</v>
      </c>
      <c r="C495" s="24" t="s">
        <v>21</v>
      </c>
      <c r="D495" s="24" t="s">
        <v>30</v>
      </c>
      <c r="E495" s="24" t="s">
        <v>614</v>
      </c>
      <c r="F495" s="24" t="s">
        <v>615</v>
      </c>
      <c r="G495" s="24">
        <v>59</v>
      </c>
      <c r="H495" s="24" t="s">
        <v>143</v>
      </c>
      <c r="I495" s="24" t="s">
        <v>479</v>
      </c>
      <c r="J495" s="24" t="s">
        <v>295</v>
      </c>
      <c r="K495" s="24" t="s">
        <v>580</v>
      </c>
      <c r="L495" s="24" t="s">
        <v>240</v>
      </c>
      <c r="M495" s="24" t="s">
        <v>38</v>
      </c>
      <c r="N495" s="24" t="s">
        <v>144</v>
      </c>
      <c r="O495" s="25">
        <v>25204</v>
      </c>
      <c r="P495" s="24"/>
      <c r="Q495" s="24"/>
      <c r="R495" s="24">
        <v>59</v>
      </c>
      <c r="S495" s="24" t="s">
        <v>29</v>
      </c>
    </row>
    <row r="496" spans="1:19">
      <c r="A496" s="26">
        <v>18001</v>
      </c>
      <c r="B496" s="26" t="s">
        <v>20</v>
      </c>
      <c r="C496" s="26" t="s">
        <v>21</v>
      </c>
      <c r="D496" s="26" t="s">
        <v>21</v>
      </c>
      <c r="E496" s="26" t="s">
        <v>616</v>
      </c>
      <c r="F496" s="26" t="s">
        <v>617</v>
      </c>
      <c r="G496" s="26">
        <v>18</v>
      </c>
      <c r="H496" s="26" t="s">
        <v>143</v>
      </c>
      <c r="I496" s="26" t="s">
        <v>479</v>
      </c>
      <c r="J496" s="26" t="s">
        <v>295</v>
      </c>
      <c r="K496" s="26" t="s">
        <v>580</v>
      </c>
      <c r="L496" s="26" t="s">
        <v>240</v>
      </c>
      <c r="M496" s="26" t="s">
        <v>38</v>
      </c>
      <c r="N496" s="26" t="s">
        <v>144</v>
      </c>
      <c r="O496" s="27">
        <v>25204</v>
      </c>
      <c r="P496" s="26"/>
      <c r="Q496" s="26"/>
      <c r="R496" s="26">
        <v>15</v>
      </c>
      <c r="S496" s="26" t="s">
        <v>29</v>
      </c>
    </row>
    <row r="497" spans="1:19">
      <c r="A497" s="26">
        <v>18002</v>
      </c>
      <c r="B497" s="26" t="s">
        <v>20</v>
      </c>
      <c r="C497" s="26" t="s">
        <v>21</v>
      </c>
      <c r="D497" s="26" t="s">
        <v>21</v>
      </c>
      <c r="E497" s="26" t="s">
        <v>618</v>
      </c>
      <c r="F497" s="26" t="s">
        <v>619</v>
      </c>
      <c r="G497" s="26">
        <v>18</v>
      </c>
      <c r="H497" s="26" t="s">
        <v>143</v>
      </c>
      <c r="I497" s="26" t="s">
        <v>479</v>
      </c>
      <c r="J497" s="26" t="s">
        <v>295</v>
      </c>
      <c r="K497" s="26" t="s">
        <v>580</v>
      </c>
      <c r="L497" s="26" t="s">
        <v>240</v>
      </c>
      <c r="M497" s="26" t="s">
        <v>38</v>
      </c>
      <c r="N497" s="26" t="s">
        <v>144</v>
      </c>
      <c r="O497" s="27">
        <v>25204</v>
      </c>
      <c r="P497" s="26"/>
      <c r="Q497" s="26"/>
      <c r="R497" s="26">
        <v>15</v>
      </c>
      <c r="S497" s="26" t="s">
        <v>29</v>
      </c>
    </row>
    <row r="498" spans="1:19">
      <c r="A498" s="26">
        <v>18003</v>
      </c>
      <c r="B498" s="26" t="s">
        <v>20</v>
      </c>
      <c r="C498" s="26" t="s">
        <v>21</v>
      </c>
      <c r="D498" s="26" t="s">
        <v>21</v>
      </c>
      <c r="E498" s="26" t="s">
        <v>620</v>
      </c>
      <c r="F498" s="26" t="s">
        <v>621</v>
      </c>
      <c r="G498" s="26">
        <v>18</v>
      </c>
      <c r="H498" s="26" t="s">
        <v>143</v>
      </c>
      <c r="I498" s="26" t="s">
        <v>479</v>
      </c>
      <c r="J498" s="26" t="s">
        <v>295</v>
      </c>
      <c r="K498" s="26" t="s">
        <v>580</v>
      </c>
      <c r="L498" s="26" t="s">
        <v>240</v>
      </c>
      <c r="M498" s="26" t="s">
        <v>38</v>
      </c>
      <c r="N498" s="26" t="s">
        <v>144</v>
      </c>
      <c r="O498" s="27">
        <v>25204</v>
      </c>
      <c r="P498" s="26"/>
      <c r="Q498" s="26"/>
      <c r="R498" s="26">
        <v>15</v>
      </c>
      <c r="S498" s="26" t="s">
        <v>29</v>
      </c>
    </row>
    <row r="499" spans="1:19">
      <c r="A499" s="26">
        <v>18004</v>
      </c>
      <c r="B499" s="26" t="s">
        <v>20</v>
      </c>
      <c r="C499" s="26" t="s">
        <v>21</v>
      </c>
      <c r="D499" s="26" t="s">
        <v>21</v>
      </c>
      <c r="E499" s="26" t="s">
        <v>622</v>
      </c>
      <c r="F499" s="26" t="s">
        <v>623</v>
      </c>
      <c r="G499" s="26">
        <v>18</v>
      </c>
      <c r="H499" s="26" t="s">
        <v>143</v>
      </c>
      <c r="I499" s="26" t="s">
        <v>479</v>
      </c>
      <c r="J499" s="26" t="s">
        <v>295</v>
      </c>
      <c r="K499" s="26" t="s">
        <v>580</v>
      </c>
      <c r="L499" s="26" t="s">
        <v>240</v>
      </c>
      <c r="M499" s="26" t="s">
        <v>38</v>
      </c>
      <c r="N499" s="26" t="s">
        <v>144</v>
      </c>
      <c r="O499" s="27">
        <v>25204</v>
      </c>
      <c r="P499" s="26"/>
      <c r="Q499" s="26"/>
      <c r="R499" s="26">
        <v>14</v>
      </c>
      <c r="S499" s="26" t="s">
        <v>29</v>
      </c>
    </row>
    <row r="500" spans="1:19">
      <c r="A500" s="24">
        <v>18100</v>
      </c>
      <c r="B500" s="24" t="s">
        <v>20</v>
      </c>
      <c r="C500" s="24" t="s">
        <v>21</v>
      </c>
      <c r="D500" s="24" t="s">
        <v>30</v>
      </c>
      <c r="E500" s="24" t="s">
        <v>624</v>
      </c>
      <c r="F500" s="24" t="s">
        <v>625</v>
      </c>
      <c r="G500" s="24">
        <v>61</v>
      </c>
      <c r="H500" s="24" t="s">
        <v>143</v>
      </c>
      <c r="I500" s="24" t="s">
        <v>479</v>
      </c>
      <c r="J500" s="24" t="s">
        <v>295</v>
      </c>
      <c r="K500" s="24" t="s">
        <v>580</v>
      </c>
      <c r="L500" s="24" t="s">
        <v>240</v>
      </c>
      <c r="M500" s="24" t="s">
        <v>38</v>
      </c>
      <c r="N500" s="24" t="s">
        <v>144</v>
      </c>
      <c r="O500" s="25">
        <v>25204</v>
      </c>
      <c r="P500" s="24"/>
      <c r="Q500" s="24"/>
      <c r="R500" s="24">
        <v>61</v>
      </c>
      <c r="S500" s="24" t="s">
        <v>29</v>
      </c>
    </row>
    <row r="501" spans="1:19">
      <c r="A501" s="26">
        <v>18101</v>
      </c>
      <c r="B501" s="26" t="s">
        <v>20</v>
      </c>
      <c r="C501" s="26" t="s">
        <v>21</v>
      </c>
      <c r="D501" s="26" t="s">
        <v>21</v>
      </c>
      <c r="E501" s="26" t="s">
        <v>626</v>
      </c>
      <c r="F501" s="26" t="s">
        <v>627</v>
      </c>
      <c r="G501" s="26">
        <v>18</v>
      </c>
      <c r="H501" s="26" t="s">
        <v>143</v>
      </c>
      <c r="I501" s="26" t="s">
        <v>479</v>
      </c>
      <c r="J501" s="26" t="s">
        <v>295</v>
      </c>
      <c r="K501" s="26" t="s">
        <v>580</v>
      </c>
      <c r="L501" s="26" t="s">
        <v>240</v>
      </c>
      <c r="M501" s="26" t="s">
        <v>38</v>
      </c>
      <c r="N501" s="26" t="s">
        <v>144</v>
      </c>
      <c r="O501" s="27">
        <v>25204</v>
      </c>
      <c r="P501" s="26"/>
      <c r="Q501" s="26"/>
      <c r="R501" s="26">
        <v>16</v>
      </c>
      <c r="S501" s="26" t="s">
        <v>29</v>
      </c>
    </row>
    <row r="502" spans="1:19">
      <c r="A502" s="26">
        <v>18102</v>
      </c>
      <c r="B502" s="26" t="s">
        <v>20</v>
      </c>
      <c r="C502" s="26" t="s">
        <v>21</v>
      </c>
      <c r="D502" s="26" t="s">
        <v>21</v>
      </c>
      <c r="E502" s="26" t="s">
        <v>628</v>
      </c>
      <c r="F502" s="26" t="s">
        <v>629</v>
      </c>
      <c r="G502" s="26">
        <v>18</v>
      </c>
      <c r="H502" s="26" t="s">
        <v>143</v>
      </c>
      <c r="I502" s="26" t="s">
        <v>479</v>
      </c>
      <c r="J502" s="26" t="s">
        <v>295</v>
      </c>
      <c r="K502" s="26" t="s">
        <v>580</v>
      </c>
      <c r="L502" s="26" t="s">
        <v>240</v>
      </c>
      <c r="M502" s="26" t="s">
        <v>38</v>
      </c>
      <c r="N502" s="26" t="s">
        <v>144</v>
      </c>
      <c r="O502" s="27">
        <v>25204</v>
      </c>
      <c r="P502" s="26"/>
      <c r="Q502" s="26"/>
      <c r="R502" s="26">
        <v>15</v>
      </c>
      <c r="S502" s="26" t="s">
        <v>29</v>
      </c>
    </row>
    <row r="503" spans="1:19">
      <c r="A503" s="26">
        <v>18103</v>
      </c>
      <c r="B503" s="26" t="s">
        <v>20</v>
      </c>
      <c r="C503" s="26" t="s">
        <v>21</v>
      </c>
      <c r="D503" s="26" t="s">
        <v>21</v>
      </c>
      <c r="E503" s="26" t="s">
        <v>630</v>
      </c>
      <c r="F503" s="26" t="s">
        <v>631</v>
      </c>
      <c r="G503" s="26">
        <v>18</v>
      </c>
      <c r="H503" s="26" t="s">
        <v>143</v>
      </c>
      <c r="I503" s="26" t="s">
        <v>479</v>
      </c>
      <c r="J503" s="26" t="s">
        <v>295</v>
      </c>
      <c r="K503" s="26" t="s">
        <v>580</v>
      </c>
      <c r="L503" s="26" t="s">
        <v>240</v>
      </c>
      <c r="M503" s="26" t="s">
        <v>38</v>
      </c>
      <c r="N503" s="26" t="s">
        <v>144</v>
      </c>
      <c r="O503" s="27">
        <v>25204</v>
      </c>
      <c r="P503" s="26"/>
      <c r="Q503" s="26"/>
      <c r="R503" s="26">
        <v>15</v>
      </c>
      <c r="S503" s="26" t="s">
        <v>29</v>
      </c>
    </row>
    <row r="504" spans="1:19">
      <c r="A504" s="26">
        <v>18104</v>
      </c>
      <c r="B504" s="26" t="s">
        <v>20</v>
      </c>
      <c r="C504" s="26" t="s">
        <v>21</v>
      </c>
      <c r="D504" s="26" t="s">
        <v>21</v>
      </c>
      <c r="E504" s="26" t="s">
        <v>632</v>
      </c>
      <c r="F504" s="26" t="s">
        <v>633</v>
      </c>
      <c r="G504" s="26">
        <v>18</v>
      </c>
      <c r="H504" s="26" t="s">
        <v>143</v>
      </c>
      <c r="I504" s="26" t="s">
        <v>479</v>
      </c>
      <c r="J504" s="26" t="s">
        <v>295</v>
      </c>
      <c r="K504" s="26" t="s">
        <v>580</v>
      </c>
      <c r="L504" s="26" t="s">
        <v>240</v>
      </c>
      <c r="M504" s="26" t="s">
        <v>38</v>
      </c>
      <c r="N504" s="26" t="s">
        <v>144</v>
      </c>
      <c r="O504" s="27">
        <v>25204</v>
      </c>
      <c r="P504" s="26"/>
      <c r="Q504" s="26"/>
      <c r="R504" s="26">
        <v>15</v>
      </c>
      <c r="S504" s="26" t="s">
        <v>29</v>
      </c>
    </row>
    <row r="505" spans="1:19" ht="29.25">
      <c r="A505" s="28">
        <v>97800</v>
      </c>
      <c r="B505" s="28" t="s">
        <v>20</v>
      </c>
      <c r="C505" s="28" t="s">
        <v>21</v>
      </c>
      <c r="D505" s="28" t="s">
        <v>21</v>
      </c>
      <c r="E505" s="28" t="s">
        <v>2906</v>
      </c>
      <c r="F505" s="28" t="s">
        <v>2907</v>
      </c>
      <c r="G505" s="28">
        <v>3.56</v>
      </c>
      <c r="H505" s="28" t="s">
        <v>24</v>
      </c>
      <c r="I505" s="28" t="s">
        <v>2908</v>
      </c>
      <c r="J505" s="28" t="s">
        <v>788</v>
      </c>
      <c r="K505" s="28" t="s">
        <v>296</v>
      </c>
      <c r="L505" s="28" t="s">
        <v>888</v>
      </c>
      <c r="M505" s="28" t="s">
        <v>27</v>
      </c>
      <c r="N505" s="28" t="s">
        <v>2699</v>
      </c>
      <c r="O505" s="29">
        <v>40026</v>
      </c>
      <c r="P505" s="28"/>
      <c r="Q505" s="28"/>
      <c r="R505" s="28">
        <v>3.8</v>
      </c>
      <c r="S505" s="28" t="s">
        <v>29</v>
      </c>
    </row>
    <row r="506" spans="1:19">
      <c r="A506" s="28">
        <v>18700</v>
      </c>
      <c r="B506" s="28" t="s">
        <v>20</v>
      </c>
      <c r="C506" s="28" t="s">
        <v>21</v>
      </c>
      <c r="D506" s="28" t="s">
        <v>21</v>
      </c>
      <c r="E506" s="28" t="s">
        <v>191</v>
      </c>
      <c r="F506" s="28" t="s">
        <v>192</v>
      </c>
      <c r="G506" s="28">
        <v>11.5</v>
      </c>
      <c r="H506" s="28" t="s">
        <v>24</v>
      </c>
      <c r="I506" s="28" t="s">
        <v>4</v>
      </c>
      <c r="J506" s="28" t="s">
        <v>25</v>
      </c>
      <c r="K506" s="28" t="s">
        <v>25</v>
      </c>
      <c r="L506" s="28" t="s">
        <v>26</v>
      </c>
      <c r="M506" s="28" t="s">
        <v>193</v>
      </c>
      <c r="N506" s="28" t="s">
        <v>194</v>
      </c>
      <c r="O506" s="29">
        <v>7672</v>
      </c>
      <c r="P506" s="28"/>
      <c r="Q506" s="28"/>
      <c r="R506" s="28">
        <v>11.5</v>
      </c>
      <c r="S506" s="28" t="s">
        <v>29</v>
      </c>
    </row>
    <row r="507" spans="1:19" ht="43.5">
      <c r="A507" s="28">
        <v>52901</v>
      </c>
      <c r="B507" s="28" t="s">
        <v>20</v>
      </c>
      <c r="C507" s="28" t="s">
        <v>30</v>
      </c>
      <c r="D507" s="28" t="s">
        <v>21</v>
      </c>
      <c r="E507" s="28" t="s">
        <v>1201</v>
      </c>
      <c r="F507" s="28" t="s">
        <v>1202</v>
      </c>
      <c r="G507" s="28">
        <v>78</v>
      </c>
      <c r="H507" s="28" t="s">
        <v>5</v>
      </c>
      <c r="I507" s="28" t="s">
        <v>1203</v>
      </c>
      <c r="J507" s="28" t="s">
        <v>694</v>
      </c>
      <c r="K507" s="28" t="s">
        <v>580</v>
      </c>
      <c r="L507" s="28" t="s">
        <v>240</v>
      </c>
      <c r="M507" s="28" t="s">
        <v>38</v>
      </c>
      <c r="N507" s="28" t="s">
        <v>39</v>
      </c>
      <c r="O507" s="29">
        <v>31168</v>
      </c>
      <c r="P507" s="28" t="s">
        <v>1204</v>
      </c>
      <c r="Q507" s="28"/>
      <c r="R507" s="28">
        <v>70</v>
      </c>
      <c r="S507" s="28" t="s">
        <v>29</v>
      </c>
    </row>
    <row r="508" spans="1:19" ht="43.5">
      <c r="A508" s="28">
        <v>52902</v>
      </c>
      <c r="B508" s="28" t="s">
        <v>20</v>
      </c>
      <c r="C508" s="28" t="s">
        <v>30</v>
      </c>
      <c r="D508" s="28" t="s">
        <v>21</v>
      </c>
      <c r="E508" s="28" t="s">
        <v>1205</v>
      </c>
      <c r="F508" s="28" t="s">
        <v>1206</v>
      </c>
      <c r="G508" s="28">
        <v>78</v>
      </c>
      <c r="H508" s="28" t="s">
        <v>5</v>
      </c>
      <c r="I508" s="28" t="s">
        <v>1203</v>
      </c>
      <c r="J508" s="28" t="s">
        <v>694</v>
      </c>
      <c r="K508" s="28" t="s">
        <v>580</v>
      </c>
      <c r="L508" s="28" t="s">
        <v>240</v>
      </c>
      <c r="M508" s="28" t="s">
        <v>38</v>
      </c>
      <c r="N508" s="28" t="s">
        <v>39</v>
      </c>
      <c r="O508" s="29">
        <v>31168</v>
      </c>
      <c r="P508" s="28" t="s">
        <v>1204</v>
      </c>
      <c r="Q508" s="28"/>
      <c r="R508" s="28">
        <v>70</v>
      </c>
      <c r="S508" s="28" t="s">
        <v>29</v>
      </c>
    </row>
    <row r="509" spans="1:19" ht="43.5">
      <c r="A509" s="28">
        <v>52903</v>
      </c>
      <c r="B509" s="28" t="s">
        <v>20</v>
      </c>
      <c r="C509" s="28" t="s">
        <v>30</v>
      </c>
      <c r="D509" s="28" t="s">
        <v>21</v>
      </c>
      <c r="E509" s="28" t="s">
        <v>1207</v>
      </c>
      <c r="F509" s="28" t="s">
        <v>1208</v>
      </c>
      <c r="G509" s="28">
        <v>80</v>
      </c>
      <c r="H509" s="28" t="s">
        <v>5</v>
      </c>
      <c r="I509" s="28" t="s">
        <v>1203</v>
      </c>
      <c r="J509" s="28" t="s">
        <v>694</v>
      </c>
      <c r="K509" s="28" t="s">
        <v>580</v>
      </c>
      <c r="L509" s="28" t="s">
        <v>240</v>
      </c>
      <c r="M509" s="28" t="s">
        <v>38</v>
      </c>
      <c r="N509" s="28" t="s">
        <v>39</v>
      </c>
      <c r="O509" s="29">
        <v>31168</v>
      </c>
      <c r="P509" s="28" t="s">
        <v>1204</v>
      </c>
      <c r="Q509" s="28"/>
      <c r="R509" s="28">
        <v>70</v>
      </c>
      <c r="S509" s="28" t="s">
        <v>29</v>
      </c>
    </row>
    <row r="510" spans="1:19" ht="43.5">
      <c r="A510" s="28">
        <v>52904</v>
      </c>
      <c r="B510" s="28" t="s">
        <v>20</v>
      </c>
      <c r="C510" s="28" t="s">
        <v>30</v>
      </c>
      <c r="D510" s="28" t="s">
        <v>21</v>
      </c>
      <c r="E510" s="28" t="s">
        <v>1209</v>
      </c>
      <c r="F510" s="28" t="s">
        <v>1210</v>
      </c>
      <c r="G510" s="28">
        <v>80</v>
      </c>
      <c r="H510" s="28" t="s">
        <v>5</v>
      </c>
      <c r="I510" s="28" t="s">
        <v>1203</v>
      </c>
      <c r="J510" s="28" t="s">
        <v>694</v>
      </c>
      <c r="K510" s="28" t="s">
        <v>580</v>
      </c>
      <c r="L510" s="28" t="s">
        <v>240</v>
      </c>
      <c r="M510" s="28" t="s">
        <v>38</v>
      </c>
      <c r="N510" s="28" t="s">
        <v>39</v>
      </c>
      <c r="O510" s="29">
        <v>31168</v>
      </c>
      <c r="P510" s="28" t="s">
        <v>1204</v>
      </c>
      <c r="Q510" s="28"/>
      <c r="R510" s="28">
        <v>70</v>
      </c>
      <c r="S510" s="28" t="s">
        <v>29</v>
      </c>
    </row>
    <row r="511" spans="1:19" ht="43.5">
      <c r="A511" s="24">
        <v>18800</v>
      </c>
      <c r="B511" s="24" t="s">
        <v>20</v>
      </c>
      <c r="C511" s="24" t="s">
        <v>21</v>
      </c>
      <c r="D511" s="24" t="s">
        <v>30</v>
      </c>
      <c r="E511" s="24" t="s">
        <v>71</v>
      </c>
      <c r="F511" s="24" t="s">
        <v>72</v>
      </c>
      <c r="G511" s="24">
        <v>25.6</v>
      </c>
      <c r="H511" s="24" t="s">
        <v>5</v>
      </c>
      <c r="I511" s="24" t="s">
        <v>5</v>
      </c>
      <c r="J511" s="24" t="s">
        <v>25</v>
      </c>
      <c r="K511" s="24" t="s">
        <v>25</v>
      </c>
      <c r="L511" s="24" t="s">
        <v>26</v>
      </c>
      <c r="M511" s="24" t="s">
        <v>38</v>
      </c>
      <c r="N511" s="24" t="s">
        <v>39</v>
      </c>
      <c r="O511" s="25">
        <v>2558</v>
      </c>
      <c r="P511" s="24" t="s">
        <v>40</v>
      </c>
      <c r="Q511" s="24"/>
      <c r="R511" s="24">
        <v>25.6</v>
      </c>
      <c r="S511" s="24" t="s">
        <v>29</v>
      </c>
    </row>
    <row r="512" spans="1:19">
      <c r="A512" s="26">
        <v>18801</v>
      </c>
      <c r="B512" s="26" t="s">
        <v>20</v>
      </c>
      <c r="C512" s="26" t="s">
        <v>21</v>
      </c>
      <c r="D512" s="26" t="s">
        <v>21</v>
      </c>
      <c r="E512" s="26"/>
      <c r="F512" s="26" t="s">
        <v>73</v>
      </c>
      <c r="G512" s="26"/>
      <c r="H512" s="26" t="s">
        <v>5</v>
      </c>
      <c r="I512" s="26" t="s">
        <v>5</v>
      </c>
      <c r="J512" s="26" t="s">
        <v>25</v>
      </c>
      <c r="K512" s="26" t="s">
        <v>25</v>
      </c>
      <c r="L512" s="26" t="s">
        <v>26</v>
      </c>
      <c r="M512" s="26" t="s">
        <v>38</v>
      </c>
      <c r="N512" s="26" t="s">
        <v>39</v>
      </c>
      <c r="O512" s="27">
        <v>2558</v>
      </c>
      <c r="P512" s="26"/>
      <c r="Q512" s="26"/>
      <c r="R512" s="26">
        <v>6.4</v>
      </c>
      <c r="S512" s="26" t="s">
        <v>29</v>
      </c>
    </row>
    <row r="513" spans="1:19">
      <c r="A513" s="26">
        <v>18804</v>
      </c>
      <c r="B513" s="26" t="s">
        <v>20</v>
      </c>
      <c r="C513" s="26" t="s">
        <v>21</v>
      </c>
      <c r="D513" s="26" t="s">
        <v>21</v>
      </c>
      <c r="E513" s="26"/>
      <c r="F513" s="26" t="s">
        <v>197</v>
      </c>
      <c r="G513" s="26"/>
      <c r="H513" s="26" t="s">
        <v>5</v>
      </c>
      <c r="I513" s="26" t="s">
        <v>5</v>
      </c>
      <c r="J513" s="26" t="s">
        <v>25</v>
      </c>
      <c r="K513" s="26" t="s">
        <v>25</v>
      </c>
      <c r="L513" s="26" t="s">
        <v>26</v>
      </c>
      <c r="M513" s="26" t="s">
        <v>38</v>
      </c>
      <c r="N513" s="26" t="s">
        <v>39</v>
      </c>
      <c r="O513" s="27">
        <v>7672</v>
      </c>
      <c r="P513" s="26"/>
      <c r="Q513" s="26"/>
      <c r="R513" s="26">
        <v>6.4</v>
      </c>
      <c r="S513" s="26" t="s">
        <v>29</v>
      </c>
    </row>
    <row r="514" spans="1:19">
      <c r="A514" s="26">
        <v>18803</v>
      </c>
      <c r="B514" s="26" t="s">
        <v>20</v>
      </c>
      <c r="C514" s="26" t="s">
        <v>21</v>
      </c>
      <c r="D514" s="26" t="s">
        <v>21</v>
      </c>
      <c r="E514" s="26"/>
      <c r="F514" s="26" t="s">
        <v>196</v>
      </c>
      <c r="G514" s="26"/>
      <c r="H514" s="26" t="s">
        <v>5</v>
      </c>
      <c r="I514" s="26" t="s">
        <v>5</v>
      </c>
      <c r="J514" s="26" t="s">
        <v>25</v>
      </c>
      <c r="K514" s="26" t="s">
        <v>25</v>
      </c>
      <c r="L514" s="26" t="s">
        <v>26</v>
      </c>
      <c r="M514" s="26" t="s">
        <v>38</v>
      </c>
      <c r="N514" s="26" t="s">
        <v>39</v>
      </c>
      <c r="O514" s="27">
        <v>7672</v>
      </c>
      <c r="P514" s="26"/>
      <c r="Q514" s="26"/>
      <c r="R514" s="26">
        <v>6.4</v>
      </c>
      <c r="S514" s="26" t="s">
        <v>29</v>
      </c>
    </row>
    <row r="515" spans="1:19">
      <c r="A515" s="26">
        <v>18802</v>
      </c>
      <c r="B515" s="26" t="s">
        <v>20</v>
      </c>
      <c r="C515" s="26" t="s">
        <v>21</v>
      </c>
      <c r="D515" s="26" t="s">
        <v>21</v>
      </c>
      <c r="E515" s="26"/>
      <c r="F515" s="26" t="s">
        <v>195</v>
      </c>
      <c r="G515" s="26"/>
      <c r="H515" s="26" t="s">
        <v>5</v>
      </c>
      <c r="I515" s="26" t="s">
        <v>5</v>
      </c>
      <c r="J515" s="26" t="s">
        <v>25</v>
      </c>
      <c r="K515" s="26" t="s">
        <v>25</v>
      </c>
      <c r="L515" s="26" t="s">
        <v>26</v>
      </c>
      <c r="M515" s="26" t="s">
        <v>38</v>
      </c>
      <c r="N515" s="26" t="s">
        <v>39</v>
      </c>
      <c r="O515" s="27">
        <v>7672</v>
      </c>
      <c r="P515" s="26"/>
      <c r="Q515" s="26"/>
      <c r="R515" s="26">
        <v>6.4</v>
      </c>
      <c r="S515" s="26" t="s">
        <v>29</v>
      </c>
    </row>
    <row r="516" spans="1:19" ht="43.5">
      <c r="A516" s="24">
        <v>18900</v>
      </c>
      <c r="B516" s="24" t="s">
        <v>20</v>
      </c>
      <c r="C516" s="24" t="s">
        <v>21</v>
      </c>
      <c r="D516" s="24" t="s">
        <v>30</v>
      </c>
      <c r="E516" s="24" t="s">
        <v>74</v>
      </c>
      <c r="F516" s="24" t="s">
        <v>75</v>
      </c>
      <c r="G516" s="24">
        <v>36.799999999999997</v>
      </c>
      <c r="H516" s="24" t="s">
        <v>5</v>
      </c>
      <c r="I516" s="24" t="s">
        <v>5</v>
      </c>
      <c r="J516" s="24" t="s">
        <v>25</v>
      </c>
      <c r="K516" s="24" t="s">
        <v>25</v>
      </c>
      <c r="L516" s="24" t="s">
        <v>26</v>
      </c>
      <c r="M516" s="24" t="s">
        <v>38</v>
      </c>
      <c r="N516" s="24" t="s">
        <v>39</v>
      </c>
      <c r="O516" s="25">
        <v>2558</v>
      </c>
      <c r="P516" s="24" t="s">
        <v>40</v>
      </c>
      <c r="Q516" s="24"/>
      <c r="R516" s="24">
        <v>36.799999999999997</v>
      </c>
      <c r="S516" s="24" t="s">
        <v>29</v>
      </c>
    </row>
    <row r="517" spans="1:19">
      <c r="A517" s="26">
        <v>18901</v>
      </c>
      <c r="B517" s="26" t="s">
        <v>20</v>
      </c>
      <c r="C517" s="26" t="s">
        <v>21</v>
      </c>
      <c r="D517" s="26" t="s">
        <v>21</v>
      </c>
      <c r="E517" s="26" t="s">
        <v>76</v>
      </c>
      <c r="F517" s="26" t="s">
        <v>77</v>
      </c>
      <c r="G517" s="26"/>
      <c r="H517" s="26" t="s">
        <v>5</v>
      </c>
      <c r="I517" s="26" t="s">
        <v>5</v>
      </c>
      <c r="J517" s="26" t="s">
        <v>25</v>
      </c>
      <c r="K517" s="26" t="s">
        <v>25</v>
      </c>
      <c r="L517" s="26" t="s">
        <v>26</v>
      </c>
      <c r="M517" s="26" t="s">
        <v>38</v>
      </c>
      <c r="N517" s="26" t="s">
        <v>39</v>
      </c>
      <c r="O517" s="27">
        <v>2558</v>
      </c>
      <c r="P517" s="26"/>
      <c r="Q517" s="26"/>
      <c r="R517" s="26">
        <v>18.399999999999999</v>
      </c>
      <c r="S517" s="26" t="s">
        <v>29</v>
      </c>
    </row>
    <row r="518" spans="1:19">
      <c r="A518" s="26">
        <v>18902</v>
      </c>
      <c r="B518" s="26" t="s">
        <v>20</v>
      </c>
      <c r="C518" s="26" t="s">
        <v>21</v>
      </c>
      <c r="D518" s="26" t="s">
        <v>21</v>
      </c>
      <c r="E518" s="26" t="s">
        <v>198</v>
      </c>
      <c r="F518" s="26" t="s">
        <v>199</v>
      </c>
      <c r="G518" s="26"/>
      <c r="H518" s="26" t="s">
        <v>5</v>
      </c>
      <c r="I518" s="26" t="s">
        <v>5</v>
      </c>
      <c r="J518" s="26" t="s">
        <v>25</v>
      </c>
      <c r="K518" s="26" t="s">
        <v>25</v>
      </c>
      <c r="L518" s="26" t="s">
        <v>26</v>
      </c>
      <c r="M518" s="26" t="s">
        <v>38</v>
      </c>
      <c r="N518" s="26" t="s">
        <v>39</v>
      </c>
      <c r="O518" s="27">
        <v>7672</v>
      </c>
      <c r="P518" s="26"/>
      <c r="Q518" s="26"/>
      <c r="R518" s="26">
        <v>18.399999999999999</v>
      </c>
      <c r="S518" s="26" t="s">
        <v>29</v>
      </c>
    </row>
    <row r="519" spans="1:19">
      <c r="A519" s="28">
        <v>19000</v>
      </c>
      <c r="B519" s="28" t="s">
        <v>20</v>
      </c>
      <c r="C519" s="28" t="s">
        <v>21</v>
      </c>
      <c r="D519" s="28" t="s">
        <v>21</v>
      </c>
      <c r="E519" s="28" t="s">
        <v>52</v>
      </c>
      <c r="F519" s="28" t="s">
        <v>53</v>
      </c>
      <c r="G519" s="28">
        <v>3.2</v>
      </c>
      <c r="H519" s="28" t="s">
        <v>24</v>
      </c>
      <c r="I519" s="28" t="s">
        <v>4</v>
      </c>
      <c r="J519" s="28" t="s">
        <v>25</v>
      </c>
      <c r="K519" s="28" t="s">
        <v>25</v>
      </c>
      <c r="L519" s="28" t="s">
        <v>26</v>
      </c>
      <c r="M519" s="28" t="s">
        <v>27</v>
      </c>
      <c r="N519" s="28" t="s">
        <v>28</v>
      </c>
      <c r="O519" s="29">
        <v>1462</v>
      </c>
      <c r="P519" s="28"/>
      <c r="Q519" s="28"/>
      <c r="R519" s="28">
        <v>3.2</v>
      </c>
      <c r="S519" s="28" t="s">
        <v>29</v>
      </c>
    </row>
    <row r="520" spans="1:19" ht="57.75">
      <c r="A520" s="28">
        <v>91100</v>
      </c>
      <c r="B520" s="28" t="s">
        <v>20</v>
      </c>
      <c r="C520" s="28" t="s">
        <v>21</v>
      </c>
      <c r="D520" s="28" t="s">
        <v>21</v>
      </c>
      <c r="E520" s="28" t="s">
        <v>3165</v>
      </c>
      <c r="F520" s="28" t="s">
        <v>3166</v>
      </c>
      <c r="G520" s="28">
        <v>5</v>
      </c>
      <c r="H520" s="28" t="s">
        <v>24</v>
      </c>
      <c r="I520" s="28" t="s">
        <v>3167</v>
      </c>
      <c r="J520" s="28" t="s">
        <v>365</v>
      </c>
      <c r="K520" s="28" t="s">
        <v>366</v>
      </c>
      <c r="L520" s="28" t="s">
        <v>240</v>
      </c>
      <c r="M520" s="28" t="s">
        <v>193</v>
      </c>
      <c r="N520" s="28" t="s">
        <v>194</v>
      </c>
      <c r="O520" s="28" t="s">
        <v>4687</v>
      </c>
      <c r="P520" s="28" t="s">
        <v>3168</v>
      </c>
      <c r="Q520" s="28"/>
      <c r="R520" s="28">
        <v>5.9</v>
      </c>
      <c r="S520" s="28" t="s">
        <v>29</v>
      </c>
    </row>
    <row r="521" spans="1:19" ht="29.25">
      <c r="A521" s="24">
        <v>91600</v>
      </c>
      <c r="B521" s="24" t="s">
        <v>20</v>
      </c>
      <c r="C521" s="24" t="s">
        <v>21</v>
      </c>
      <c r="D521" s="24" t="s">
        <v>30</v>
      </c>
      <c r="E521" s="24" t="s">
        <v>2752</v>
      </c>
      <c r="F521" s="24" t="s">
        <v>2753</v>
      </c>
      <c r="G521" s="24">
        <v>96.8</v>
      </c>
      <c r="H521" s="24" t="s">
        <v>24</v>
      </c>
      <c r="I521" s="24" t="s">
        <v>2754</v>
      </c>
      <c r="J521" s="24" t="s">
        <v>295</v>
      </c>
      <c r="K521" s="24" t="s">
        <v>580</v>
      </c>
      <c r="L521" s="24" t="s">
        <v>240</v>
      </c>
      <c r="M521" s="24" t="s">
        <v>27</v>
      </c>
      <c r="N521" s="24" t="s">
        <v>28</v>
      </c>
      <c r="O521" s="25">
        <v>38614</v>
      </c>
      <c r="P521" s="24"/>
      <c r="Q521" s="24"/>
      <c r="R521" s="24">
        <v>97</v>
      </c>
      <c r="S521" s="24" t="s">
        <v>29</v>
      </c>
    </row>
    <row r="522" spans="1:19" ht="29.25">
      <c r="A522" s="26">
        <v>91601</v>
      </c>
      <c r="B522" s="26" t="s">
        <v>20</v>
      </c>
      <c r="C522" s="26" t="s">
        <v>21</v>
      </c>
      <c r="D522" s="26" t="s">
        <v>21</v>
      </c>
      <c r="E522" s="26" t="s">
        <v>2755</v>
      </c>
      <c r="F522" s="26" t="s">
        <v>2756</v>
      </c>
      <c r="G522" s="26">
        <v>48.5</v>
      </c>
      <c r="H522" s="26" t="s">
        <v>24</v>
      </c>
      <c r="I522" s="26" t="s">
        <v>2754</v>
      </c>
      <c r="J522" s="26" t="s">
        <v>295</v>
      </c>
      <c r="K522" s="26" t="s">
        <v>580</v>
      </c>
      <c r="L522" s="26" t="s">
        <v>240</v>
      </c>
      <c r="M522" s="26" t="s">
        <v>27</v>
      </c>
      <c r="N522" s="26" t="s">
        <v>28</v>
      </c>
      <c r="O522" s="27">
        <v>38614</v>
      </c>
      <c r="P522" s="26"/>
      <c r="Q522" s="26"/>
      <c r="R522" s="26">
        <v>48.5</v>
      </c>
      <c r="S522" s="26" t="s">
        <v>29</v>
      </c>
    </row>
    <row r="523" spans="1:19" ht="29.25">
      <c r="A523" s="26">
        <v>91602</v>
      </c>
      <c r="B523" s="26" t="s">
        <v>20</v>
      </c>
      <c r="C523" s="26" t="s">
        <v>21</v>
      </c>
      <c r="D523" s="26" t="s">
        <v>21</v>
      </c>
      <c r="E523" s="26" t="s">
        <v>2757</v>
      </c>
      <c r="F523" s="26" t="s">
        <v>2758</v>
      </c>
      <c r="G523" s="26">
        <v>48.5</v>
      </c>
      <c r="H523" s="26" t="s">
        <v>24</v>
      </c>
      <c r="I523" s="26" t="s">
        <v>2754</v>
      </c>
      <c r="J523" s="26" t="s">
        <v>295</v>
      </c>
      <c r="K523" s="26" t="s">
        <v>580</v>
      </c>
      <c r="L523" s="26" t="s">
        <v>240</v>
      </c>
      <c r="M523" s="26" t="s">
        <v>27</v>
      </c>
      <c r="N523" s="26" t="s">
        <v>28</v>
      </c>
      <c r="O523" s="27">
        <v>38614</v>
      </c>
      <c r="P523" s="26"/>
      <c r="Q523" s="26"/>
      <c r="R523" s="26">
        <v>48.5</v>
      </c>
      <c r="S523" s="26" t="s">
        <v>29</v>
      </c>
    </row>
    <row r="524" spans="1:19">
      <c r="A524" s="28">
        <v>92600</v>
      </c>
      <c r="B524" s="28" t="s">
        <v>20</v>
      </c>
      <c r="C524" s="28" t="s">
        <v>21</v>
      </c>
      <c r="D524" s="28" t="s">
        <v>21</v>
      </c>
      <c r="E524" s="28" t="s">
        <v>2782</v>
      </c>
      <c r="F524" s="28" t="s">
        <v>2783</v>
      </c>
      <c r="G524" s="28">
        <v>50</v>
      </c>
      <c r="H524" s="28" t="s">
        <v>143</v>
      </c>
      <c r="I524" s="28" t="s">
        <v>2784</v>
      </c>
      <c r="J524" s="28" t="s">
        <v>781</v>
      </c>
      <c r="K524" s="28" t="s">
        <v>781</v>
      </c>
      <c r="L524" s="28" t="s">
        <v>781</v>
      </c>
      <c r="M524" s="28" t="s">
        <v>38</v>
      </c>
      <c r="N524" s="28" t="s">
        <v>144</v>
      </c>
      <c r="O524" s="29">
        <v>38707</v>
      </c>
      <c r="P524" s="28"/>
      <c r="Q524" s="28"/>
      <c r="R524" s="28">
        <v>50</v>
      </c>
      <c r="S524" s="28" t="s">
        <v>29</v>
      </c>
    </row>
    <row r="525" spans="1:19" ht="43.5">
      <c r="A525" s="28">
        <v>17800</v>
      </c>
      <c r="B525" s="28" t="s">
        <v>20</v>
      </c>
      <c r="C525" s="28" t="s">
        <v>21</v>
      </c>
      <c r="D525" s="28" t="s">
        <v>21</v>
      </c>
      <c r="E525" s="28" t="s">
        <v>261</v>
      </c>
      <c r="F525" s="28" t="s">
        <v>262</v>
      </c>
      <c r="G525" s="28">
        <v>2.25</v>
      </c>
      <c r="H525" s="28" t="s">
        <v>5</v>
      </c>
      <c r="I525" s="28" t="s">
        <v>5</v>
      </c>
      <c r="J525" s="28" t="s">
        <v>25</v>
      </c>
      <c r="K525" s="28" t="s">
        <v>25</v>
      </c>
      <c r="L525" s="28" t="s">
        <v>26</v>
      </c>
      <c r="M525" s="28" t="s">
        <v>38</v>
      </c>
      <c r="N525" s="28" t="s">
        <v>39</v>
      </c>
      <c r="O525" s="29">
        <v>10594</v>
      </c>
      <c r="P525" s="28" t="s">
        <v>40</v>
      </c>
      <c r="Q525" s="28"/>
      <c r="R525" s="28">
        <v>2.25</v>
      </c>
      <c r="S525" s="28" t="s">
        <v>29</v>
      </c>
    </row>
    <row r="526" spans="1:19">
      <c r="A526" s="28">
        <v>17900</v>
      </c>
      <c r="B526" s="28" t="s">
        <v>20</v>
      </c>
      <c r="C526" s="28" t="s">
        <v>21</v>
      </c>
      <c r="D526" s="28" t="s">
        <v>21</v>
      </c>
      <c r="E526" s="28" t="s">
        <v>664</v>
      </c>
      <c r="F526" s="28" t="s">
        <v>665</v>
      </c>
      <c r="G526" s="28">
        <v>16.670000000000002</v>
      </c>
      <c r="H526" s="28" t="s">
        <v>143</v>
      </c>
      <c r="I526" s="28" t="s">
        <v>479</v>
      </c>
      <c r="J526" s="28" t="s">
        <v>295</v>
      </c>
      <c r="K526" s="28" t="s">
        <v>580</v>
      </c>
      <c r="L526" s="28" t="s">
        <v>240</v>
      </c>
      <c r="M526" s="28" t="s">
        <v>38</v>
      </c>
      <c r="N526" s="28" t="s">
        <v>144</v>
      </c>
      <c r="O526" s="29">
        <v>26299</v>
      </c>
      <c r="P526" s="28"/>
      <c r="Q526" s="28"/>
      <c r="R526" s="28">
        <v>16</v>
      </c>
      <c r="S526" s="28" t="s">
        <v>29</v>
      </c>
    </row>
    <row r="527" spans="1:19">
      <c r="A527" s="28">
        <v>18200</v>
      </c>
      <c r="B527" s="28" t="s">
        <v>20</v>
      </c>
      <c r="C527" s="28" t="s">
        <v>21</v>
      </c>
      <c r="D527" s="28" t="s">
        <v>21</v>
      </c>
      <c r="E527" s="28" t="s">
        <v>462</v>
      </c>
      <c r="F527" s="28" t="s">
        <v>463</v>
      </c>
      <c r="G527" s="28">
        <v>11</v>
      </c>
      <c r="H527" s="28" t="s">
        <v>24</v>
      </c>
      <c r="I527" s="28" t="s">
        <v>460</v>
      </c>
      <c r="J527" s="28" t="s">
        <v>25</v>
      </c>
      <c r="K527" s="28" t="s">
        <v>25</v>
      </c>
      <c r="L527" s="28" t="s">
        <v>26</v>
      </c>
      <c r="M527" s="28" t="s">
        <v>27</v>
      </c>
      <c r="N527" s="28" t="s">
        <v>28</v>
      </c>
      <c r="O527" s="29">
        <v>23012</v>
      </c>
      <c r="P527" s="28"/>
      <c r="Q527" s="28" t="s">
        <v>461</v>
      </c>
      <c r="R527" s="28">
        <v>11</v>
      </c>
      <c r="S527" s="28" t="s">
        <v>29</v>
      </c>
    </row>
    <row r="528" spans="1:19">
      <c r="A528" s="28">
        <v>18300</v>
      </c>
      <c r="B528" s="28" t="s">
        <v>20</v>
      </c>
      <c r="C528" s="28" t="s">
        <v>21</v>
      </c>
      <c r="D528" s="28" t="s">
        <v>21</v>
      </c>
      <c r="E528" s="28" t="s">
        <v>163</v>
      </c>
      <c r="F528" s="28" t="s">
        <v>164</v>
      </c>
      <c r="G528" s="28">
        <v>13</v>
      </c>
      <c r="H528" s="28" t="s">
        <v>24</v>
      </c>
      <c r="I528" s="28" t="s">
        <v>4</v>
      </c>
      <c r="J528" s="28" t="s">
        <v>25</v>
      </c>
      <c r="K528" s="28" t="s">
        <v>25</v>
      </c>
      <c r="L528" s="28" t="s">
        <v>26</v>
      </c>
      <c r="M528" s="28" t="s">
        <v>27</v>
      </c>
      <c r="N528" s="28" t="s">
        <v>28</v>
      </c>
      <c r="O528" s="29">
        <v>7306</v>
      </c>
      <c r="P528" s="28"/>
      <c r="Q528" s="28" t="s">
        <v>98</v>
      </c>
      <c r="R528" s="28">
        <v>13</v>
      </c>
      <c r="S528" s="28" t="s">
        <v>29</v>
      </c>
    </row>
    <row r="529" spans="1:19">
      <c r="A529" s="28">
        <v>18400</v>
      </c>
      <c r="B529" s="28" t="s">
        <v>20</v>
      </c>
      <c r="C529" s="28" t="s">
        <v>21</v>
      </c>
      <c r="D529" s="28" t="s">
        <v>21</v>
      </c>
      <c r="E529" s="28" t="s">
        <v>165</v>
      </c>
      <c r="F529" s="28" t="s">
        <v>166</v>
      </c>
      <c r="G529" s="28">
        <v>12.8</v>
      </c>
      <c r="H529" s="28" t="s">
        <v>24</v>
      </c>
      <c r="I529" s="28" t="s">
        <v>4</v>
      </c>
      <c r="J529" s="28" t="s">
        <v>25</v>
      </c>
      <c r="K529" s="28" t="s">
        <v>25</v>
      </c>
      <c r="L529" s="28" t="s">
        <v>26</v>
      </c>
      <c r="M529" s="28" t="s">
        <v>27</v>
      </c>
      <c r="N529" s="28" t="s">
        <v>28</v>
      </c>
      <c r="O529" s="29">
        <v>7306</v>
      </c>
      <c r="P529" s="28"/>
      <c r="Q529" s="28" t="s">
        <v>98</v>
      </c>
      <c r="R529" s="28">
        <v>12.8</v>
      </c>
      <c r="S529" s="28" t="s">
        <v>29</v>
      </c>
    </row>
    <row r="530" spans="1:19">
      <c r="A530" s="28">
        <v>18500</v>
      </c>
      <c r="B530" s="28" t="s">
        <v>20</v>
      </c>
      <c r="C530" s="28" t="s">
        <v>21</v>
      </c>
      <c r="D530" s="28" t="s">
        <v>21</v>
      </c>
      <c r="E530" s="28" t="s">
        <v>167</v>
      </c>
      <c r="F530" s="28" t="s">
        <v>168</v>
      </c>
      <c r="G530" s="28">
        <v>12.8</v>
      </c>
      <c r="H530" s="28" t="s">
        <v>24</v>
      </c>
      <c r="I530" s="28" t="s">
        <v>4</v>
      </c>
      <c r="J530" s="28" t="s">
        <v>25</v>
      </c>
      <c r="K530" s="28" t="s">
        <v>25</v>
      </c>
      <c r="L530" s="28" t="s">
        <v>26</v>
      </c>
      <c r="M530" s="28" t="s">
        <v>27</v>
      </c>
      <c r="N530" s="28" t="s">
        <v>28</v>
      </c>
      <c r="O530" s="29">
        <v>7306</v>
      </c>
      <c r="P530" s="28"/>
      <c r="Q530" s="28" t="s">
        <v>98</v>
      </c>
      <c r="R530" s="28">
        <v>12.8</v>
      </c>
      <c r="S530" s="28" t="s">
        <v>29</v>
      </c>
    </row>
    <row r="531" spans="1:19">
      <c r="A531" s="28">
        <v>18600</v>
      </c>
      <c r="B531" s="28" t="s">
        <v>20</v>
      </c>
      <c r="C531" s="28" t="s">
        <v>21</v>
      </c>
      <c r="D531" s="28" t="s">
        <v>21</v>
      </c>
      <c r="E531" s="28" t="s">
        <v>864</v>
      </c>
      <c r="F531" s="28" t="s">
        <v>865</v>
      </c>
      <c r="G531" s="28">
        <v>153.9</v>
      </c>
      <c r="H531" s="28" t="s">
        <v>24</v>
      </c>
      <c r="I531" s="28" t="s">
        <v>4</v>
      </c>
      <c r="J531" s="28" t="s">
        <v>25</v>
      </c>
      <c r="K531" s="28" t="s">
        <v>25</v>
      </c>
      <c r="L531" s="28" t="s">
        <v>26</v>
      </c>
      <c r="M531" s="28" t="s">
        <v>27</v>
      </c>
      <c r="N531" s="28" t="s">
        <v>28</v>
      </c>
      <c r="O531" s="29">
        <v>30317</v>
      </c>
      <c r="P531" s="28"/>
      <c r="Q531" s="28" t="s">
        <v>98</v>
      </c>
      <c r="R531" s="28">
        <v>153.9</v>
      </c>
      <c r="S531" s="28" t="s">
        <v>29</v>
      </c>
    </row>
    <row r="532" spans="1:19">
      <c r="A532" s="28">
        <v>106800</v>
      </c>
      <c r="B532" s="28" t="s">
        <v>20</v>
      </c>
      <c r="C532" s="28" t="s">
        <v>21</v>
      </c>
      <c r="D532" s="28" t="s">
        <v>21</v>
      </c>
      <c r="E532" s="28" t="s">
        <v>4476</v>
      </c>
      <c r="F532" s="28" t="s">
        <v>4477</v>
      </c>
      <c r="G532" s="28">
        <v>6.8</v>
      </c>
      <c r="H532" s="28" t="s">
        <v>24</v>
      </c>
      <c r="I532" s="28" t="s">
        <v>4478</v>
      </c>
      <c r="J532" s="28" t="s">
        <v>788</v>
      </c>
      <c r="K532" s="28" t="s">
        <v>366</v>
      </c>
      <c r="L532" s="28" t="s">
        <v>789</v>
      </c>
      <c r="M532" s="28" t="s">
        <v>27</v>
      </c>
      <c r="N532" s="28" t="s">
        <v>28</v>
      </c>
      <c r="O532" s="29">
        <v>41255</v>
      </c>
      <c r="P532" s="28"/>
      <c r="Q532" s="28"/>
      <c r="R532" s="28">
        <v>6.8</v>
      </c>
      <c r="S532" s="28" t="s">
        <v>29</v>
      </c>
    </row>
    <row r="533" spans="1:19">
      <c r="A533" s="28">
        <v>19100</v>
      </c>
      <c r="B533" s="28" t="s">
        <v>20</v>
      </c>
      <c r="C533" s="28" t="s">
        <v>21</v>
      </c>
      <c r="D533" s="28" t="s">
        <v>21</v>
      </c>
      <c r="E533" s="28" t="s">
        <v>2481</v>
      </c>
      <c r="F533" s="28" t="s">
        <v>2482</v>
      </c>
      <c r="G533" s="28">
        <v>44.6</v>
      </c>
      <c r="H533" s="28" t="s">
        <v>24</v>
      </c>
      <c r="I533" s="28" t="s">
        <v>643</v>
      </c>
      <c r="J533" s="28" t="s">
        <v>295</v>
      </c>
      <c r="K533" s="28" t="s">
        <v>580</v>
      </c>
      <c r="L533" s="28" t="s">
        <v>240</v>
      </c>
      <c r="M533" s="28" t="s">
        <v>27</v>
      </c>
      <c r="N533" s="28" t="s">
        <v>28</v>
      </c>
      <c r="O533" s="29">
        <v>37270</v>
      </c>
      <c r="P533" s="28"/>
      <c r="Q533" s="28"/>
      <c r="R533" s="28">
        <v>49.9</v>
      </c>
      <c r="S533" s="28" t="s">
        <v>29</v>
      </c>
    </row>
    <row r="534" spans="1:19">
      <c r="A534" s="28">
        <v>19200</v>
      </c>
      <c r="B534" s="28" t="s">
        <v>20</v>
      </c>
      <c r="C534" s="28" t="s">
        <v>21</v>
      </c>
      <c r="D534" s="28" t="s">
        <v>21</v>
      </c>
      <c r="E534" s="28" t="s">
        <v>450</v>
      </c>
      <c r="F534" s="28" t="s">
        <v>451</v>
      </c>
      <c r="G534" s="28">
        <v>51.2</v>
      </c>
      <c r="H534" s="28" t="s">
        <v>24</v>
      </c>
      <c r="I534" s="28" t="s">
        <v>4</v>
      </c>
      <c r="J534" s="28" t="s">
        <v>25</v>
      </c>
      <c r="K534" s="28" t="s">
        <v>25</v>
      </c>
      <c r="L534" s="28" t="s">
        <v>26</v>
      </c>
      <c r="M534" s="28" t="s">
        <v>27</v>
      </c>
      <c r="N534" s="28" t="s">
        <v>28</v>
      </c>
      <c r="O534" s="29">
        <v>22647</v>
      </c>
      <c r="P534" s="28"/>
      <c r="Q534" s="28" t="s">
        <v>243</v>
      </c>
      <c r="R534" s="28">
        <v>51.2</v>
      </c>
      <c r="S534" s="28" t="s">
        <v>29</v>
      </c>
    </row>
    <row r="535" spans="1:19">
      <c r="A535" s="28">
        <v>82000</v>
      </c>
      <c r="B535" s="28" t="s">
        <v>20</v>
      </c>
      <c r="C535" s="28" t="s">
        <v>21</v>
      </c>
      <c r="D535" s="28" t="s">
        <v>21</v>
      </c>
      <c r="E535" s="28" t="s">
        <v>2574</v>
      </c>
      <c r="F535" s="28" t="s">
        <v>2575</v>
      </c>
      <c r="G535" s="28">
        <v>259.8</v>
      </c>
      <c r="H535" s="28" t="s">
        <v>24</v>
      </c>
      <c r="I535" s="28" t="s">
        <v>2576</v>
      </c>
      <c r="J535" s="28" t="s">
        <v>365</v>
      </c>
      <c r="K535" s="28" t="s">
        <v>705</v>
      </c>
      <c r="L535" s="28" t="s">
        <v>240</v>
      </c>
      <c r="M535" s="28" t="s">
        <v>193</v>
      </c>
      <c r="N535" s="28" t="s">
        <v>194</v>
      </c>
      <c r="O535" s="29">
        <v>37631</v>
      </c>
      <c r="P535" s="28"/>
      <c r="Q535" s="28"/>
      <c r="R535" s="28">
        <v>255.6</v>
      </c>
      <c r="S535" s="28" t="s">
        <v>29</v>
      </c>
    </row>
    <row r="536" spans="1:19">
      <c r="A536" s="28">
        <v>82400</v>
      </c>
      <c r="B536" s="28" t="s">
        <v>20</v>
      </c>
      <c r="C536" s="28" t="s">
        <v>21</v>
      </c>
      <c r="D536" s="28" t="s">
        <v>21</v>
      </c>
      <c r="E536" s="28" t="s">
        <v>2579</v>
      </c>
      <c r="F536" s="28" t="s">
        <v>2580</v>
      </c>
      <c r="G536" s="28">
        <v>260.2</v>
      </c>
      <c r="H536" s="28" t="s">
        <v>24</v>
      </c>
      <c r="I536" s="28" t="s">
        <v>2576</v>
      </c>
      <c r="J536" s="28" t="s">
        <v>365</v>
      </c>
      <c r="K536" s="28" t="s">
        <v>705</v>
      </c>
      <c r="L536" s="28" t="s">
        <v>240</v>
      </c>
      <c r="M536" s="28" t="s">
        <v>193</v>
      </c>
      <c r="N536" s="28" t="s">
        <v>194</v>
      </c>
      <c r="O536" s="29">
        <v>37685</v>
      </c>
      <c r="P536" s="28"/>
      <c r="Q536" s="28"/>
      <c r="R536" s="28">
        <v>255.6</v>
      </c>
      <c r="S536" s="28" t="s">
        <v>29</v>
      </c>
    </row>
    <row r="537" spans="1:19">
      <c r="A537" s="28">
        <v>82100</v>
      </c>
      <c r="B537" s="28" t="s">
        <v>20</v>
      </c>
      <c r="C537" s="28" t="s">
        <v>21</v>
      </c>
      <c r="D537" s="28" t="s">
        <v>21</v>
      </c>
      <c r="E537" s="28" t="s">
        <v>2577</v>
      </c>
      <c r="F537" s="28" t="s">
        <v>2578</v>
      </c>
      <c r="G537" s="28">
        <v>256.14999999999998</v>
      </c>
      <c r="H537" s="28" t="s">
        <v>24</v>
      </c>
      <c r="I537" s="28" t="s">
        <v>2576</v>
      </c>
      <c r="J537" s="28" t="s">
        <v>365</v>
      </c>
      <c r="K537" s="28" t="s">
        <v>705</v>
      </c>
      <c r="L537" s="28" t="s">
        <v>240</v>
      </c>
      <c r="M537" s="28" t="s">
        <v>193</v>
      </c>
      <c r="N537" s="28" t="s">
        <v>194</v>
      </c>
      <c r="O537" s="29">
        <v>37634</v>
      </c>
      <c r="P537" s="28"/>
      <c r="Q537" s="28"/>
      <c r="R537" s="28">
        <v>255.6</v>
      </c>
      <c r="S537" s="28" t="s">
        <v>29</v>
      </c>
    </row>
    <row r="538" spans="1:19">
      <c r="A538" s="28">
        <v>82500</v>
      </c>
      <c r="B538" s="28" t="s">
        <v>20</v>
      </c>
      <c r="C538" s="28" t="s">
        <v>21</v>
      </c>
      <c r="D538" s="28" t="s">
        <v>21</v>
      </c>
      <c r="E538" s="28" t="s">
        <v>2581</v>
      </c>
      <c r="F538" s="28" t="s">
        <v>2582</v>
      </c>
      <c r="G538" s="28">
        <v>259.54000000000002</v>
      </c>
      <c r="H538" s="28" t="s">
        <v>24</v>
      </c>
      <c r="I538" s="28" t="s">
        <v>2576</v>
      </c>
      <c r="J538" s="28" t="s">
        <v>365</v>
      </c>
      <c r="K538" s="28" t="s">
        <v>705</v>
      </c>
      <c r="L538" s="28" t="s">
        <v>240</v>
      </c>
      <c r="M538" s="28" t="s">
        <v>193</v>
      </c>
      <c r="N538" s="28" t="s">
        <v>194</v>
      </c>
      <c r="O538" s="29">
        <v>37685</v>
      </c>
      <c r="P538" s="28"/>
      <c r="Q538" s="28"/>
      <c r="R538" s="28">
        <v>255.6</v>
      </c>
      <c r="S538" s="28" t="s">
        <v>29</v>
      </c>
    </row>
    <row r="539" spans="1:19" ht="43.5">
      <c r="A539" s="24">
        <v>6700</v>
      </c>
      <c r="B539" s="24" t="s">
        <v>20</v>
      </c>
      <c r="C539" s="24" t="s">
        <v>30</v>
      </c>
      <c r="D539" s="24" t="s">
        <v>30</v>
      </c>
      <c r="E539" s="24" t="s">
        <v>3169</v>
      </c>
      <c r="F539" s="24" t="s">
        <v>3170</v>
      </c>
      <c r="G539" s="24">
        <v>8</v>
      </c>
      <c r="H539" s="24" t="s">
        <v>5</v>
      </c>
      <c r="I539" s="24" t="s">
        <v>3171</v>
      </c>
      <c r="J539" s="24" t="s">
        <v>365</v>
      </c>
      <c r="K539" s="24" t="s">
        <v>705</v>
      </c>
      <c r="L539" s="24" t="s">
        <v>240</v>
      </c>
      <c r="M539" s="24" t="s">
        <v>38</v>
      </c>
      <c r="N539" s="24" t="s">
        <v>39</v>
      </c>
      <c r="O539" s="24" t="s">
        <v>4687</v>
      </c>
      <c r="P539" s="24"/>
      <c r="Q539" s="24"/>
      <c r="R539" s="24">
        <v>35.5</v>
      </c>
      <c r="S539" s="24" t="s">
        <v>29</v>
      </c>
    </row>
    <row r="540" spans="1:19" ht="43.5">
      <c r="A540" s="26">
        <v>6701</v>
      </c>
      <c r="B540" s="26" t="s">
        <v>20</v>
      </c>
      <c r="C540" s="26" t="s">
        <v>30</v>
      </c>
      <c r="D540" s="26" t="s">
        <v>21</v>
      </c>
      <c r="E540" s="26" t="s">
        <v>3172</v>
      </c>
      <c r="F540" s="26" t="s">
        <v>3173</v>
      </c>
      <c r="G540" s="26">
        <v>10</v>
      </c>
      <c r="H540" s="26" t="s">
        <v>5</v>
      </c>
      <c r="I540" s="26" t="s">
        <v>3171</v>
      </c>
      <c r="J540" s="26" t="s">
        <v>365</v>
      </c>
      <c r="K540" s="26" t="s">
        <v>580</v>
      </c>
      <c r="L540" s="26" t="s">
        <v>240</v>
      </c>
      <c r="M540" s="26" t="s">
        <v>38</v>
      </c>
      <c r="N540" s="26" t="s">
        <v>39</v>
      </c>
      <c r="O540" s="26" t="s">
        <v>4687</v>
      </c>
      <c r="P540" s="26"/>
      <c r="Q540" s="26"/>
      <c r="R540" s="26">
        <v>10</v>
      </c>
      <c r="S540" s="26" t="s">
        <v>29</v>
      </c>
    </row>
    <row r="541" spans="1:19" ht="43.5">
      <c r="A541" s="26">
        <v>6702</v>
      </c>
      <c r="B541" s="26" t="s">
        <v>20</v>
      </c>
      <c r="C541" s="26" t="s">
        <v>30</v>
      </c>
      <c r="D541" s="26" t="s">
        <v>21</v>
      </c>
      <c r="E541" s="26" t="s">
        <v>3174</v>
      </c>
      <c r="F541" s="26" t="s">
        <v>3175</v>
      </c>
      <c r="G541" s="26">
        <v>10</v>
      </c>
      <c r="H541" s="26" t="s">
        <v>5</v>
      </c>
      <c r="I541" s="26" t="s">
        <v>3171</v>
      </c>
      <c r="J541" s="26" t="s">
        <v>365</v>
      </c>
      <c r="K541" s="26" t="s">
        <v>580</v>
      </c>
      <c r="L541" s="26" t="s">
        <v>240</v>
      </c>
      <c r="M541" s="26" t="s">
        <v>38</v>
      </c>
      <c r="N541" s="26" t="s">
        <v>39</v>
      </c>
      <c r="O541" s="26" t="s">
        <v>4687</v>
      </c>
      <c r="P541" s="26"/>
      <c r="Q541" s="26"/>
      <c r="R541" s="26">
        <v>10</v>
      </c>
      <c r="S541" s="26" t="s">
        <v>29</v>
      </c>
    </row>
    <row r="542" spans="1:19" ht="43.5">
      <c r="A542" s="26">
        <v>6703</v>
      </c>
      <c r="B542" s="26" t="s">
        <v>20</v>
      </c>
      <c r="C542" s="26" t="s">
        <v>30</v>
      </c>
      <c r="D542" s="26" t="s">
        <v>21</v>
      </c>
      <c r="E542" s="26" t="s">
        <v>3176</v>
      </c>
      <c r="F542" s="26" t="s">
        <v>3177</v>
      </c>
      <c r="G542" s="26">
        <v>10</v>
      </c>
      <c r="H542" s="26" t="s">
        <v>5</v>
      </c>
      <c r="I542" s="26" t="s">
        <v>3171</v>
      </c>
      <c r="J542" s="26" t="s">
        <v>365</v>
      </c>
      <c r="K542" s="26" t="s">
        <v>580</v>
      </c>
      <c r="L542" s="26" t="s">
        <v>240</v>
      </c>
      <c r="M542" s="26" t="s">
        <v>38</v>
      </c>
      <c r="N542" s="26" t="s">
        <v>39</v>
      </c>
      <c r="O542" s="26" t="s">
        <v>4687</v>
      </c>
      <c r="P542" s="26"/>
      <c r="Q542" s="26"/>
      <c r="R542" s="26">
        <v>10</v>
      </c>
      <c r="S542" s="26" t="s">
        <v>29</v>
      </c>
    </row>
    <row r="543" spans="1:19" ht="43.5">
      <c r="A543" s="26">
        <v>6704</v>
      </c>
      <c r="B543" s="26" t="s">
        <v>20</v>
      </c>
      <c r="C543" s="26" t="s">
        <v>30</v>
      </c>
      <c r="D543" s="26" t="s">
        <v>21</v>
      </c>
      <c r="E543" s="26" t="s">
        <v>3178</v>
      </c>
      <c r="F543" s="26" t="s">
        <v>3179</v>
      </c>
      <c r="G543" s="26">
        <v>5.5</v>
      </c>
      <c r="H543" s="26" t="s">
        <v>5</v>
      </c>
      <c r="I543" s="26" t="s">
        <v>3171</v>
      </c>
      <c r="J543" s="26" t="s">
        <v>365</v>
      </c>
      <c r="K543" s="26" t="s">
        <v>366</v>
      </c>
      <c r="L543" s="26" t="s">
        <v>712</v>
      </c>
      <c r="M543" s="26" t="s">
        <v>38</v>
      </c>
      <c r="N543" s="26" t="s">
        <v>39</v>
      </c>
      <c r="O543" s="26" t="s">
        <v>4687</v>
      </c>
      <c r="P543" s="26"/>
      <c r="Q543" s="26"/>
      <c r="R543" s="26">
        <v>5.5</v>
      </c>
      <c r="S543" s="26" t="s">
        <v>29</v>
      </c>
    </row>
    <row r="544" spans="1:19" ht="57.75">
      <c r="A544" s="28">
        <v>58703</v>
      </c>
      <c r="B544" s="28" t="s">
        <v>20</v>
      </c>
      <c r="C544" s="28" t="s">
        <v>21</v>
      </c>
      <c r="D544" s="28" t="s">
        <v>21</v>
      </c>
      <c r="E544" s="28" t="s">
        <v>755</v>
      </c>
      <c r="F544" s="28" t="s">
        <v>756</v>
      </c>
      <c r="G544" s="28">
        <v>5</v>
      </c>
      <c r="H544" s="28" t="s">
        <v>5</v>
      </c>
      <c r="I544" s="28" t="s">
        <v>757</v>
      </c>
      <c r="J544" s="28" t="s">
        <v>25</v>
      </c>
      <c r="K544" s="28" t="s">
        <v>25</v>
      </c>
      <c r="L544" s="28" t="s">
        <v>26</v>
      </c>
      <c r="M544" s="28" t="s">
        <v>38</v>
      </c>
      <c r="N544" s="28" t="s">
        <v>39</v>
      </c>
      <c r="O544" s="29">
        <v>29221</v>
      </c>
      <c r="P544" s="28" t="s">
        <v>758</v>
      </c>
      <c r="Q544" s="28"/>
      <c r="R544" s="28">
        <v>4.9000000000000004</v>
      </c>
      <c r="S544" s="28" t="s">
        <v>29</v>
      </c>
    </row>
    <row r="545" spans="1:19" ht="29.25">
      <c r="A545" s="28">
        <v>82200</v>
      </c>
      <c r="B545" s="28" t="s">
        <v>20</v>
      </c>
      <c r="C545" s="28" t="s">
        <v>21</v>
      </c>
      <c r="D545" s="28" t="s">
        <v>21</v>
      </c>
      <c r="E545" s="28" t="s">
        <v>2571</v>
      </c>
      <c r="F545" s="28" t="s">
        <v>2572</v>
      </c>
      <c r="G545" s="28">
        <v>48</v>
      </c>
      <c r="H545" s="28" t="s">
        <v>24</v>
      </c>
      <c r="I545" s="28" t="s">
        <v>2573</v>
      </c>
      <c r="J545" s="28" t="s">
        <v>295</v>
      </c>
      <c r="K545" s="28" t="s">
        <v>580</v>
      </c>
      <c r="L545" s="28" t="s">
        <v>240</v>
      </c>
      <c r="M545" s="28" t="s">
        <v>27</v>
      </c>
      <c r="N545" s="28" t="s">
        <v>28</v>
      </c>
      <c r="O545" s="29">
        <v>37627</v>
      </c>
      <c r="P545" s="28"/>
      <c r="Q545" s="28"/>
      <c r="R545" s="28">
        <v>49.9</v>
      </c>
      <c r="S545" s="28" t="s">
        <v>29</v>
      </c>
    </row>
    <row r="546" spans="1:19">
      <c r="A546" s="28">
        <v>19500</v>
      </c>
      <c r="B546" s="28" t="s">
        <v>20</v>
      </c>
      <c r="C546" s="28" t="s">
        <v>21</v>
      </c>
      <c r="D546" s="28" t="s">
        <v>21</v>
      </c>
      <c r="E546" s="28" t="s">
        <v>63</v>
      </c>
      <c r="F546" s="28" t="s">
        <v>64</v>
      </c>
      <c r="G546" s="28">
        <v>2</v>
      </c>
      <c r="H546" s="28" t="s">
        <v>24</v>
      </c>
      <c r="I546" s="28" t="s">
        <v>4</v>
      </c>
      <c r="J546" s="28" t="s">
        <v>25</v>
      </c>
      <c r="K546" s="28" t="s">
        <v>25</v>
      </c>
      <c r="L546" s="28" t="s">
        <v>26</v>
      </c>
      <c r="M546" s="28" t="s">
        <v>27</v>
      </c>
      <c r="N546" s="28" t="s">
        <v>28</v>
      </c>
      <c r="O546" s="29">
        <v>2193</v>
      </c>
      <c r="P546" s="28"/>
      <c r="Q546" s="28" t="s">
        <v>65</v>
      </c>
      <c r="R546" s="28">
        <v>2</v>
      </c>
      <c r="S546" s="28" t="s">
        <v>29</v>
      </c>
    </row>
    <row r="547" spans="1:19" ht="43.5">
      <c r="A547" s="28">
        <v>19600</v>
      </c>
      <c r="B547" s="28" t="s">
        <v>20</v>
      </c>
      <c r="C547" s="28" t="s">
        <v>30</v>
      </c>
      <c r="D547" s="28" t="s">
        <v>21</v>
      </c>
      <c r="E547" s="28" t="s">
        <v>1134</v>
      </c>
      <c r="F547" s="28" t="s">
        <v>1135</v>
      </c>
      <c r="G547" s="28">
        <v>2.1</v>
      </c>
      <c r="H547" s="28" t="s">
        <v>24</v>
      </c>
      <c r="I547" s="28" t="s">
        <v>1136</v>
      </c>
      <c r="J547" s="28" t="s">
        <v>788</v>
      </c>
      <c r="K547" s="28" t="s">
        <v>296</v>
      </c>
      <c r="L547" s="28" t="s">
        <v>888</v>
      </c>
      <c r="M547" s="28" t="s">
        <v>27</v>
      </c>
      <c r="N547" s="28" t="s">
        <v>28</v>
      </c>
      <c r="O547" s="29">
        <v>31048</v>
      </c>
      <c r="P547" s="28" t="s">
        <v>1137</v>
      </c>
      <c r="Q547" s="28"/>
      <c r="R547" s="28">
        <v>1.6</v>
      </c>
      <c r="S547" s="28" t="s">
        <v>29</v>
      </c>
    </row>
    <row r="548" spans="1:19" ht="29.25">
      <c r="A548" s="24">
        <v>82700</v>
      </c>
      <c r="B548" s="24" t="s">
        <v>20</v>
      </c>
      <c r="C548" s="24" t="s">
        <v>21</v>
      </c>
      <c r="D548" s="24" t="s">
        <v>30</v>
      </c>
      <c r="E548" s="24" t="s">
        <v>2583</v>
      </c>
      <c r="F548" s="24" t="s">
        <v>2584</v>
      </c>
      <c r="G548" s="24">
        <v>315</v>
      </c>
      <c r="H548" s="24" t="s">
        <v>24</v>
      </c>
      <c r="I548" s="24" t="s">
        <v>2309</v>
      </c>
      <c r="J548" s="24" t="s">
        <v>295</v>
      </c>
      <c r="K548" s="24" t="s">
        <v>580</v>
      </c>
      <c r="L548" s="24" t="s">
        <v>240</v>
      </c>
      <c r="M548" s="24" t="s">
        <v>27</v>
      </c>
      <c r="N548" s="24" t="s">
        <v>28</v>
      </c>
      <c r="O548" s="25">
        <v>41486</v>
      </c>
      <c r="P548" s="24"/>
      <c r="Q548" s="24"/>
      <c r="R548" s="24">
        <v>319.60000000000002</v>
      </c>
      <c r="S548" s="24" t="s">
        <v>29</v>
      </c>
    </row>
    <row r="549" spans="1:19" ht="29.25">
      <c r="A549" s="26">
        <v>82701</v>
      </c>
      <c r="B549" s="26" t="s">
        <v>20</v>
      </c>
      <c r="C549" s="26" t="s">
        <v>30</v>
      </c>
      <c r="D549" s="26" t="s">
        <v>21</v>
      </c>
      <c r="E549" s="26" t="s">
        <v>2585</v>
      </c>
      <c r="F549" s="26" t="s">
        <v>2586</v>
      </c>
      <c r="G549" s="26">
        <v>49.9</v>
      </c>
      <c r="H549" s="26" t="s">
        <v>24</v>
      </c>
      <c r="I549" s="26" t="s">
        <v>2309</v>
      </c>
      <c r="J549" s="26" t="s">
        <v>295</v>
      </c>
      <c r="K549" s="26" t="s">
        <v>580</v>
      </c>
      <c r="L549" s="26" t="s">
        <v>240</v>
      </c>
      <c r="M549" s="26" t="s">
        <v>27</v>
      </c>
      <c r="N549" s="26" t="s">
        <v>28</v>
      </c>
      <c r="O549" s="27">
        <v>37687</v>
      </c>
      <c r="P549" s="26"/>
      <c r="Q549" s="26"/>
      <c r="R549" s="26">
        <v>49.9</v>
      </c>
      <c r="S549" s="26" t="s">
        <v>29</v>
      </c>
    </row>
    <row r="550" spans="1:19" ht="29.25">
      <c r="A550" s="26">
        <v>82702</v>
      </c>
      <c r="B550" s="26" t="s">
        <v>20</v>
      </c>
      <c r="C550" s="26" t="s">
        <v>30</v>
      </c>
      <c r="D550" s="26" t="s">
        <v>21</v>
      </c>
      <c r="E550" s="26" t="s">
        <v>2587</v>
      </c>
      <c r="F550" s="26" t="s">
        <v>2588</v>
      </c>
      <c r="G550" s="26">
        <v>49.9</v>
      </c>
      <c r="H550" s="26" t="s">
        <v>24</v>
      </c>
      <c r="I550" s="26" t="s">
        <v>2309</v>
      </c>
      <c r="J550" s="26" t="s">
        <v>295</v>
      </c>
      <c r="K550" s="26" t="s">
        <v>580</v>
      </c>
      <c r="L550" s="26" t="s">
        <v>240</v>
      </c>
      <c r="M550" s="26" t="s">
        <v>27</v>
      </c>
      <c r="N550" s="26" t="s">
        <v>28</v>
      </c>
      <c r="O550" s="27">
        <v>37687</v>
      </c>
      <c r="P550" s="26"/>
      <c r="Q550" s="26"/>
      <c r="R550" s="26">
        <v>49.9</v>
      </c>
      <c r="S550" s="26" t="s">
        <v>29</v>
      </c>
    </row>
    <row r="551" spans="1:19" ht="29.25">
      <c r="A551" s="26">
        <v>82703</v>
      </c>
      <c r="B551" s="26" t="s">
        <v>20</v>
      </c>
      <c r="C551" s="26" t="s">
        <v>30</v>
      </c>
      <c r="D551" s="26" t="s">
        <v>21</v>
      </c>
      <c r="E551" s="26" t="s">
        <v>2589</v>
      </c>
      <c r="F551" s="26" t="s">
        <v>2590</v>
      </c>
      <c r="G551" s="26">
        <v>49.9</v>
      </c>
      <c r="H551" s="26" t="s">
        <v>24</v>
      </c>
      <c r="I551" s="26" t="s">
        <v>2309</v>
      </c>
      <c r="J551" s="26" t="s">
        <v>295</v>
      </c>
      <c r="K551" s="26" t="s">
        <v>580</v>
      </c>
      <c r="L551" s="26" t="s">
        <v>240</v>
      </c>
      <c r="M551" s="26" t="s">
        <v>27</v>
      </c>
      <c r="N551" s="26" t="s">
        <v>28</v>
      </c>
      <c r="O551" s="27">
        <v>37687</v>
      </c>
      <c r="P551" s="26"/>
      <c r="Q551" s="26"/>
      <c r="R551" s="26">
        <v>49.9</v>
      </c>
      <c r="S551" s="26" t="s">
        <v>29</v>
      </c>
    </row>
    <row r="552" spans="1:19" ht="29.25">
      <c r="A552" s="26">
        <v>82704</v>
      </c>
      <c r="B552" s="26" t="s">
        <v>20</v>
      </c>
      <c r="C552" s="26" t="s">
        <v>30</v>
      </c>
      <c r="D552" s="26" t="s">
        <v>21</v>
      </c>
      <c r="E552" s="26" t="s">
        <v>2591</v>
      </c>
      <c r="F552" s="26" t="s">
        <v>2592</v>
      </c>
      <c r="G552" s="26">
        <v>49.9</v>
      </c>
      <c r="H552" s="26" t="s">
        <v>24</v>
      </c>
      <c r="I552" s="26" t="s">
        <v>2309</v>
      </c>
      <c r="J552" s="26" t="s">
        <v>295</v>
      </c>
      <c r="K552" s="26" t="s">
        <v>580</v>
      </c>
      <c r="L552" s="26" t="s">
        <v>240</v>
      </c>
      <c r="M552" s="26" t="s">
        <v>27</v>
      </c>
      <c r="N552" s="26" t="s">
        <v>28</v>
      </c>
      <c r="O552" s="27">
        <v>37687</v>
      </c>
      <c r="P552" s="26"/>
      <c r="Q552" s="26"/>
      <c r="R552" s="26">
        <v>49.9</v>
      </c>
      <c r="S552" s="26" t="s">
        <v>29</v>
      </c>
    </row>
    <row r="553" spans="1:19" ht="29.25">
      <c r="A553" s="26">
        <v>82705</v>
      </c>
      <c r="B553" s="26" t="s">
        <v>20</v>
      </c>
      <c r="C553" s="26" t="s">
        <v>21</v>
      </c>
      <c r="D553" s="26" t="s">
        <v>21</v>
      </c>
      <c r="E553" s="26" t="s">
        <v>4745</v>
      </c>
      <c r="F553" s="26" t="s">
        <v>4746</v>
      </c>
      <c r="G553" s="26">
        <v>120</v>
      </c>
      <c r="H553" s="26" t="s">
        <v>24</v>
      </c>
      <c r="I553" s="26" t="s">
        <v>2309</v>
      </c>
      <c r="J553" s="26" t="s">
        <v>365</v>
      </c>
      <c r="K553" s="26" t="s">
        <v>366</v>
      </c>
      <c r="L553" s="26" t="s">
        <v>712</v>
      </c>
      <c r="M553" s="26" t="s">
        <v>27</v>
      </c>
      <c r="N553" s="26" t="s">
        <v>28</v>
      </c>
      <c r="O553" s="27">
        <v>41486</v>
      </c>
      <c r="P553" s="26"/>
      <c r="Q553" s="26"/>
      <c r="R553" s="26">
        <v>120</v>
      </c>
      <c r="S553" s="26" t="s">
        <v>29</v>
      </c>
    </row>
    <row r="554" spans="1:19" ht="29.25">
      <c r="A554" s="24">
        <v>20100</v>
      </c>
      <c r="B554" s="24" t="s">
        <v>20</v>
      </c>
      <c r="C554" s="24" t="s">
        <v>21</v>
      </c>
      <c r="D554" s="24" t="s">
        <v>30</v>
      </c>
      <c r="E554" s="24" t="s">
        <v>2331</v>
      </c>
      <c r="F554" s="24" t="s">
        <v>2332</v>
      </c>
      <c r="G554" s="24">
        <v>561.29</v>
      </c>
      <c r="H554" s="24" t="s">
        <v>24</v>
      </c>
      <c r="I554" s="24" t="s">
        <v>2309</v>
      </c>
      <c r="J554" s="24" t="s">
        <v>365</v>
      </c>
      <c r="K554" s="24" t="s">
        <v>705</v>
      </c>
      <c r="L554" s="24" t="s">
        <v>240</v>
      </c>
      <c r="M554" s="24" t="s">
        <v>27</v>
      </c>
      <c r="N554" s="24" t="s">
        <v>28</v>
      </c>
      <c r="O554" s="25">
        <v>37051</v>
      </c>
      <c r="P554" s="24"/>
      <c r="Q554" s="24"/>
      <c r="R554" s="24">
        <v>519.99</v>
      </c>
      <c r="S554" s="24" t="s">
        <v>29</v>
      </c>
    </row>
    <row r="555" spans="1:19">
      <c r="A555" s="26">
        <v>20101</v>
      </c>
      <c r="B555" s="26" t="s">
        <v>20</v>
      </c>
      <c r="C555" s="26" t="s">
        <v>30</v>
      </c>
      <c r="D555" s="26" t="s">
        <v>21</v>
      </c>
      <c r="E555" s="26" t="s">
        <v>2333</v>
      </c>
      <c r="F555" s="26" t="s">
        <v>2334</v>
      </c>
      <c r="G555" s="26">
        <v>177</v>
      </c>
      <c r="H555" s="26" t="s">
        <v>24</v>
      </c>
      <c r="I555" s="26" t="s">
        <v>2309</v>
      </c>
      <c r="J555" s="26" t="s">
        <v>365</v>
      </c>
      <c r="K555" s="26" t="s">
        <v>580</v>
      </c>
      <c r="L555" s="26" t="s">
        <v>240</v>
      </c>
      <c r="M555" s="26" t="s">
        <v>27</v>
      </c>
      <c r="N555" s="26" t="s">
        <v>28</v>
      </c>
      <c r="O555" s="27">
        <v>37051</v>
      </c>
      <c r="P555" s="26"/>
      <c r="Q555" s="26"/>
      <c r="R555" s="26">
        <v>169.9</v>
      </c>
      <c r="S555" s="26" t="s">
        <v>29</v>
      </c>
    </row>
    <row r="556" spans="1:19">
      <c r="A556" s="26">
        <v>20102</v>
      </c>
      <c r="B556" s="26" t="s">
        <v>20</v>
      </c>
      <c r="C556" s="26" t="s">
        <v>30</v>
      </c>
      <c r="D556" s="26" t="s">
        <v>21</v>
      </c>
      <c r="E556" s="26" t="s">
        <v>2335</v>
      </c>
      <c r="F556" s="26" t="s">
        <v>2336</v>
      </c>
      <c r="G556" s="26">
        <v>177</v>
      </c>
      <c r="H556" s="26" t="s">
        <v>24</v>
      </c>
      <c r="I556" s="26" t="s">
        <v>2309</v>
      </c>
      <c r="J556" s="26" t="s">
        <v>365</v>
      </c>
      <c r="K556" s="26" t="s">
        <v>580</v>
      </c>
      <c r="L556" s="26" t="s">
        <v>240</v>
      </c>
      <c r="M556" s="26" t="s">
        <v>27</v>
      </c>
      <c r="N556" s="26" t="s">
        <v>28</v>
      </c>
      <c r="O556" s="27">
        <v>37051</v>
      </c>
      <c r="P556" s="26"/>
      <c r="Q556" s="26"/>
      <c r="R556" s="26">
        <v>169.9</v>
      </c>
      <c r="S556" s="26" t="s">
        <v>29</v>
      </c>
    </row>
    <row r="557" spans="1:19">
      <c r="A557" s="26">
        <v>20103</v>
      </c>
      <c r="B557" s="26" t="s">
        <v>20</v>
      </c>
      <c r="C557" s="26" t="s">
        <v>30</v>
      </c>
      <c r="D557" s="26" t="s">
        <v>21</v>
      </c>
      <c r="E557" s="26" t="s">
        <v>2337</v>
      </c>
      <c r="F557" s="26" t="s">
        <v>2338</v>
      </c>
      <c r="G557" s="26">
        <v>243</v>
      </c>
      <c r="H557" s="26" t="s">
        <v>24</v>
      </c>
      <c r="I557" s="26" t="s">
        <v>2309</v>
      </c>
      <c r="J557" s="26" t="s">
        <v>365</v>
      </c>
      <c r="K557" s="26" t="s">
        <v>366</v>
      </c>
      <c r="L557" s="26" t="s">
        <v>712</v>
      </c>
      <c r="M557" s="26" t="s">
        <v>27</v>
      </c>
      <c r="N557" s="26" t="s">
        <v>28</v>
      </c>
      <c r="O557" s="27">
        <v>37051</v>
      </c>
      <c r="P557" s="26"/>
      <c r="Q557" s="26"/>
      <c r="R557" s="26">
        <v>180.19</v>
      </c>
      <c r="S557" s="26" t="s">
        <v>29</v>
      </c>
    </row>
    <row r="558" spans="1:19" ht="43.5">
      <c r="A558" s="24">
        <v>20300</v>
      </c>
      <c r="B558" s="24" t="s">
        <v>20</v>
      </c>
      <c r="C558" s="24" t="s">
        <v>21</v>
      </c>
      <c r="D558" s="24" t="s">
        <v>30</v>
      </c>
      <c r="E558" s="24" t="s">
        <v>110</v>
      </c>
      <c r="F558" s="24" t="s">
        <v>111</v>
      </c>
      <c r="G558" s="24">
        <v>3</v>
      </c>
      <c r="H558" s="24" t="s">
        <v>5</v>
      </c>
      <c r="I558" s="24" t="s">
        <v>5</v>
      </c>
      <c r="J558" s="24" t="s">
        <v>25</v>
      </c>
      <c r="K558" s="24" t="s">
        <v>25</v>
      </c>
      <c r="L558" s="24" t="s">
        <v>26</v>
      </c>
      <c r="M558" s="24" t="s">
        <v>38</v>
      </c>
      <c r="N558" s="24" t="s">
        <v>39</v>
      </c>
      <c r="O558" s="25">
        <v>4019</v>
      </c>
      <c r="P558" s="24" t="s">
        <v>112</v>
      </c>
      <c r="Q558" s="24"/>
      <c r="R558" s="24">
        <v>3</v>
      </c>
      <c r="S558" s="24" t="s">
        <v>29</v>
      </c>
    </row>
    <row r="559" spans="1:19">
      <c r="A559" s="26">
        <v>20302</v>
      </c>
      <c r="B559" s="26" t="s">
        <v>20</v>
      </c>
      <c r="C559" s="26" t="s">
        <v>21</v>
      </c>
      <c r="D559" s="26" t="s">
        <v>21</v>
      </c>
      <c r="E559" s="26"/>
      <c r="F559" s="26" t="s">
        <v>114</v>
      </c>
      <c r="G559" s="26"/>
      <c r="H559" s="26" t="s">
        <v>5</v>
      </c>
      <c r="I559" s="26" t="s">
        <v>5</v>
      </c>
      <c r="J559" s="26" t="s">
        <v>25</v>
      </c>
      <c r="K559" s="26" t="s">
        <v>25</v>
      </c>
      <c r="L559" s="26" t="s">
        <v>26</v>
      </c>
      <c r="M559" s="26" t="s">
        <v>38</v>
      </c>
      <c r="N559" s="26" t="s">
        <v>39</v>
      </c>
      <c r="O559" s="27">
        <v>4384</v>
      </c>
      <c r="P559" s="26"/>
      <c r="Q559" s="26"/>
      <c r="R559" s="26">
        <v>1.5</v>
      </c>
      <c r="S559" s="26" t="s">
        <v>29</v>
      </c>
    </row>
    <row r="560" spans="1:19">
      <c r="A560" s="26">
        <v>20301</v>
      </c>
      <c r="B560" s="26" t="s">
        <v>20</v>
      </c>
      <c r="C560" s="26" t="s">
        <v>21</v>
      </c>
      <c r="D560" s="26" t="s">
        <v>21</v>
      </c>
      <c r="E560" s="26"/>
      <c r="F560" s="26" t="s">
        <v>113</v>
      </c>
      <c r="G560" s="26"/>
      <c r="H560" s="26" t="s">
        <v>5</v>
      </c>
      <c r="I560" s="26" t="s">
        <v>5</v>
      </c>
      <c r="J560" s="26" t="s">
        <v>25</v>
      </c>
      <c r="K560" s="26" t="s">
        <v>25</v>
      </c>
      <c r="L560" s="26" t="s">
        <v>26</v>
      </c>
      <c r="M560" s="26" t="s">
        <v>38</v>
      </c>
      <c r="N560" s="26" t="s">
        <v>39</v>
      </c>
      <c r="O560" s="27">
        <v>4019</v>
      </c>
      <c r="P560" s="26"/>
      <c r="Q560" s="26"/>
      <c r="R560" s="26">
        <v>1.5</v>
      </c>
      <c r="S560" s="26" t="s">
        <v>29</v>
      </c>
    </row>
    <row r="561" spans="1:19" ht="57.75">
      <c r="A561" s="28">
        <v>102300</v>
      </c>
      <c r="B561" s="28" t="s">
        <v>20</v>
      </c>
      <c r="C561" s="28" t="s">
        <v>21</v>
      </c>
      <c r="D561" s="28" t="s">
        <v>21</v>
      </c>
      <c r="E561" s="28" t="s">
        <v>3023</v>
      </c>
      <c r="F561" s="28" t="s">
        <v>3024</v>
      </c>
      <c r="G561" s="28">
        <v>20</v>
      </c>
      <c r="H561" s="28" t="s">
        <v>143</v>
      </c>
      <c r="I561" s="28" t="s">
        <v>2834</v>
      </c>
      <c r="J561" s="28" t="s">
        <v>25</v>
      </c>
      <c r="K561" s="28" t="s">
        <v>542</v>
      </c>
      <c r="L561" s="28" t="s">
        <v>26</v>
      </c>
      <c r="M561" s="28" t="s">
        <v>38</v>
      </c>
      <c r="N561" s="28" t="s">
        <v>144</v>
      </c>
      <c r="O561" s="29">
        <v>40794</v>
      </c>
      <c r="P561" s="28" t="s">
        <v>3025</v>
      </c>
      <c r="Q561" s="28"/>
      <c r="R561" s="28">
        <v>20</v>
      </c>
      <c r="S561" s="28" t="s">
        <v>29</v>
      </c>
    </row>
    <row r="562" spans="1:19" ht="29.25">
      <c r="A562" s="28">
        <v>105500</v>
      </c>
      <c r="B562" s="28" t="s">
        <v>20</v>
      </c>
      <c r="C562" s="28" t="s">
        <v>21</v>
      </c>
      <c r="D562" s="28" t="s">
        <v>21</v>
      </c>
      <c r="E562" s="28" t="s">
        <v>4479</v>
      </c>
      <c r="F562" s="28" t="s">
        <v>4480</v>
      </c>
      <c r="G562" s="28">
        <v>20.149999999999999</v>
      </c>
      <c r="H562" s="28" t="s">
        <v>143</v>
      </c>
      <c r="I562" s="28" t="s">
        <v>2834</v>
      </c>
      <c r="J562" s="28" t="s">
        <v>25</v>
      </c>
      <c r="K562" s="28" t="s">
        <v>542</v>
      </c>
      <c r="L562" s="28" t="s">
        <v>26</v>
      </c>
      <c r="M562" s="28" t="s">
        <v>38</v>
      </c>
      <c r="N562" s="28" t="s">
        <v>144</v>
      </c>
      <c r="O562" s="29">
        <v>41148</v>
      </c>
      <c r="P562" s="28"/>
      <c r="Q562" s="28"/>
      <c r="R562" s="28">
        <v>20</v>
      </c>
      <c r="S562" s="28" t="s">
        <v>29</v>
      </c>
    </row>
    <row r="563" spans="1:19">
      <c r="A563" s="28">
        <v>94400</v>
      </c>
      <c r="B563" s="28" t="s">
        <v>20</v>
      </c>
      <c r="C563" s="28" t="s">
        <v>21</v>
      </c>
      <c r="D563" s="28" t="s">
        <v>21</v>
      </c>
      <c r="E563" s="28" t="s">
        <v>2838</v>
      </c>
      <c r="F563" s="28" t="s">
        <v>2839</v>
      </c>
      <c r="G563" s="28">
        <v>3.5</v>
      </c>
      <c r="H563" s="28" t="s">
        <v>24</v>
      </c>
      <c r="I563" s="28" t="s">
        <v>859</v>
      </c>
      <c r="J563" s="28" t="s">
        <v>25</v>
      </c>
      <c r="K563" s="28" t="s">
        <v>25</v>
      </c>
      <c r="L563" s="28" t="s">
        <v>26</v>
      </c>
      <c r="M563" s="28" t="s">
        <v>27</v>
      </c>
      <c r="N563" s="28" t="s">
        <v>28</v>
      </c>
      <c r="O563" s="29">
        <v>39265</v>
      </c>
      <c r="P563" s="28" t="s">
        <v>2840</v>
      </c>
      <c r="Q563" s="28" t="s">
        <v>93</v>
      </c>
      <c r="R563" s="28">
        <v>3.5</v>
      </c>
      <c r="S563" s="28" t="s">
        <v>29</v>
      </c>
    </row>
    <row r="564" spans="1:19">
      <c r="A564" s="28">
        <v>19300</v>
      </c>
      <c r="B564" s="28" t="s">
        <v>20</v>
      </c>
      <c r="C564" s="28" t="s">
        <v>21</v>
      </c>
      <c r="D564" s="28" t="s">
        <v>21</v>
      </c>
      <c r="E564" s="28" t="s">
        <v>2450</v>
      </c>
      <c r="F564" s="28" t="s">
        <v>2451</v>
      </c>
      <c r="G564" s="28">
        <v>46.1</v>
      </c>
      <c r="H564" s="28" t="s">
        <v>143</v>
      </c>
      <c r="I564" s="28" t="s">
        <v>2452</v>
      </c>
      <c r="J564" s="28" t="s">
        <v>295</v>
      </c>
      <c r="K564" s="28" t="s">
        <v>580</v>
      </c>
      <c r="L564" s="28" t="s">
        <v>240</v>
      </c>
      <c r="M564" s="28" t="s">
        <v>38</v>
      </c>
      <c r="N564" s="28" t="s">
        <v>144</v>
      </c>
      <c r="O564" s="29">
        <v>37147</v>
      </c>
      <c r="P564" s="28"/>
      <c r="Q564" s="28"/>
      <c r="R564" s="28">
        <v>45</v>
      </c>
      <c r="S564" s="28" t="s">
        <v>29</v>
      </c>
    </row>
    <row r="565" spans="1:19">
      <c r="A565" s="28">
        <v>19400</v>
      </c>
      <c r="B565" s="28" t="s">
        <v>20</v>
      </c>
      <c r="C565" s="28" t="s">
        <v>21</v>
      </c>
      <c r="D565" s="28" t="s">
        <v>21</v>
      </c>
      <c r="E565" s="28" t="s">
        <v>2453</v>
      </c>
      <c r="F565" s="28" t="s">
        <v>2454</v>
      </c>
      <c r="G565" s="28">
        <v>47.98</v>
      </c>
      <c r="H565" s="28" t="s">
        <v>143</v>
      </c>
      <c r="I565" s="28" t="s">
        <v>2452</v>
      </c>
      <c r="J565" s="28" t="s">
        <v>295</v>
      </c>
      <c r="K565" s="28" t="s">
        <v>580</v>
      </c>
      <c r="L565" s="28" t="s">
        <v>240</v>
      </c>
      <c r="M565" s="28" t="s">
        <v>38</v>
      </c>
      <c r="N565" s="28" t="s">
        <v>144</v>
      </c>
      <c r="O565" s="29">
        <v>37147</v>
      </c>
      <c r="P565" s="28"/>
      <c r="Q565" s="28"/>
      <c r="R565" s="28">
        <v>45</v>
      </c>
      <c r="S565" s="28" t="s">
        <v>29</v>
      </c>
    </row>
    <row r="566" spans="1:19">
      <c r="A566" s="28">
        <v>19700</v>
      </c>
      <c r="B566" s="28" t="s">
        <v>20</v>
      </c>
      <c r="C566" s="28" t="s">
        <v>21</v>
      </c>
      <c r="D566" s="28" t="s">
        <v>21</v>
      </c>
      <c r="E566" s="28" t="s">
        <v>1279</v>
      </c>
      <c r="F566" s="28" t="s">
        <v>1280</v>
      </c>
      <c r="G566" s="28">
        <v>25.3</v>
      </c>
      <c r="H566" s="28" t="s">
        <v>24</v>
      </c>
      <c r="I566" s="28" t="s">
        <v>859</v>
      </c>
      <c r="J566" s="28" t="s">
        <v>295</v>
      </c>
      <c r="K566" s="28" t="s">
        <v>580</v>
      </c>
      <c r="L566" s="28" t="s">
        <v>240</v>
      </c>
      <c r="M566" s="28" t="s">
        <v>27</v>
      </c>
      <c r="N566" s="28" t="s">
        <v>28</v>
      </c>
      <c r="O566" s="29">
        <v>31413</v>
      </c>
      <c r="P566" s="28"/>
      <c r="Q566" s="28"/>
      <c r="R566" s="28">
        <v>25.4</v>
      </c>
      <c r="S566" s="28" t="s">
        <v>29</v>
      </c>
    </row>
    <row r="567" spans="1:19">
      <c r="A567" s="24">
        <v>110400</v>
      </c>
      <c r="B567" s="24" t="s">
        <v>20</v>
      </c>
      <c r="C567" s="24" t="s">
        <v>21</v>
      </c>
      <c r="D567" s="24" t="s">
        <v>30</v>
      </c>
      <c r="E567" s="24" t="s">
        <v>4633</v>
      </c>
      <c r="F567" s="24" t="s">
        <v>4634</v>
      </c>
      <c r="G567" s="24">
        <v>302.58</v>
      </c>
      <c r="H567" s="24" t="s">
        <v>24</v>
      </c>
      <c r="I567" s="24" t="s">
        <v>859</v>
      </c>
      <c r="J567" s="24" t="s">
        <v>365</v>
      </c>
      <c r="K567" s="24" t="s">
        <v>705</v>
      </c>
      <c r="L567" s="24" t="s">
        <v>240</v>
      </c>
      <c r="M567" s="24" t="s">
        <v>27</v>
      </c>
      <c r="N567" s="24" t="s">
        <v>1420</v>
      </c>
      <c r="O567" s="25">
        <v>41240</v>
      </c>
      <c r="P567" s="24"/>
      <c r="Q567" s="24"/>
      <c r="R567" s="24">
        <v>284</v>
      </c>
      <c r="S567" s="24" t="s">
        <v>29</v>
      </c>
    </row>
    <row r="568" spans="1:19">
      <c r="A568" s="26">
        <v>110401</v>
      </c>
      <c r="B568" s="26" t="s">
        <v>87</v>
      </c>
      <c r="C568" s="26" t="s">
        <v>21</v>
      </c>
      <c r="D568" s="26" t="s">
        <v>21</v>
      </c>
      <c r="E568" s="26" t="s">
        <v>4747</v>
      </c>
      <c r="F568" s="26" t="s">
        <v>4634</v>
      </c>
      <c r="G568" s="26">
        <v>220</v>
      </c>
      <c r="H568" s="26" t="s">
        <v>24</v>
      </c>
      <c r="I568" s="26" t="s">
        <v>859</v>
      </c>
      <c r="J568" s="26" t="s">
        <v>365</v>
      </c>
      <c r="K568" s="26" t="s">
        <v>580</v>
      </c>
      <c r="L568" s="26" t="s">
        <v>240</v>
      </c>
      <c r="M568" s="26" t="s">
        <v>27</v>
      </c>
      <c r="N568" s="26" t="s">
        <v>1420</v>
      </c>
      <c r="O568" s="27">
        <v>41240</v>
      </c>
      <c r="P568" s="26"/>
      <c r="Q568" s="26"/>
      <c r="R568" s="26"/>
      <c r="S568" s="26" t="s">
        <v>29</v>
      </c>
    </row>
    <row r="569" spans="1:19">
      <c r="A569" s="26">
        <v>110402</v>
      </c>
      <c r="B569" s="26" t="s">
        <v>87</v>
      </c>
      <c r="C569" s="26" t="s">
        <v>21</v>
      </c>
      <c r="D569" s="26" t="s">
        <v>21</v>
      </c>
      <c r="E569" s="26" t="s">
        <v>4748</v>
      </c>
      <c r="F569" s="26" t="s">
        <v>4634</v>
      </c>
      <c r="G569" s="26">
        <v>116.9</v>
      </c>
      <c r="H569" s="26" t="s">
        <v>24</v>
      </c>
      <c r="I569" s="26" t="s">
        <v>859</v>
      </c>
      <c r="J569" s="26" t="s">
        <v>365</v>
      </c>
      <c r="K569" s="26" t="s">
        <v>366</v>
      </c>
      <c r="L569" s="26" t="s">
        <v>240</v>
      </c>
      <c r="M569" s="26" t="s">
        <v>27</v>
      </c>
      <c r="N569" s="26" t="s">
        <v>1420</v>
      </c>
      <c r="O569" s="27">
        <v>41240</v>
      </c>
      <c r="P569" s="26"/>
      <c r="Q569" s="26"/>
      <c r="R569" s="26"/>
      <c r="S569" s="26" t="s">
        <v>29</v>
      </c>
    </row>
    <row r="570" spans="1:19">
      <c r="A570" s="28">
        <v>19800</v>
      </c>
      <c r="B570" s="28" t="s">
        <v>20</v>
      </c>
      <c r="C570" s="28" t="s">
        <v>21</v>
      </c>
      <c r="D570" s="28" t="s">
        <v>21</v>
      </c>
      <c r="E570" s="28" t="s">
        <v>2200</v>
      </c>
      <c r="F570" s="28" t="s">
        <v>2201</v>
      </c>
      <c r="G570" s="28">
        <v>49.9</v>
      </c>
      <c r="H570" s="28" t="s">
        <v>24</v>
      </c>
      <c r="I570" s="28" t="s">
        <v>859</v>
      </c>
      <c r="J570" s="28" t="s">
        <v>295</v>
      </c>
      <c r="K570" s="28" t="s">
        <v>580</v>
      </c>
      <c r="L570" s="28" t="s">
        <v>240</v>
      </c>
      <c r="M570" s="28" t="s">
        <v>27</v>
      </c>
      <c r="N570" s="28" t="s">
        <v>28</v>
      </c>
      <c r="O570" s="29">
        <v>35065</v>
      </c>
      <c r="P570" s="28"/>
      <c r="Q570" s="28"/>
      <c r="R570" s="28">
        <v>51.2</v>
      </c>
      <c r="S570" s="28" t="s">
        <v>29</v>
      </c>
    </row>
    <row r="571" spans="1:19">
      <c r="A571" s="28">
        <v>95000</v>
      </c>
      <c r="B571" s="28" t="s">
        <v>20</v>
      </c>
      <c r="C571" s="28" t="s">
        <v>21</v>
      </c>
      <c r="D571" s="28" t="s">
        <v>21</v>
      </c>
      <c r="E571" s="28" t="s">
        <v>2841</v>
      </c>
      <c r="F571" s="28" t="s">
        <v>2842</v>
      </c>
      <c r="G571" s="28">
        <v>65</v>
      </c>
      <c r="H571" s="28" t="s">
        <v>5</v>
      </c>
      <c r="I571" s="28" t="s">
        <v>2843</v>
      </c>
      <c r="J571" s="28" t="s">
        <v>295</v>
      </c>
      <c r="K571" s="28" t="s">
        <v>580</v>
      </c>
      <c r="L571" s="28" t="s">
        <v>240</v>
      </c>
      <c r="M571" s="28" t="s">
        <v>38</v>
      </c>
      <c r="N571" s="28" t="s">
        <v>39</v>
      </c>
      <c r="O571" s="29">
        <v>39295</v>
      </c>
      <c r="P571" s="28"/>
      <c r="Q571" s="28"/>
      <c r="R571" s="28">
        <v>70</v>
      </c>
      <c r="S571" s="28" t="s">
        <v>29</v>
      </c>
    </row>
    <row r="572" spans="1:19">
      <c r="A572" s="28">
        <v>95100</v>
      </c>
      <c r="B572" s="28" t="s">
        <v>20</v>
      </c>
      <c r="C572" s="28" t="s">
        <v>21</v>
      </c>
      <c r="D572" s="28" t="s">
        <v>21</v>
      </c>
      <c r="E572" s="28" t="s">
        <v>2844</v>
      </c>
      <c r="F572" s="28" t="s">
        <v>2845</v>
      </c>
      <c r="G572" s="28">
        <v>65</v>
      </c>
      <c r="H572" s="28" t="s">
        <v>5</v>
      </c>
      <c r="I572" s="28" t="s">
        <v>2843</v>
      </c>
      <c r="J572" s="28" t="s">
        <v>295</v>
      </c>
      <c r="K572" s="28" t="s">
        <v>580</v>
      </c>
      <c r="L572" s="28" t="s">
        <v>240</v>
      </c>
      <c r="M572" s="28" t="s">
        <v>38</v>
      </c>
      <c r="N572" s="28" t="s">
        <v>39</v>
      </c>
      <c r="O572" s="29">
        <v>39295</v>
      </c>
      <c r="P572" s="28"/>
      <c r="Q572" s="28"/>
      <c r="R572" s="28">
        <v>70</v>
      </c>
      <c r="S572" s="28" t="s">
        <v>29</v>
      </c>
    </row>
    <row r="573" spans="1:19">
      <c r="A573" s="28">
        <v>95200</v>
      </c>
      <c r="B573" s="28" t="s">
        <v>20</v>
      </c>
      <c r="C573" s="28" t="s">
        <v>21</v>
      </c>
      <c r="D573" s="28" t="s">
        <v>21</v>
      </c>
      <c r="E573" s="28" t="s">
        <v>2846</v>
      </c>
      <c r="F573" s="28" t="s">
        <v>2847</v>
      </c>
      <c r="G573" s="28">
        <v>65</v>
      </c>
      <c r="H573" s="28" t="s">
        <v>5</v>
      </c>
      <c r="I573" s="28" t="s">
        <v>2843</v>
      </c>
      <c r="J573" s="28" t="s">
        <v>295</v>
      </c>
      <c r="K573" s="28" t="s">
        <v>580</v>
      </c>
      <c r="L573" s="28" t="s">
        <v>240</v>
      </c>
      <c r="M573" s="28" t="s">
        <v>38</v>
      </c>
      <c r="N573" s="28" t="s">
        <v>39</v>
      </c>
      <c r="O573" s="29">
        <v>39295</v>
      </c>
      <c r="P573" s="28"/>
      <c r="Q573" s="28"/>
      <c r="R573" s="28">
        <v>70</v>
      </c>
      <c r="S573" s="28" t="s">
        <v>29</v>
      </c>
    </row>
    <row r="574" spans="1:19">
      <c r="A574" s="28">
        <v>95300</v>
      </c>
      <c r="B574" s="28" t="s">
        <v>20</v>
      </c>
      <c r="C574" s="28" t="s">
        <v>21</v>
      </c>
      <c r="D574" s="28" t="s">
        <v>21</v>
      </c>
      <c r="E574" s="28" t="s">
        <v>2848</v>
      </c>
      <c r="F574" s="28" t="s">
        <v>2849</v>
      </c>
      <c r="G574" s="28">
        <v>65</v>
      </c>
      <c r="H574" s="28" t="s">
        <v>5</v>
      </c>
      <c r="I574" s="28" t="s">
        <v>2843</v>
      </c>
      <c r="J574" s="28" t="s">
        <v>295</v>
      </c>
      <c r="K574" s="28" t="s">
        <v>580</v>
      </c>
      <c r="L574" s="28" t="s">
        <v>240</v>
      </c>
      <c r="M574" s="28" t="s">
        <v>38</v>
      </c>
      <c r="N574" s="28" t="s">
        <v>39</v>
      </c>
      <c r="O574" s="29">
        <v>39295</v>
      </c>
      <c r="P574" s="28"/>
      <c r="Q574" s="28"/>
      <c r="R574" s="28">
        <v>70</v>
      </c>
      <c r="S574" s="28" t="s">
        <v>29</v>
      </c>
    </row>
    <row r="575" spans="1:19" ht="43.5">
      <c r="A575" s="28">
        <v>98700</v>
      </c>
      <c r="B575" s="28" t="s">
        <v>20</v>
      </c>
      <c r="C575" s="28" t="s">
        <v>21</v>
      </c>
      <c r="D575" s="28" t="s">
        <v>21</v>
      </c>
      <c r="E575" s="28" t="s">
        <v>1846</v>
      </c>
      <c r="F575" s="28" t="s">
        <v>1847</v>
      </c>
      <c r="G575" s="28">
        <v>1.7</v>
      </c>
      <c r="H575" s="28" t="s">
        <v>24</v>
      </c>
      <c r="I575" s="28" t="s">
        <v>1848</v>
      </c>
      <c r="J575" s="28" t="s">
        <v>25</v>
      </c>
      <c r="K575" s="28" t="s">
        <v>25</v>
      </c>
      <c r="L575" s="28" t="s">
        <v>26</v>
      </c>
      <c r="M575" s="28" t="s">
        <v>27</v>
      </c>
      <c r="N575" s="28" t="s">
        <v>28</v>
      </c>
      <c r="O575" s="29">
        <v>32674</v>
      </c>
      <c r="P575" s="28" t="s">
        <v>1849</v>
      </c>
      <c r="Q575" s="28"/>
      <c r="R575" s="28">
        <v>1.7</v>
      </c>
      <c r="S575" s="28" t="s">
        <v>29</v>
      </c>
    </row>
    <row r="576" spans="1:19" ht="29.25">
      <c r="A576" s="24">
        <v>92500</v>
      </c>
      <c r="B576" s="24" t="s">
        <v>20</v>
      </c>
      <c r="C576" s="24" t="s">
        <v>21</v>
      </c>
      <c r="D576" s="24" t="s">
        <v>30</v>
      </c>
      <c r="E576" s="24" t="s">
        <v>2759</v>
      </c>
      <c r="F576" s="24" t="s">
        <v>2760</v>
      </c>
      <c r="G576" s="24">
        <v>134</v>
      </c>
      <c r="H576" s="24" t="s">
        <v>5</v>
      </c>
      <c r="I576" s="24" t="s">
        <v>2761</v>
      </c>
      <c r="J576" s="24" t="s">
        <v>365</v>
      </c>
      <c r="K576" s="24" t="s">
        <v>705</v>
      </c>
      <c r="L576" s="24" t="s">
        <v>240</v>
      </c>
      <c r="M576" s="24" t="s">
        <v>38</v>
      </c>
      <c r="N576" s="24" t="s">
        <v>298</v>
      </c>
      <c r="O576" s="25">
        <v>38642</v>
      </c>
      <c r="P576" s="24"/>
      <c r="Q576" s="24"/>
      <c r="R576" s="24">
        <v>134</v>
      </c>
      <c r="S576" s="24" t="s">
        <v>29</v>
      </c>
    </row>
    <row r="577" spans="1:19" ht="29.25">
      <c r="A577" s="26">
        <v>92501</v>
      </c>
      <c r="B577" s="26" t="s">
        <v>20</v>
      </c>
      <c r="C577" s="26" t="s">
        <v>21</v>
      </c>
      <c r="D577" s="26" t="s">
        <v>21</v>
      </c>
      <c r="E577" s="26" t="s">
        <v>2762</v>
      </c>
      <c r="F577" s="26" t="s">
        <v>2763</v>
      </c>
      <c r="G577" s="26">
        <v>42</v>
      </c>
      <c r="H577" s="26" t="s">
        <v>5</v>
      </c>
      <c r="I577" s="26" t="s">
        <v>2761</v>
      </c>
      <c r="J577" s="26" t="s">
        <v>365</v>
      </c>
      <c r="K577" s="26" t="s">
        <v>580</v>
      </c>
      <c r="L577" s="26" t="s">
        <v>240</v>
      </c>
      <c r="M577" s="26" t="s">
        <v>38</v>
      </c>
      <c r="N577" s="26" t="s">
        <v>298</v>
      </c>
      <c r="O577" s="27">
        <v>38642</v>
      </c>
      <c r="P577" s="26"/>
      <c r="Q577" s="26"/>
      <c r="R577" s="26">
        <v>42</v>
      </c>
      <c r="S577" s="26" t="s">
        <v>29</v>
      </c>
    </row>
    <row r="578" spans="1:19" ht="29.25">
      <c r="A578" s="26">
        <v>92502</v>
      </c>
      <c r="B578" s="26" t="s">
        <v>20</v>
      </c>
      <c r="C578" s="26" t="s">
        <v>21</v>
      </c>
      <c r="D578" s="26" t="s">
        <v>21</v>
      </c>
      <c r="E578" s="26" t="s">
        <v>2764</v>
      </c>
      <c r="F578" s="26" t="s">
        <v>2765</v>
      </c>
      <c r="G578" s="26">
        <v>42</v>
      </c>
      <c r="H578" s="26" t="s">
        <v>5</v>
      </c>
      <c r="I578" s="26" t="s">
        <v>2761</v>
      </c>
      <c r="J578" s="26" t="s">
        <v>365</v>
      </c>
      <c r="K578" s="26" t="s">
        <v>580</v>
      </c>
      <c r="L578" s="26" t="s">
        <v>240</v>
      </c>
      <c r="M578" s="26" t="s">
        <v>38</v>
      </c>
      <c r="N578" s="26" t="s">
        <v>298</v>
      </c>
      <c r="O578" s="27">
        <v>38642</v>
      </c>
      <c r="P578" s="26"/>
      <c r="Q578" s="26"/>
      <c r="R578" s="26">
        <v>42</v>
      </c>
      <c r="S578" s="26" t="s">
        <v>29</v>
      </c>
    </row>
    <row r="579" spans="1:19" ht="29.25">
      <c r="A579" s="26">
        <v>92503</v>
      </c>
      <c r="B579" s="26" t="s">
        <v>20</v>
      </c>
      <c r="C579" s="26" t="s">
        <v>21</v>
      </c>
      <c r="D579" s="26" t="s">
        <v>21</v>
      </c>
      <c r="E579" s="26" t="s">
        <v>2766</v>
      </c>
      <c r="F579" s="26" t="s">
        <v>2767</v>
      </c>
      <c r="G579" s="26">
        <v>50</v>
      </c>
      <c r="H579" s="26" t="s">
        <v>5</v>
      </c>
      <c r="I579" s="26" t="s">
        <v>2761</v>
      </c>
      <c r="J579" s="26" t="s">
        <v>365</v>
      </c>
      <c r="K579" s="26" t="s">
        <v>366</v>
      </c>
      <c r="L579" s="26" t="s">
        <v>712</v>
      </c>
      <c r="M579" s="26" t="s">
        <v>38</v>
      </c>
      <c r="N579" s="26" t="s">
        <v>298</v>
      </c>
      <c r="O579" s="27">
        <v>38642</v>
      </c>
      <c r="P579" s="26"/>
      <c r="Q579" s="26"/>
      <c r="R579" s="26">
        <v>50</v>
      </c>
      <c r="S579" s="26" t="s">
        <v>29</v>
      </c>
    </row>
    <row r="580" spans="1:19">
      <c r="A580" s="24">
        <v>91800</v>
      </c>
      <c r="B580" s="24" t="s">
        <v>20</v>
      </c>
      <c r="C580" s="24" t="s">
        <v>21</v>
      </c>
      <c r="D580" s="24" t="s">
        <v>30</v>
      </c>
      <c r="E580" s="24" t="s">
        <v>2727</v>
      </c>
      <c r="F580" s="24" t="s">
        <v>2728</v>
      </c>
      <c r="G580" s="24">
        <v>593.16</v>
      </c>
      <c r="H580" s="24" t="s">
        <v>24</v>
      </c>
      <c r="I580" s="24" t="s">
        <v>2309</v>
      </c>
      <c r="J580" s="24" t="s">
        <v>365</v>
      </c>
      <c r="K580" s="24" t="s">
        <v>705</v>
      </c>
      <c r="L580" s="24" t="s">
        <v>240</v>
      </c>
      <c r="M580" s="24" t="s">
        <v>27</v>
      </c>
      <c r="N580" s="24" t="s">
        <v>28</v>
      </c>
      <c r="O580" s="25">
        <v>38499</v>
      </c>
      <c r="P580" s="24"/>
      <c r="Q580" s="24"/>
      <c r="R580" s="24">
        <v>617</v>
      </c>
      <c r="S580" s="24" t="s">
        <v>29</v>
      </c>
    </row>
    <row r="581" spans="1:19" ht="29.25">
      <c r="A581" s="26">
        <v>91801</v>
      </c>
      <c r="B581" s="26" t="s">
        <v>20</v>
      </c>
      <c r="C581" s="26" t="s">
        <v>21</v>
      </c>
      <c r="D581" s="26" t="s">
        <v>21</v>
      </c>
      <c r="E581" s="26" t="s">
        <v>2729</v>
      </c>
      <c r="F581" s="26" t="s">
        <v>2730</v>
      </c>
      <c r="G581" s="26"/>
      <c r="H581" s="26" t="s">
        <v>24</v>
      </c>
      <c r="I581" s="26" t="s">
        <v>2309</v>
      </c>
      <c r="J581" s="26" t="s">
        <v>365</v>
      </c>
      <c r="K581" s="26" t="s">
        <v>580</v>
      </c>
      <c r="L581" s="26" t="s">
        <v>240</v>
      </c>
      <c r="M581" s="26" t="s">
        <v>27</v>
      </c>
      <c r="N581" s="26" t="s">
        <v>28</v>
      </c>
      <c r="O581" s="27">
        <v>38499</v>
      </c>
      <c r="P581" s="26"/>
      <c r="Q581" s="26"/>
      <c r="R581" s="26">
        <v>193</v>
      </c>
      <c r="S581" s="26" t="s">
        <v>29</v>
      </c>
    </row>
    <row r="582" spans="1:19" ht="29.25">
      <c r="A582" s="26">
        <v>91802</v>
      </c>
      <c r="B582" s="26" t="s">
        <v>20</v>
      </c>
      <c r="C582" s="26" t="s">
        <v>21</v>
      </c>
      <c r="D582" s="26" t="s">
        <v>21</v>
      </c>
      <c r="E582" s="26" t="s">
        <v>2731</v>
      </c>
      <c r="F582" s="26" t="s">
        <v>2732</v>
      </c>
      <c r="G582" s="26"/>
      <c r="H582" s="26" t="s">
        <v>24</v>
      </c>
      <c r="I582" s="26" t="s">
        <v>2309</v>
      </c>
      <c r="J582" s="26" t="s">
        <v>365</v>
      </c>
      <c r="K582" s="26" t="s">
        <v>580</v>
      </c>
      <c r="L582" s="26" t="s">
        <v>240</v>
      </c>
      <c r="M582" s="26" t="s">
        <v>27</v>
      </c>
      <c r="N582" s="26" t="s">
        <v>28</v>
      </c>
      <c r="O582" s="27">
        <v>38499</v>
      </c>
      <c r="P582" s="26"/>
      <c r="Q582" s="26"/>
      <c r="R582" s="26">
        <v>193</v>
      </c>
      <c r="S582" s="26" t="s">
        <v>29</v>
      </c>
    </row>
    <row r="583" spans="1:19" ht="29.25">
      <c r="A583" s="26">
        <v>91803</v>
      </c>
      <c r="B583" s="26" t="s">
        <v>20</v>
      </c>
      <c r="C583" s="26" t="s">
        <v>21</v>
      </c>
      <c r="D583" s="26" t="s">
        <v>21</v>
      </c>
      <c r="E583" s="26" t="s">
        <v>2733</v>
      </c>
      <c r="F583" s="26" t="s">
        <v>2734</v>
      </c>
      <c r="G583" s="26"/>
      <c r="H583" s="26" t="s">
        <v>24</v>
      </c>
      <c r="I583" s="26" t="s">
        <v>2309</v>
      </c>
      <c r="J583" s="26" t="s">
        <v>365</v>
      </c>
      <c r="K583" s="26" t="s">
        <v>366</v>
      </c>
      <c r="L583" s="26" t="s">
        <v>712</v>
      </c>
      <c r="M583" s="26" t="s">
        <v>27</v>
      </c>
      <c r="N583" s="26" t="s">
        <v>28</v>
      </c>
      <c r="O583" s="27">
        <v>38499</v>
      </c>
      <c r="P583" s="26"/>
      <c r="Q583" s="26"/>
      <c r="R583" s="26">
        <v>231</v>
      </c>
      <c r="S583" s="26" t="s">
        <v>29</v>
      </c>
    </row>
    <row r="584" spans="1:19" ht="29.25">
      <c r="A584" s="24">
        <v>82900</v>
      </c>
      <c r="B584" s="24" t="s">
        <v>20</v>
      </c>
      <c r="C584" s="24" t="s">
        <v>21</v>
      </c>
      <c r="D584" s="24" t="s">
        <v>30</v>
      </c>
      <c r="E584" s="24" t="s">
        <v>2606</v>
      </c>
      <c r="F584" s="24" t="s">
        <v>2607</v>
      </c>
      <c r="G584" s="24">
        <v>2.1</v>
      </c>
      <c r="H584" s="24" t="s">
        <v>5</v>
      </c>
      <c r="I584" s="24" t="s">
        <v>2608</v>
      </c>
      <c r="J584" s="24" t="s">
        <v>788</v>
      </c>
      <c r="K584" s="24" t="s">
        <v>296</v>
      </c>
      <c r="L584" s="24" t="s">
        <v>888</v>
      </c>
      <c r="M584" s="24" t="s">
        <v>38</v>
      </c>
      <c r="N584" s="24" t="s">
        <v>39</v>
      </c>
      <c r="O584" s="25">
        <v>37732</v>
      </c>
      <c r="P584" s="24"/>
      <c r="Q584" s="24"/>
      <c r="R584" s="24">
        <v>2.5</v>
      </c>
      <c r="S584" s="24" t="s">
        <v>29</v>
      </c>
    </row>
    <row r="585" spans="1:19" ht="29.25">
      <c r="A585" s="26">
        <v>82902</v>
      </c>
      <c r="B585" s="26" t="s">
        <v>20</v>
      </c>
      <c r="C585" s="26" t="s">
        <v>21</v>
      </c>
      <c r="D585" s="26" t="s">
        <v>21</v>
      </c>
      <c r="E585" s="26"/>
      <c r="F585" s="26" t="s">
        <v>2610</v>
      </c>
      <c r="G585" s="26"/>
      <c r="H585" s="26" t="s">
        <v>5</v>
      </c>
      <c r="I585" s="26" t="s">
        <v>2608</v>
      </c>
      <c r="J585" s="26" t="s">
        <v>788</v>
      </c>
      <c r="K585" s="26" t="s">
        <v>296</v>
      </c>
      <c r="L585" s="26" t="s">
        <v>888</v>
      </c>
      <c r="M585" s="26" t="s">
        <v>38</v>
      </c>
      <c r="N585" s="26" t="s">
        <v>39</v>
      </c>
      <c r="O585" s="27">
        <v>37732</v>
      </c>
      <c r="P585" s="26"/>
      <c r="Q585" s="26"/>
      <c r="R585" s="26">
        <v>1.25</v>
      </c>
      <c r="S585" s="26" t="s">
        <v>29</v>
      </c>
    </row>
    <row r="586" spans="1:19" ht="29.25">
      <c r="A586" s="26">
        <v>82901</v>
      </c>
      <c r="B586" s="26" t="s">
        <v>20</v>
      </c>
      <c r="C586" s="26" t="s">
        <v>21</v>
      </c>
      <c r="D586" s="26" t="s">
        <v>21</v>
      </c>
      <c r="E586" s="26"/>
      <c r="F586" s="26" t="s">
        <v>2609</v>
      </c>
      <c r="G586" s="26"/>
      <c r="H586" s="26" t="s">
        <v>5</v>
      </c>
      <c r="I586" s="26" t="s">
        <v>2608</v>
      </c>
      <c r="J586" s="26" t="s">
        <v>788</v>
      </c>
      <c r="K586" s="26" t="s">
        <v>296</v>
      </c>
      <c r="L586" s="26" t="s">
        <v>888</v>
      </c>
      <c r="M586" s="26" t="s">
        <v>38</v>
      </c>
      <c r="N586" s="26" t="s">
        <v>39</v>
      </c>
      <c r="O586" s="27">
        <v>37732</v>
      </c>
      <c r="P586" s="26"/>
      <c r="Q586" s="26"/>
      <c r="R586" s="26">
        <v>1.25</v>
      </c>
      <c r="S586" s="26" t="s">
        <v>29</v>
      </c>
    </row>
    <row r="587" spans="1:19" ht="29.25">
      <c r="A587" s="24">
        <v>21200</v>
      </c>
      <c r="B587" s="24" t="s">
        <v>20</v>
      </c>
      <c r="C587" s="24" t="s">
        <v>21</v>
      </c>
      <c r="D587" s="24" t="s">
        <v>30</v>
      </c>
      <c r="E587" s="24" t="s">
        <v>516</v>
      </c>
      <c r="F587" s="24" t="s">
        <v>517</v>
      </c>
      <c r="G587" s="24">
        <v>218.39</v>
      </c>
      <c r="H587" s="24" t="s">
        <v>24</v>
      </c>
      <c r="I587" s="24" t="s">
        <v>512</v>
      </c>
      <c r="J587" s="24" t="s">
        <v>25</v>
      </c>
      <c r="K587" s="24" t="s">
        <v>25</v>
      </c>
      <c r="L587" s="24" t="s">
        <v>26</v>
      </c>
      <c r="M587" s="24" t="s">
        <v>27</v>
      </c>
      <c r="N587" s="24" t="s">
        <v>28</v>
      </c>
      <c r="O587" s="25">
        <v>24108</v>
      </c>
      <c r="P587" s="24"/>
      <c r="Q587" s="24" t="s">
        <v>513</v>
      </c>
      <c r="R587" s="24">
        <v>220.7</v>
      </c>
      <c r="S587" s="24" t="s">
        <v>29</v>
      </c>
    </row>
    <row r="588" spans="1:19">
      <c r="A588" s="26">
        <v>21201</v>
      </c>
      <c r="B588" s="26" t="s">
        <v>20</v>
      </c>
      <c r="C588" s="26" t="s">
        <v>21</v>
      </c>
      <c r="D588" s="26" t="s">
        <v>21</v>
      </c>
      <c r="E588" s="26" t="s">
        <v>518</v>
      </c>
      <c r="F588" s="26" t="s">
        <v>519</v>
      </c>
      <c r="G588" s="26">
        <v>65.7</v>
      </c>
      <c r="H588" s="26" t="s">
        <v>24</v>
      </c>
      <c r="I588" s="26" t="s">
        <v>512</v>
      </c>
      <c r="J588" s="26" t="s">
        <v>25</v>
      </c>
      <c r="K588" s="26" t="s">
        <v>25</v>
      </c>
      <c r="L588" s="26" t="s">
        <v>26</v>
      </c>
      <c r="M588" s="26" t="s">
        <v>27</v>
      </c>
      <c r="N588" s="26" t="s">
        <v>28</v>
      </c>
      <c r="O588" s="27">
        <v>24108</v>
      </c>
      <c r="P588" s="26"/>
      <c r="Q588" s="26" t="s">
        <v>513</v>
      </c>
      <c r="R588" s="26">
        <v>65.7</v>
      </c>
      <c r="S588" s="26" t="s">
        <v>29</v>
      </c>
    </row>
    <row r="589" spans="1:19">
      <c r="A589" s="26">
        <v>21202</v>
      </c>
      <c r="B589" s="26" t="s">
        <v>20</v>
      </c>
      <c r="C589" s="26" t="s">
        <v>21</v>
      </c>
      <c r="D589" s="26" t="s">
        <v>21</v>
      </c>
      <c r="E589" s="26" t="s">
        <v>520</v>
      </c>
      <c r="F589" s="26" t="s">
        <v>521</v>
      </c>
      <c r="G589" s="26">
        <v>69</v>
      </c>
      <c r="H589" s="26" t="s">
        <v>24</v>
      </c>
      <c r="I589" s="26" t="s">
        <v>512</v>
      </c>
      <c r="J589" s="26" t="s">
        <v>25</v>
      </c>
      <c r="K589" s="26" t="s">
        <v>25</v>
      </c>
      <c r="L589" s="26" t="s">
        <v>26</v>
      </c>
      <c r="M589" s="26" t="s">
        <v>27</v>
      </c>
      <c r="N589" s="26" t="s">
        <v>28</v>
      </c>
      <c r="O589" s="27">
        <v>24108</v>
      </c>
      <c r="P589" s="26"/>
      <c r="Q589" s="26" t="s">
        <v>513</v>
      </c>
      <c r="R589" s="26">
        <v>69</v>
      </c>
      <c r="S589" s="26" t="s">
        <v>29</v>
      </c>
    </row>
    <row r="590" spans="1:19">
      <c r="A590" s="26">
        <v>21203</v>
      </c>
      <c r="B590" s="26" t="s">
        <v>20</v>
      </c>
      <c r="C590" s="26" t="s">
        <v>21</v>
      </c>
      <c r="D590" s="26" t="s">
        <v>21</v>
      </c>
      <c r="E590" s="26" t="s">
        <v>522</v>
      </c>
      <c r="F590" s="26" t="s">
        <v>523</v>
      </c>
      <c r="G590" s="26">
        <v>86</v>
      </c>
      <c r="H590" s="26" t="s">
        <v>24</v>
      </c>
      <c r="I590" s="26" t="s">
        <v>512</v>
      </c>
      <c r="J590" s="26" t="s">
        <v>25</v>
      </c>
      <c r="K590" s="26" t="s">
        <v>25</v>
      </c>
      <c r="L590" s="26" t="s">
        <v>26</v>
      </c>
      <c r="M590" s="26" t="s">
        <v>27</v>
      </c>
      <c r="N590" s="26" t="s">
        <v>28</v>
      </c>
      <c r="O590" s="27">
        <v>24108</v>
      </c>
      <c r="P590" s="26"/>
      <c r="Q590" s="26" t="s">
        <v>513</v>
      </c>
      <c r="R590" s="26">
        <v>86</v>
      </c>
      <c r="S590" s="26" t="s">
        <v>29</v>
      </c>
    </row>
    <row r="591" spans="1:19" ht="29.25">
      <c r="A591" s="24">
        <v>21400</v>
      </c>
      <c r="B591" s="24" t="s">
        <v>20</v>
      </c>
      <c r="C591" s="24" t="s">
        <v>30</v>
      </c>
      <c r="D591" s="24" t="s">
        <v>30</v>
      </c>
      <c r="E591" s="24" t="s">
        <v>1893</v>
      </c>
      <c r="F591" s="24" t="s">
        <v>1894</v>
      </c>
      <c r="G591" s="24">
        <v>240</v>
      </c>
      <c r="H591" s="24" t="s">
        <v>24</v>
      </c>
      <c r="I591" s="24" t="s">
        <v>1895</v>
      </c>
      <c r="J591" s="24" t="s">
        <v>694</v>
      </c>
      <c r="K591" s="24" t="s">
        <v>580</v>
      </c>
      <c r="L591" s="24" t="s">
        <v>240</v>
      </c>
      <c r="M591" s="24" t="s">
        <v>193</v>
      </c>
      <c r="N591" s="24" t="s">
        <v>194</v>
      </c>
      <c r="O591" s="25">
        <v>32860</v>
      </c>
      <c r="P591" s="24"/>
      <c r="Q591" s="24"/>
      <c r="R591" s="24">
        <v>234</v>
      </c>
      <c r="S591" s="24" t="s">
        <v>29</v>
      </c>
    </row>
    <row r="592" spans="1:19" ht="29.25">
      <c r="A592" s="26">
        <v>21401</v>
      </c>
      <c r="B592" s="26" t="s">
        <v>20</v>
      </c>
      <c r="C592" s="26" t="s">
        <v>30</v>
      </c>
      <c r="D592" s="26" t="s">
        <v>21</v>
      </c>
      <c r="E592" s="26" t="s">
        <v>1896</v>
      </c>
      <c r="F592" s="26" t="s">
        <v>1897</v>
      </c>
      <c r="G592" s="26">
        <v>78</v>
      </c>
      <c r="H592" s="26" t="s">
        <v>24</v>
      </c>
      <c r="I592" s="26" t="s">
        <v>1895</v>
      </c>
      <c r="J592" s="26" t="s">
        <v>694</v>
      </c>
      <c r="K592" s="26" t="s">
        <v>580</v>
      </c>
      <c r="L592" s="26" t="s">
        <v>240</v>
      </c>
      <c r="M592" s="26" t="s">
        <v>193</v>
      </c>
      <c r="N592" s="26" t="s">
        <v>194</v>
      </c>
      <c r="O592" s="27">
        <v>32860</v>
      </c>
      <c r="P592" s="26"/>
      <c r="Q592" s="26"/>
      <c r="R592" s="26">
        <v>78</v>
      </c>
      <c r="S592" s="26" t="s">
        <v>29</v>
      </c>
    </row>
    <row r="593" spans="1:19" ht="29.25">
      <c r="A593" s="26">
        <v>21402</v>
      </c>
      <c r="B593" s="26" t="s">
        <v>20</v>
      </c>
      <c r="C593" s="26" t="s">
        <v>30</v>
      </c>
      <c r="D593" s="26" t="s">
        <v>21</v>
      </c>
      <c r="E593" s="26" t="s">
        <v>1898</v>
      </c>
      <c r="F593" s="26" t="s">
        <v>1899</v>
      </c>
      <c r="G593" s="26">
        <v>78</v>
      </c>
      <c r="H593" s="26" t="s">
        <v>24</v>
      </c>
      <c r="I593" s="26" t="s">
        <v>1895</v>
      </c>
      <c r="J593" s="26" t="s">
        <v>694</v>
      </c>
      <c r="K593" s="26" t="s">
        <v>580</v>
      </c>
      <c r="L593" s="26" t="s">
        <v>240</v>
      </c>
      <c r="M593" s="26" t="s">
        <v>193</v>
      </c>
      <c r="N593" s="26" t="s">
        <v>194</v>
      </c>
      <c r="O593" s="27">
        <v>32860</v>
      </c>
      <c r="P593" s="26"/>
      <c r="Q593" s="26"/>
      <c r="R593" s="26">
        <v>78</v>
      </c>
      <c r="S593" s="26" t="s">
        <v>29</v>
      </c>
    </row>
    <row r="594" spans="1:19" ht="29.25">
      <c r="A594" s="26">
        <v>21403</v>
      </c>
      <c r="B594" s="26" t="s">
        <v>20</v>
      </c>
      <c r="C594" s="26" t="s">
        <v>30</v>
      </c>
      <c r="D594" s="26" t="s">
        <v>21</v>
      </c>
      <c r="E594" s="26" t="s">
        <v>1900</v>
      </c>
      <c r="F594" s="26" t="s">
        <v>1901</v>
      </c>
      <c r="G594" s="26">
        <v>78</v>
      </c>
      <c r="H594" s="26" t="s">
        <v>24</v>
      </c>
      <c r="I594" s="26" t="s">
        <v>1895</v>
      </c>
      <c r="J594" s="26" t="s">
        <v>694</v>
      </c>
      <c r="K594" s="26" t="s">
        <v>580</v>
      </c>
      <c r="L594" s="26" t="s">
        <v>240</v>
      </c>
      <c r="M594" s="26" t="s">
        <v>193</v>
      </c>
      <c r="N594" s="26" t="s">
        <v>194</v>
      </c>
      <c r="O594" s="27">
        <v>32860</v>
      </c>
      <c r="P594" s="26"/>
      <c r="Q594" s="26"/>
      <c r="R594" s="26">
        <v>78</v>
      </c>
      <c r="S594" s="26" t="s">
        <v>29</v>
      </c>
    </row>
    <row r="595" spans="1:19" ht="43.5">
      <c r="A595" s="24">
        <v>21500</v>
      </c>
      <c r="B595" s="24" t="s">
        <v>20</v>
      </c>
      <c r="C595" s="24" t="s">
        <v>21</v>
      </c>
      <c r="D595" s="24" t="s">
        <v>30</v>
      </c>
      <c r="E595" s="24" t="s">
        <v>3180</v>
      </c>
      <c r="F595" s="24" t="s">
        <v>3181</v>
      </c>
      <c r="G595" s="24">
        <v>3.93</v>
      </c>
      <c r="H595" s="24" t="s">
        <v>5</v>
      </c>
      <c r="I595" s="24" t="s">
        <v>5</v>
      </c>
      <c r="J595" s="24" t="s">
        <v>25</v>
      </c>
      <c r="K595" s="24" t="s">
        <v>25</v>
      </c>
      <c r="L595" s="24" t="s">
        <v>26</v>
      </c>
      <c r="M595" s="24" t="s">
        <v>38</v>
      </c>
      <c r="N595" s="24" t="s">
        <v>39</v>
      </c>
      <c r="O595" s="263">
        <v>1097</v>
      </c>
      <c r="P595" s="24" t="s">
        <v>40</v>
      </c>
      <c r="Q595" s="24"/>
      <c r="R595" s="24">
        <v>3.61</v>
      </c>
      <c r="S595" s="24" t="s">
        <v>29</v>
      </c>
    </row>
    <row r="596" spans="1:19">
      <c r="A596" s="26">
        <v>21501</v>
      </c>
      <c r="B596" s="26" t="s">
        <v>20</v>
      </c>
      <c r="C596" s="26" t="s">
        <v>21</v>
      </c>
      <c r="D596" s="26" t="s">
        <v>21</v>
      </c>
      <c r="E596" s="26"/>
      <c r="F596" s="26" t="s">
        <v>3182</v>
      </c>
      <c r="G596" s="26"/>
      <c r="H596" s="26" t="s">
        <v>5</v>
      </c>
      <c r="I596" s="26" t="s">
        <v>5</v>
      </c>
      <c r="J596" s="26" t="s">
        <v>25</v>
      </c>
      <c r="K596" s="26" t="s">
        <v>25</v>
      </c>
      <c r="L596" s="26" t="s">
        <v>26</v>
      </c>
      <c r="M596" s="26" t="s">
        <v>38</v>
      </c>
      <c r="N596" s="26" t="s">
        <v>39</v>
      </c>
      <c r="O596" s="26" t="s">
        <v>4687</v>
      </c>
      <c r="P596" s="26"/>
      <c r="Q596" s="26"/>
      <c r="R596" s="26">
        <v>0.94</v>
      </c>
      <c r="S596" s="26" t="s">
        <v>29</v>
      </c>
    </row>
    <row r="597" spans="1:19">
      <c r="A597" s="26">
        <v>21502</v>
      </c>
      <c r="B597" s="26" t="s">
        <v>20</v>
      </c>
      <c r="C597" s="26" t="s">
        <v>21</v>
      </c>
      <c r="D597" s="26" t="s">
        <v>21</v>
      </c>
      <c r="E597" s="26"/>
      <c r="F597" s="26" t="s">
        <v>54</v>
      </c>
      <c r="G597" s="26"/>
      <c r="H597" s="26" t="s">
        <v>5</v>
      </c>
      <c r="I597" s="26" t="s">
        <v>5</v>
      </c>
      <c r="J597" s="26" t="s">
        <v>25</v>
      </c>
      <c r="K597" s="26" t="s">
        <v>25</v>
      </c>
      <c r="L597" s="26" t="s">
        <v>26</v>
      </c>
      <c r="M597" s="26" t="s">
        <v>38</v>
      </c>
      <c r="N597" s="26" t="s">
        <v>39</v>
      </c>
      <c r="O597" s="27">
        <v>1462</v>
      </c>
      <c r="P597" s="26" t="s">
        <v>55</v>
      </c>
      <c r="Q597" s="26"/>
      <c r="R597" s="26">
        <v>0</v>
      </c>
      <c r="S597" s="26" t="s">
        <v>29</v>
      </c>
    </row>
    <row r="598" spans="1:19">
      <c r="A598" s="26">
        <v>21505</v>
      </c>
      <c r="B598" s="26" t="s">
        <v>20</v>
      </c>
      <c r="C598" s="26" t="s">
        <v>21</v>
      </c>
      <c r="D598" s="26" t="s">
        <v>21</v>
      </c>
      <c r="E598" s="26"/>
      <c r="F598" s="26" t="s">
        <v>57</v>
      </c>
      <c r="G598" s="26"/>
      <c r="H598" s="26" t="s">
        <v>5</v>
      </c>
      <c r="I598" s="26" t="s">
        <v>5</v>
      </c>
      <c r="J598" s="26" t="s">
        <v>25</v>
      </c>
      <c r="K598" s="26" t="s">
        <v>25</v>
      </c>
      <c r="L598" s="26" t="s">
        <v>26</v>
      </c>
      <c r="M598" s="26" t="s">
        <v>38</v>
      </c>
      <c r="N598" s="26" t="s">
        <v>39</v>
      </c>
      <c r="O598" s="27">
        <v>1462</v>
      </c>
      <c r="P598" s="26"/>
      <c r="Q598" s="26"/>
      <c r="R598" s="26">
        <v>0.89</v>
      </c>
      <c r="S598" s="26" t="s">
        <v>29</v>
      </c>
    </row>
    <row r="599" spans="1:19">
      <c r="A599" s="26">
        <v>21504</v>
      </c>
      <c r="B599" s="26" t="s">
        <v>20</v>
      </c>
      <c r="C599" s="26" t="s">
        <v>21</v>
      </c>
      <c r="D599" s="26" t="s">
        <v>21</v>
      </c>
      <c r="E599" s="26"/>
      <c r="F599" s="26" t="s">
        <v>56</v>
      </c>
      <c r="G599" s="26"/>
      <c r="H599" s="26" t="s">
        <v>5</v>
      </c>
      <c r="I599" s="26" t="s">
        <v>5</v>
      </c>
      <c r="J599" s="26" t="s">
        <v>25</v>
      </c>
      <c r="K599" s="26" t="s">
        <v>25</v>
      </c>
      <c r="L599" s="26" t="s">
        <v>26</v>
      </c>
      <c r="M599" s="26" t="s">
        <v>38</v>
      </c>
      <c r="N599" s="26" t="s">
        <v>39</v>
      </c>
      <c r="O599" s="27">
        <v>1462</v>
      </c>
      <c r="P599" s="26"/>
      <c r="Q599" s="26"/>
      <c r="R599" s="26">
        <v>0.89</v>
      </c>
      <c r="S599" s="26" t="s">
        <v>29</v>
      </c>
    </row>
    <row r="600" spans="1:19">
      <c r="A600" s="26">
        <v>21503</v>
      </c>
      <c r="B600" s="26" t="s">
        <v>20</v>
      </c>
      <c r="C600" s="26" t="s">
        <v>21</v>
      </c>
      <c r="D600" s="26" t="s">
        <v>21</v>
      </c>
      <c r="E600" s="26"/>
      <c r="F600" s="26" t="s">
        <v>44</v>
      </c>
      <c r="G600" s="26"/>
      <c r="H600" s="26" t="s">
        <v>5</v>
      </c>
      <c r="I600" s="26" t="s">
        <v>5</v>
      </c>
      <c r="J600" s="26" t="s">
        <v>25</v>
      </c>
      <c r="K600" s="26" t="s">
        <v>25</v>
      </c>
      <c r="L600" s="26" t="s">
        <v>26</v>
      </c>
      <c r="M600" s="26" t="s">
        <v>38</v>
      </c>
      <c r="N600" s="26" t="s">
        <v>39</v>
      </c>
      <c r="O600" s="27">
        <v>1097</v>
      </c>
      <c r="P600" s="26"/>
      <c r="Q600" s="26"/>
      <c r="R600" s="26">
        <v>0.89</v>
      </c>
      <c r="S600" s="26" t="s">
        <v>29</v>
      </c>
    </row>
    <row r="601" spans="1:19" ht="29.25">
      <c r="A601" s="24">
        <v>84200</v>
      </c>
      <c r="B601" s="24" t="s">
        <v>20</v>
      </c>
      <c r="C601" s="24" t="s">
        <v>21</v>
      </c>
      <c r="D601" s="24" t="s">
        <v>30</v>
      </c>
      <c r="E601" s="24" t="s">
        <v>2631</v>
      </c>
      <c r="F601" s="24" t="s">
        <v>2632</v>
      </c>
      <c r="G601" s="24">
        <v>1.9</v>
      </c>
      <c r="H601" s="24" t="s">
        <v>5</v>
      </c>
      <c r="I601" s="24" t="s">
        <v>2633</v>
      </c>
      <c r="J601" s="24" t="s">
        <v>788</v>
      </c>
      <c r="K601" s="24" t="s">
        <v>296</v>
      </c>
      <c r="L601" s="24" t="s">
        <v>888</v>
      </c>
      <c r="M601" s="24" t="s">
        <v>38</v>
      </c>
      <c r="N601" s="24" t="s">
        <v>39</v>
      </c>
      <c r="O601" s="25">
        <v>37819</v>
      </c>
      <c r="P601" s="24"/>
      <c r="Q601" s="24"/>
      <c r="R601" s="24">
        <v>2.5</v>
      </c>
      <c r="S601" s="24" t="s">
        <v>29</v>
      </c>
    </row>
    <row r="602" spans="1:19" ht="29.25">
      <c r="A602" s="26">
        <v>84202</v>
      </c>
      <c r="B602" s="26" t="s">
        <v>20</v>
      </c>
      <c r="C602" s="26" t="s">
        <v>21</v>
      </c>
      <c r="D602" s="26" t="s">
        <v>21</v>
      </c>
      <c r="E602" s="26"/>
      <c r="F602" s="26" t="s">
        <v>2635</v>
      </c>
      <c r="G602" s="26"/>
      <c r="H602" s="26" t="s">
        <v>5</v>
      </c>
      <c r="I602" s="26" t="s">
        <v>2633</v>
      </c>
      <c r="J602" s="26" t="s">
        <v>788</v>
      </c>
      <c r="K602" s="26" t="s">
        <v>296</v>
      </c>
      <c r="L602" s="26" t="s">
        <v>888</v>
      </c>
      <c r="M602" s="26" t="s">
        <v>38</v>
      </c>
      <c r="N602" s="26" t="s">
        <v>39</v>
      </c>
      <c r="O602" s="27">
        <v>37819</v>
      </c>
      <c r="P602" s="26"/>
      <c r="Q602" s="26"/>
      <c r="R602" s="26">
        <v>1.25</v>
      </c>
      <c r="S602" s="26" t="s">
        <v>29</v>
      </c>
    </row>
    <row r="603" spans="1:19" ht="29.25">
      <c r="A603" s="26">
        <v>84201</v>
      </c>
      <c r="B603" s="26" t="s">
        <v>20</v>
      </c>
      <c r="C603" s="26" t="s">
        <v>21</v>
      </c>
      <c r="D603" s="26" t="s">
        <v>21</v>
      </c>
      <c r="E603" s="26"/>
      <c r="F603" s="26" t="s">
        <v>2634</v>
      </c>
      <c r="G603" s="26"/>
      <c r="H603" s="26" t="s">
        <v>5</v>
      </c>
      <c r="I603" s="26" t="s">
        <v>2633</v>
      </c>
      <c r="J603" s="26" t="s">
        <v>788</v>
      </c>
      <c r="K603" s="26" t="s">
        <v>296</v>
      </c>
      <c r="L603" s="26" t="s">
        <v>888</v>
      </c>
      <c r="M603" s="26" t="s">
        <v>38</v>
      </c>
      <c r="N603" s="26" t="s">
        <v>39</v>
      </c>
      <c r="O603" s="27">
        <v>37819</v>
      </c>
      <c r="P603" s="26"/>
      <c r="Q603" s="26"/>
      <c r="R603" s="26">
        <v>1.25</v>
      </c>
      <c r="S603" s="26" t="s">
        <v>29</v>
      </c>
    </row>
    <row r="604" spans="1:19" ht="29.25">
      <c r="A604" s="28">
        <v>57200</v>
      </c>
      <c r="B604" s="28" t="s">
        <v>20</v>
      </c>
      <c r="C604" s="28" t="s">
        <v>30</v>
      </c>
      <c r="D604" s="28" t="s">
        <v>21</v>
      </c>
      <c r="E604" s="28" t="s">
        <v>2225</v>
      </c>
      <c r="F604" s="28" t="s">
        <v>2226</v>
      </c>
      <c r="G604" s="28">
        <v>4</v>
      </c>
      <c r="H604" s="28" t="s">
        <v>5</v>
      </c>
      <c r="I604" s="28">
        <v>1106</v>
      </c>
      <c r="J604" s="28" t="s">
        <v>788</v>
      </c>
      <c r="K604" s="28"/>
      <c r="L604" s="28" t="s">
        <v>888</v>
      </c>
      <c r="M604" s="28" t="s">
        <v>38</v>
      </c>
      <c r="N604" s="28" t="s">
        <v>39</v>
      </c>
      <c r="O604" s="29">
        <v>35431</v>
      </c>
      <c r="P604" s="28" t="s">
        <v>2227</v>
      </c>
      <c r="Q604" s="28"/>
      <c r="R604" s="28">
        <v>4.03</v>
      </c>
      <c r="S604" s="28" t="s">
        <v>29</v>
      </c>
    </row>
    <row r="605" spans="1:19">
      <c r="A605" s="28">
        <v>92100</v>
      </c>
      <c r="B605" s="28" t="s">
        <v>20</v>
      </c>
      <c r="C605" s="28" t="s">
        <v>21</v>
      </c>
      <c r="D605" s="28" t="s">
        <v>21</v>
      </c>
      <c r="E605" s="28" t="s">
        <v>2745</v>
      </c>
      <c r="F605" s="28" t="s">
        <v>2746</v>
      </c>
      <c r="G605" s="28">
        <v>48</v>
      </c>
      <c r="H605" s="28" t="s">
        <v>143</v>
      </c>
      <c r="I605" s="28" t="s">
        <v>2747</v>
      </c>
      <c r="J605" s="28" t="s">
        <v>295</v>
      </c>
      <c r="K605" s="28" t="s">
        <v>295</v>
      </c>
      <c r="L605" s="28" t="s">
        <v>240</v>
      </c>
      <c r="M605" s="28" t="s">
        <v>38</v>
      </c>
      <c r="N605" s="28" t="s">
        <v>144</v>
      </c>
      <c r="O605" s="29">
        <v>38560</v>
      </c>
      <c r="P605" s="28"/>
      <c r="Q605" s="28"/>
      <c r="R605" s="28">
        <v>46.7</v>
      </c>
      <c r="S605" s="28" t="s">
        <v>29</v>
      </c>
    </row>
    <row r="606" spans="1:19" ht="29.25">
      <c r="A606" s="24">
        <v>21600</v>
      </c>
      <c r="B606" s="24" t="s">
        <v>20</v>
      </c>
      <c r="C606" s="24" t="s">
        <v>21</v>
      </c>
      <c r="D606" s="24" t="s">
        <v>30</v>
      </c>
      <c r="E606" s="24" t="s">
        <v>666</v>
      </c>
      <c r="F606" s="24" t="s">
        <v>667</v>
      </c>
      <c r="G606" s="24">
        <v>36</v>
      </c>
      <c r="H606" s="24" t="s">
        <v>143</v>
      </c>
      <c r="I606" s="24" t="s">
        <v>364</v>
      </c>
      <c r="J606" s="24" t="s">
        <v>295</v>
      </c>
      <c r="K606" s="24" t="s">
        <v>580</v>
      </c>
      <c r="L606" s="24" t="s">
        <v>240</v>
      </c>
      <c r="M606" s="24" t="s">
        <v>38</v>
      </c>
      <c r="N606" s="24" t="s">
        <v>144</v>
      </c>
      <c r="O606" s="25">
        <v>26299</v>
      </c>
      <c r="P606" s="24"/>
      <c r="Q606" s="24"/>
      <c r="R606" s="24">
        <v>36</v>
      </c>
      <c r="S606" s="24" t="s">
        <v>29</v>
      </c>
    </row>
    <row r="607" spans="1:19">
      <c r="A607" s="26">
        <v>21601</v>
      </c>
      <c r="B607" s="26" t="s">
        <v>20</v>
      </c>
      <c r="C607" s="26" t="s">
        <v>21</v>
      </c>
      <c r="D607" s="26" t="s">
        <v>21</v>
      </c>
      <c r="E607" s="26" t="s">
        <v>668</v>
      </c>
      <c r="F607" s="26" t="s">
        <v>669</v>
      </c>
      <c r="G607" s="26">
        <v>19.5</v>
      </c>
      <c r="H607" s="26" t="s">
        <v>143</v>
      </c>
      <c r="I607" s="26" t="s">
        <v>364</v>
      </c>
      <c r="J607" s="26" t="s">
        <v>295</v>
      </c>
      <c r="K607" s="26" t="s">
        <v>580</v>
      </c>
      <c r="L607" s="26" t="s">
        <v>240</v>
      </c>
      <c r="M607" s="26" t="s">
        <v>38</v>
      </c>
      <c r="N607" s="26" t="s">
        <v>144</v>
      </c>
      <c r="O607" s="27">
        <v>26299</v>
      </c>
      <c r="P607" s="26"/>
      <c r="Q607" s="26"/>
      <c r="R607" s="26">
        <v>18</v>
      </c>
      <c r="S607" s="26" t="s">
        <v>29</v>
      </c>
    </row>
    <row r="608" spans="1:19">
      <c r="A608" s="26">
        <v>21602</v>
      </c>
      <c r="B608" s="26" t="s">
        <v>20</v>
      </c>
      <c r="C608" s="26" t="s">
        <v>21</v>
      </c>
      <c r="D608" s="26" t="s">
        <v>21</v>
      </c>
      <c r="E608" s="26" t="s">
        <v>670</v>
      </c>
      <c r="F608" s="26" t="s">
        <v>671</v>
      </c>
      <c r="G608" s="26">
        <v>19.5</v>
      </c>
      <c r="H608" s="26" t="s">
        <v>143</v>
      </c>
      <c r="I608" s="26" t="s">
        <v>364</v>
      </c>
      <c r="J608" s="26" t="s">
        <v>295</v>
      </c>
      <c r="K608" s="26" t="s">
        <v>580</v>
      </c>
      <c r="L608" s="26" t="s">
        <v>240</v>
      </c>
      <c r="M608" s="26" t="s">
        <v>38</v>
      </c>
      <c r="N608" s="26" t="s">
        <v>144</v>
      </c>
      <c r="O608" s="27">
        <v>26299</v>
      </c>
      <c r="P608" s="26"/>
      <c r="Q608" s="26"/>
      <c r="R608" s="26">
        <v>18</v>
      </c>
      <c r="S608" s="26" t="s">
        <v>29</v>
      </c>
    </row>
    <row r="609" spans="1:19" ht="29.25">
      <c r="A609" s="28">
        <v>57300</v>
      </c>
      <c r="B609" s="28" t="s">
        <v>20</v>
      </c>
      <c r="C609" s="28" t="s">
        <v>30</v>
      </c>
      <c r="D609" s="28" t="s">
        <v>21</v>
      </c>
      <c r="E609" s="28" t="s">
        <v>2614</v>
      </c>
      <c r="F609" s="28" t="s">
        <v>2615</v>
      </c>
      <c r="G609" s="28">
        <v>5</v>
      </c>
      <c r="H609" s="28" t="s">
        <v>143</v>
      </c>
      <c r="I609" s="28" t="s">
        <v>2616</v>
      </c>
      <c r="J609" s="28" t="s">
        <v>788</v>
      </c>
      <c r="K609" s="28" t="s">
        <v>296</v>
      </c>
      <c r="L609" s="28" t="s">
        <v>888</v>
      </c>
      <c r="M609" s="28" t="s">
        <v>38</v>
      </c>
      <c r="N609" s="28" t="s">
        <v>144</v>
      </c>
      <c r="O609" s="29">
        <v>37762</v>
      </c>
      <c r="P609" s="28" t="s">
        <v>2386</v>
      </c>
      <c r="Q609" s="28"/>
      <c r="R609" s="28">
        <v>6.5</v>
      </c>
      <c r="S609" s="28" t="s">
        <v>29</v>
      </c>
    </row>
    <row r="610" spans="1:19" ht="29.25">
      <c r="A610" s="28">
        <v>68004</v>
      </c>
      <c r="B610" s="28" t="s">
        <v>20</v>
      </c>
      <c r="C610" s="28" t="s">
        <v>30</v>
      </c>
      <c r="D610" s="28" t="s">
        <v>21</v>
      </c>
      <c r="E610" s="28" t="s">
        <v>2255</v>
      </c>
      <c r="F610" s="28" t="s">
        <v>2256</v>
      </c>
      <c r="G610" s="28">
        <v>6.1</v>
      </c>
      <c r="H610" s="28" t="s">
        <v>5</v>
      </c>
      <c r="I610" s="28" t="s">
        <v>2257</v>
      </c>
      <c r="J610" s="28" t="s">
        <v>788</v>
      </c>
      <c r="K610" s="28" t="s">
        <v>2258</v>
      </c>
      <c r="L610" s="28" t="s">
        <v>888</v>
      </c>
      <c r="M610" s="28" t="s">
        <v>38</v>
      </c>
      <c r="N610" s="28" t="s">
        <v>39</v>
      </c>
      <c r="O610" s="29">
        <v>36165</v>
      </c>
      <c r="P610" s="28" t="s">
        <v>2259</v>
      </c>
      <c r="Q610" s="28"/>
      <c r="R610" s="28">
        <v>6.1</v>
      </c>
      <c r="S610" s="28" t="s">
        <v>29</v>
      </c>
    </row>
    <row r="611" spans="1:19" ht="29.25">
      <c r="A611" s="24">
        <v>48403</v>
      </c>
      <c r="B611" s="24" t="s">
        <v>20</v>
      </c>
      <c r="C611" s="24" t="s">
        <v>21</v>
      </c>
      <c r="D611" s="24" t="s">
        <v>30</v>
      </c>
      <c r="E611" s="24" t="s">
        <v>2261</v>
      </c>
      <c r="F611" s="24" t="s">
        <v>2262</v>
      </c>
      <c r="G611" s="24">
        <v>3.1</v>
      </c>
      <c r="H611" s="24" t="s">
        <v>5</v>
      </c>
      <c r="I611" s="24">
        <v>1104</v>
      </c>
      <c r="J611" s="24" t="s">
        <v>788</v>
      </c>
      <c r="K611" s="24" t="s">
        <v>296</v>
      </c>
      <c r="L611" s="24" t="s">
        <v>888</v>
      </c>
      <c r="M611" s="24" t="s">
        <v>38</v>
      </c>
      <c r="N611" s="24" t="s">
        <v>39</v>
      </c>
      <c r="O611" s="25">
        <v>36743</v>
      </c>
      <c r="P611" s="24" t="s">
        <v>2263</v>
      </c>
      <c r="Q611" s="24"/>
      <c r="R611" s="24">
        <v>3.05</v>
      </c>
      <c r="S611" s="24" t="s">
        <v>29</v>
      </c>
    </row>
    <row r="612" spans="1:19" ht="43.5">
      <c r="A612" s="28">
        <v>64504</v>
      </c>
      <c r="B612" s="28" t="s">
        <v>20</v>
      </c>
      <c r="C612" s="28" t="s">
        <v>30</v>
      </c>
      <c r="D612" s="28" t="s">
        <v>21</v>
      </c>
      <c r="E612" s="28" t="s">
        <v>2232</v>
      </c>
      <c r="F612" s="28" t="s">
        <v>2233</v>
      </c>
      <c r="G612" s="28">
        <v>1.6</v>
      </c>
      <c r="H612" s="28" t="s">
        <v>5</v>
      </c>
      <c r="I612" s="28" t="s">
        <v>2234</v>
      </c>
      <c r="J612" s="28" t="s">
        <v>788</v>
      </c>
      <c r="K612" s="28" t="s">
        <v>296</v>
      </c>
      <c r="L612" s="28" t="s">
        <v>888</v>
      </c>
      <c r="M612" s="28" t="s">
        <v>38</v>
      </c>
      <c r="N612" s="28" t="s">
        <v>39</v>
      </c>
      <c r="O612" s="29">
        <v>35923</v>
      </c>
      <c r="P612" s="28" t="s">
        <v>2235</v>
      </c>
      <c r="Q612" s="28"/>
      <c r="R612" s="28">
        <v>1.63</v>
      </c>
      <c r="S612" s="28" t="s">
        <v>29</v>
      </c>
    </row>
    <row r="613" spans="1:19" ht="57.75">
      <c r="A613" s="28">
        <v>74001</v>
      </c>
      <c r="B613" s="28" t="s">
        <v>20</v>
      </c>
      <c r="C613" s="28" t="s">
        <v>30</v>
      </c>
      <c r="D613" s="28" t="s">
        <v>21</v>
      </c>
      <c r="E613" s="28" t="s">
        <v>2217</v>
      </c>
      <c r="F613" s="28" t="s">
        <v>2218</v>
      </c>
      <c r="G613" s="28">
        <v>4.5</v>
      </c>
      <c r="H613" s="28" t="s">
        <v>5</v>
      </c>
      <c r="I613" s="28" t="s">
        <v>2219</v>
      </c>
      <c r="J613" s="28" t="s">
        <v>788</v>
      </c>
      <c r="K613" s="28" t="s">
        <v>580</v>
      </c>
      <c r="L613" s="28" t="s">
        <v>888</v>
      </c>
      <c r="M613" s="28" t="s">
        <v>38</v>
      </c>
      <c r="N613" s="28" t="s">
        <v>39</v>
      </c>
      <c r="O613" s="29">
        <v>35343</v>
      </c>
      <c r="P613" s="28" t="s">
        <v>2220</v>
      </c>
      <c r="Q613" s="28"/>
      <c r="R613" s="28">
        <v>4.9000000000000004</v>
      </c>
      <c r="S613" s="28" t="s">
        <v>29</v>
      </c>
    </row>
    <row r="614" spans="1:19" ht="57.75">
      <c r="A614" s="28">
        <v>74002</v>
      </c>
      <c r="B614" s="28" t="s">
        <v>20</v>
      </c>
      <c r="C614" s="28" t="s">
        <v>30</v>
      </c>
      <c r="D614" s="28" t="s">
        <v>21</v>
      </c>
      <c r="E614" s="28" t="s">
        <v>2221</v>
      </c>
      <c r="F614" s="28" t="s">
        <v>2222</v>
      </c>
      <c r="G614" s="28">
        <v>5.7</v>
      </c>
      <c r="H614" s="28" t="s">
        <v>5</v>
      </c>
      <c r="I614" s="28" t="s">
        <v>2223</v>
      </c>
      <c r="J614" s="28" t="s">
        <v>788</v>
      </c>
      <c r="K614" s="28" t="s">
        <v>366</v>
      </c>
      <c r="L614" s="28" t="s">
        <v>888</v>
      </c>
      <c r="M614" s="28" t="s">
        <v>38</v>
      </c>
      <c r="N614" s="28" t="s">
        <v>39</v>
      </c>
      <c r="O614" s="29">
        <v>35343</v>
      </c>
      <c r="P614" s="28" t="s">
        <v>2224</v>
      </c>
      <c r="Q614" s="28"/>
      <c r="R614" s="28">
        <v>6.5</v>
      </c>
      <c r="S614" s="28" t="s">
        <v>29</v>
      </c>
    </row>
    <row r="615" spans="1:19" ht="29.25">
      <c r="A615" s="28">
        <v>96300</v>
      </c>
      <c r="B615" s="28" t="s">
        <v>20</v>
      </c>
      <c r="C615" s="28" t="s">
        <v>21</v>
      </c>
      <c r="D615" s="28" t="s">
        <v>21</v>
      </c>
      <c r="E615" s="28" t="s">
        <v>2823</v>
      </c>
      <c r="F615" s="28" t="s">
        <v>2824</v>
      </c>
      <c r="G615" s="28">
        <v>35.5</v>
      </c>
      <c r="H615" s="28" t="s">
        <v>143</v>
      </c>
      <c r="I615" s="28" t="s">
        <v>2825</v>
      </c>
      <c r="J615" s="28" t="s">
        <v>295</v>
      </c>
      <c r="K615" s="28" t="s">
        <v>580</v>
      </c>
      <c r="L615" s="28" t="s">
        <v>240</v>
      </c>
      <c r="M615" s="28" t="s">
        <v>38</v>
      </c>
      <c r="N615" s="28" t="s">
        <v>144</v>
      </c>
      <c r="O615" s="29">
        <v>38876</v>
      </c>
      <c r="P615" s="28" t="s">
        <v>2826</v>
      </c>
      <c r="Q615" s="28"/>
      <c r="R615" s="28">
        <v>44.02</v>
      </c>
      <c r="S615" s="28" t="s">
        <v>29</v>
      </c>
    </row>
    <row r="616" spans="1:19" ht="29.25">
      <c r="A616" s="24">
        <v>94900</v>
      </c>
      <c r="B616" s="24" t="s">
        <v>20</v>
      </c>
      <c r="C616" s="24" t="s">
        <v>21</v>
      </c>
      <c r="D616" s="24" t="s">
        <v>30</v>
      </c>
      <c r="E616" s="24" t="s">
        <v>2819</v>
      </c>
      <c r="F616" s="24" t="s">
        <v>2820</v>
      </c>
      <c r="G616" s="24">
        <v>35.5</v>
      </c>
      <c r="H616" s="24" t="s">
        <v>143</v>
      </c>
      <c r="I616" s="24" t="s">
        <v>2821</v>
      </c>
      <c r="J616" s="24" t="s">
        <v>295</v>
      </c>
      <c r="K616" s="24" t="s">
        <v>580</v>
      </c>
      <c r="L616" s="24" t="s">
        <v>240</v>
      </c>
      <c r="M616" s="24" t="s">
        <v>38</v>
      </c>
      <c r="N616" s="24" t="s">
        <v>144</v>
      </c>
      <c r="O616" s="25">
        <v>38875</v>
      </c>
      <c r="P616" s="24" t="s">
        <v>2822</v>
      </c>
      <c r="Q616" s="24"/>
      <c r="R616" s="24">
        <v>44.02</v>
      </c>
      <c r="S616" s="24" t="s">
        <v>29</v>
      </c>
    </row>
    <row r="617" spans="1:19" ht="29.25">
      <c r="A617" s="24">
        <v>21900</v>
      </c>
      <c r="B617" s="24" t="s">
        <v>20</v>
      </c>
      <c r="C617" s="24" t="s">
        <v>21</v>
      </c>
      <c r="D617" s="24" t="s">
        <v>30</v>
      </c>
      <c r="E617" s="24" t="s">
        <v>2202</v>
      </c>
      <c r="F617" s="24" t="s">
        <v>2203</v>
      </c>
      <c r="G617" s="24">
        <v>14</v>
      </c>
      <c r="H617" s="24" t="s">
        <v>5</v>
      </c>
      <c r="I617" s="24" t="s">
        <v>541</v>
      </c>
      <c r="J617" s="24" t="s">
        <v>25</v>
      </c>
      <c r="K617" s="24" t="s">
        <v>25</v>
      </c>
      <c r="L617" s="24" t="s">
        <v>26</v>
      </c>
      <c r="M617" s="24" t="s">
        <v>38</v>
      </c>
      <c r="N617" s="24" t="s">
        <v>39</v>
      </c>
      <c r="O617" s="25">
        <v>35065</v>
      </c>
      <c r="P617" s="24"/>
      <c r="Q617" s="24"/>
      <c r="R617" s="24">
        <v>34.5</v>
      </c>
      <c r="S617" s="24" t="s">
        <v>29</v>
      </c>
    </row>
    <row r="618" spans="1:19">
      <c r="A618" s="26">
        <v>21901</v>
      </c>
      <c r="B618" s="26" t="s">
        <v>20</v>
      </c>
      <c r="C618" s="26" t="s">
        <v>21</v>
      </c>
      <c r="D618" s="26" t="s">
        <v>21</v>
      </c>
      <c r="E618" s="26" t="s">
        <v>2204</v>
      </c>
      <c r="F618" s="26" t="s">
        <v>2205</v>
      </c>
      <c r="G618" s="26">
        <v>7</v>
      </c>
      <c r="H618" s="26" t="s">
        <v>5</v>
      </c>
      <c r="I618" s="26" t="s">
        <v>541</v>
      </c>
      <c r="J618" s="26" t="s">
        <v>25</v>
      </c>
      <c r="K618" s="26" t="s">
        <v>25</v>
      </c>
      <c r="L618" s="26" t="s">
        <v>26</v>
      </c>
      <c r="M618" s="26" t="s">
        <v>38</v>
      </c>
      <c r="N618" s="26" t="s">
        <v>39</v>
      </c>
      <c r="O618" s="27">
        <v>35065</v>
      </c>
      <c r="P618" s="26"/>
      <c r="Q618" s="26"/>
      <c r="R618" s="26">
        <v>11.5</v>
      </c>
      <c r="S618" s="26" t="s">
        <v>29</v>
      </c>
    </row>
    <row r="619" spans="1:19">
      <c r="A619" s="26">
        <v>21902</v>
      </c>
      <c r="B619" s="26" t="s">
        <v>20</v>
      </c>
      <c r="C619" s="26" t="s">
        <v>21</v>
      </c>
      <c r="D619" s="26" t="s">
        <v>21</v>
      </c>
      <c r="E619" s="26" t="s">
        <v>2206</v>
      </c>
      <c r="F619" s="26" t="s">
        <v>2207</v>
      </c>
      <c r="G619" s="26">
        <v>7</v>
      </c>
      <c r="H619" s="26" t="s">
        <v>5</v>
      </c>
      <c r="I619" s="26" t="s">
        <v>541</v>
      </c>
      <c r="J619" s="26" t="s">
        <v>25</v>
      </c>
      <c r="K619" s="26" t="s">
        <v>25</v>
      </c>
      <c r="L619" s="26" t="s">
        <v>26</v>
      </c>
      <c r="M619" s="26" t="s">
        <v>38</v>
      </c>
      <c r="N619" s="26" t="s">
        <v>39</v>
      </c>
      <c r="O619" s="27">
        <v>35065</v>
      </c>
      <c r="P619" s="26"/>
      <c r="Q619" s="26"/>
      <c r="R619" s="26">
        <v>11.5</v>
      </c>
      <c r="S619" s="26" t="s">
        <v>29</v>
      </c>
    </row>
    <row r="620" spans="1:19">
      <c r="A620" s="26">
        <v>21903</v>
      </c>
      <c r="B620" s="26" t="s">
        <v>20</v>
      </c>
      <c r="C620" s="26" t="s">
        <v>21</v>
      </c>
      <c r="D620" s="26" t="s">
        <v>21</v>
      </c>
      <c r="E620" s="26" t="s">
        <v>2208</v>
      </c>
      <c r="F620" s="26" t="s">
        <v>2209</v>
      </c>
      <c r="G620" s="26">
        <v>7</v>
      </c>
      <c r="H620" s="26" t="s">
        <v>5</v>
      </c>
      <c r="I620" s="26" t="s">
        <v>541</v>
      </c>
      <c r="J620" s="26" t="s">
        <v>25</v>
      </c>
      <c r="K620" s="26" t="s">
        <v>25</v>
      </c>
      <c r="L620" s="26" t="s">
        <v>26</v>
      </c>
      <c r="M620" s="26" t="s">
        <v>38</v>
      </c>
      <c r="N620" s="26" t="s">
        <v>39</v>
      </c>
      <c r="O620" s="27">
        <v>35065</v>
      </c>
      <c r="P620" s="26"/>
      <c r="Q620" s="26"/>
      <c r="R620" s="26">
        <v>11.5</v>
      </c>
      <c r="S620" s="26" t="s">
        <v>29</v>
      </c>
    </row>
    <row r="621" spans="1:19" ht="29.25">
      <c r="A621" s="24">
        <v>22000</v>
      </c>
      <c r="B621" s="24" t="s">
        <v>20</v>
      </c>
      <c r="C621" s="24" t="s">
        <v>21</v>
      </c>
      <c r="D621" s="24" t="s">
        <v>30</v>
      </c>
      <c r="E621" s="24" t="s">
        <v>676</v>
      </c>
      <c r="F621" s="24" t="s">
        <v>677</v>
      </c>
      <c r="G621" s="24">
        <v>12.5</v>
      </c>
      <c r="H621" s="24" t="s">
        <v>24</v>
      </c>
      <c r="I621" s="24" t="s">
        <v>678</v>
      </c>
      <c r="J621" s="24" t="s">
        <v>25</v>
      </c>
      <c r="K621" s="24" t="s">
        <v>25</v>
      </c>
      <c r="L621" s="24" t="s">
        <v>26</v>
      </c>
      <c r="M621" s="24" t="s">
        <v>27</v>
      </c>
      <c r="N621" s="24" t="s">
        <v>28</v>
      </c>
      <c r="O621" s="25">
        <v>27030</v>
      </c>
      <c r="P621" s="24"/>
      <c r="Q621" s="24"/>
      <c r="R621" s="24">
        <v>12.5</v>
      </c>
      <c r="S621" s="24" t="s">
        <v>29</v>
      </c>
    </row>
    <row r="622" spans="1:19">
      <c r="A622" s="26">
        <v>22001</v>
      </c>
      <c r="B622" s="26" t="s">
        <v>20</v>
      </c>
      <c r="C622" s="26" t="s">
        <v>21</v>
      </c>
      <c r="D622" s="26" t="s">
        <v>21</v>
      </c>
      <c r="E622" s="26" t="s">
        <v>679</v>
      </c>
      <c r="F622" s="26" t="s">
        <v>680</v>
      </c>
      <c r="G622" s="26">
        <v>5.7</v>
      </c>
      <c r="H622" s="26" t="s">
        <v>24</v>
      </c>
      <c r="I622" s="26" t="s">
        <v>678</v>
      </c>
      <c r="J622" s="26" t="s">
        <v>25</v>
      </c>
      <c r="K622" s="26" t="s">
        <v>25</v>
      </c>
      <c r="L622" s="26" t="s">
        <v>26</v>
      </c>
      <c r="M622" s="26" t="s">
        <v>27</v>
      </c>
      <c r="N622" s="26" t="s">
        <v>28</v>
      </c>
      <c r="O622" s="27">
        <v>27030</v>
      </c>
      <c r="P622" s="26"/>
      <c r="Q622" s="26"/>
      <c r="R622" s="26">
        <v>5.5</v>
      </c>
      <c r="S622" s="26" t="s">
        <v>29</v>
      </c>
    </row>
    <row r="623" spans="1:19">
      <c r="A623" s="26">
        <v>22002</v>
      </c>
      <c r="B623" s="26" t="s">
        <v>20</v>
      </c>
      <c r="C623" s="26" t="s">
        <v>21</v>
      </c>
      <c r="D623" s="26" t="s">
        <v>21</v>
      </c>
      <c r="E623" s="26" t="s">
        <v>683</v>
      </c>
      <c r="F623" s="26" t="s">
        <v>684</v>
      </c>
      <c r="G623" s="26">
        <v>5.7</v>
      </c>
      <c r="H623" s="26" t="s">
        <v>24</v>
      </c>
      <c r="I623" s="26" t="s">
        <v>678</v>
      </c>
      <c r="J623" s="26" t="s">
        <v>25</v>
      </c>
      <c r="K623" s="26" t="s">
        <v>25</v>
      </c>
      <c r="L623" s="26" t="s">
        <v>26</v>
      </c>
      <c r="M623" s="26" t="s">
        <v>27</v>
      </c>
      <c r="N623" s="26" t="s">
        <v>28</v>
      </c>
      <c r="O623" s="27">
        <v>27395</v>
      </c>
      <c r="P623" s="26"/>
      <c r="Q623" s="26"/>
      <c r="R623" s="26">
        <v>5.5</v>
      </c>
      <c r="S623" s="26" t="s">
        <v>29</v>
      </c>
    </row>
    <row r="624" spans="1:19">
      <c r="A624" s="26">
        <v>22003</v>
      </c>
      <c r="B624" s="26" t="s">
        <v>20</v>
      </c>
      <c r="C624" s="26" t="s">
        <v>21</v>
      </c>
      <c r="D624" s="26" t="s">
        <v>21</v>
      </c>
      <c r="E624" s="26" t="s">
        <v>723</v>
      </c>
      <c r="F624" s="26" t="s">
        <v>724</v>
      </c>
      <c r="G624" s="26">
        <v>1.5</v>
      </c>
      <c r="H624" s="26" t="s">
        <v>24</v>
      </c>
      <c r="I624" s="26" t="s">
        <v>678</v>
      </c>
      <c r="J624" s="26" t="s">
        <v>25</v>
      </c>
      <c r="K624" s="26" t="s">
        <v>25</v>
      </c>
      <c r="L624" s="26" t="s">
        <v>26</v>
      </c>
      <c r="M624" s="26" t="s">
        <v>27</v>
      </c>
      <c r="N624" s="26" t="s">
        <v>28</v>
      </c>
      <c r="O624" s="27">
        <v>28491</v>
      </c>
      <c r="P624" s="26"/>
      <c r="Q624" s="26"/>
      <c r="R624" s="26">
        <v>1.5</v>
      </c>
      <c r="S624" s="26" t="s">
        <v>29</v>
      </c>
    </row>
    <row r="625" spans="1:19" ht="29.25">
      <c r="A625" s="24">
        <v>92400</v>
      </c>
      <c r="B625" s="24" t="s">
        <v>20</v>
      </c>
      <c r="C625" s="24" t="s">
        <v>21</v>
      </c>
      <c r="D625" s="24" t="s">
        <v>30</v>
      </c>
      <c r="E625" s="24" t="s">
        <v>2772</v>
      </c>
      <c r="F625" s="24" t="s">
        <v>2773</v>
      </c>
      <c r="G625" s="24">
        <v>525</v>
      </c>
      <c r="H625" s="24" t="s">
        <v>5</v>
      </c>
      <c r="I625" s="24" t="s">
        <v>2774</v>
      </c>
      <c r="J625" s="24" t="s">
        <v>365</v>
      </c>
      <c r="K625" s="24" t="s">
        <v>705</v>
      </c>
      <c r="L625" s="24" t="s">
        <v>240</v>
      </c>
      <c r="M625" s="24" t="s">
        <v>38</v>
      </c>
      <c r="N625" s="24" t="s">
        <v>39</v>
      </c>
      <c r="O625" s="25">
        <v>38696</v>
      </c>
      <c r="P625" s="24"/>
      <c r="Q625" s="24"/>
      <c r="R625" s="24">
        <v>543</v>
      </c>
      <c r="S625" s="24" t="s">
        <v>29</v>
      </c>
    </row>
    <row r="626" spans="1:19" ht="29.25">
      <c r="A626" s="26">
        <v>92401</v>
      </c>
      <c r="B626" s="26" t="s">
        <v>20</v>
      </c>
      <c r="C626" s="26" t="s">
        <v>21</v>
      </c>
      <c r="D626" s="26" t="s">
        <v>21</v>
      </c>
      <c r="E626" s="26" t="s">
        <v>2775</v>
      </c>
      <c r="F626" s="26" t="s">
        <v>2776</v>
      </c>
      <c r="G626" s="26">
        <v>160</v>
      </c>
      <c r="H626" s="26" t="s">
        <v>5</v>
      </c>
      <c r="I626" s="26" t="s">
        <v>2777</v>
      </c>
      <c r="J626" s="26" t="s">
        <v>365</v>
      </c>
      <c r="K626" s="26" t="s">
        <v>580</v>
      </c>
      <c r="L626" s="26" t="s">
        <v>240</v>
      </c>
      <c r="M626" s="26" t="s">
        <v>38</v>
      </c>
      <c r="N626" s="26" t="s">
        <v>39</v>
      </c>
      <c r="O626" s="27">
        <v>38696</v>
      </c>
      <c r="P626" s="26"/>
      <c r="Q626" s="26"/>
      <c r="R626" s="26">
        <v>160</v>
      </c>
      <c r="S626" s="26" t="s">
        <v>29</v>
      </c>
    </row>
    <row r="627" spans="1:19" ht="29.25">
      <c r="A627" s="26">
        <v>92402</v>
      </c>
      <c r="B627" s="26" t="s">
        <v>20</v>
      </c>
      <c r="C627" s="26" t="s">
        <v>21</v>
      </c>
      <c r="D627" s="26" t="s">
        <v>21</v>
      </c>
      <c r="E627" s="26" t="s">
        <v>2778</v>
      </c>
      <c r="F627" s="26" t="s">
        <v>2779</v>
      </c>
      <c r="G627" s="26">
        <v>160</v>
      </c>
      <c r="H627" s="26" t="s">
        <v>5</v>
      </c>
      <c r="I627" s="26" t="s">
        <v>2777</v>
      </c>
      <c r="J627" s="26" t="s">
        <v>365</v>
      </c>
      <c r="K627" s="26" t="s">
        <v>580</v>
      </c>
      <c r="L627" s="26" t="s">
        <v>240</v>
      </c>
      <c r="M627" s="26" t="s">
        <v>38</v>
      </c>
      <c r="N627" s="26" t="s">
        <v>39</v>
      </c>
      <c r="O627" s="27">
        <v>38696</v>
      </c>
      <c r="P627" s="26"/>
      <c r="Q627" s="26"/>
      <c r="R627" s="26">
        <v>160</v>
      </c>
      <c r="S627" s="26" t="s">
        <v>29</v>
      </c>
    </row>
    <row r="628" spans="1:19" ht="29.25">
      <c r="A628" s="26">
        <v>92403</v>
      </c>
      <c r="B628" s="26" t="s">
        <v>20</v>
      </c>
      <c r="C628" s="26" t="s">
        <v>21</v>
      </c>
      <c r="D628" s="26" t="s">
        <v>21</v>
      </c>
      <c r="E628" s="26" t="s">
        <v>2780</v>
      </c>
      <c r="F628" s="26" t="s">
        <v>2781</v>
      </c>
      <c r="G628" s="26">
        <v>202</v>
      </c>
      <c r="H628" s="26" t="s">
        <v>5</v>
      </c>
      <c r="I628" s="26" t="s">
        <v>2777</v>
      </c>
      <c r="J628" s="26" t="s">
        <v>365</v>
      </c>
      <c r="K628" s="26" t="s">
        <v>366</v>
      </c>
      <c r="L628" s="26" t="s">
        <v>712</v>
      </c>
      <c r="M628" s="26" t="s">
        <v>38</v>
      </c>
      <c r="N628" s="26" t="s">
        <v>39</v>
      </c>
      <c r="O628" s="27">
        <v>38696</v>
      </c>
      <c r="P628" s="26"/>
      <c r="Q628" s="26"/>
      <c r="R628" s="26">
        <v>202</v>
      </c>
      <c r="S628" s="26" t="s">
        <v>29</v>
      </c>
    </row>
    <row r="629" spans="1:19" ht="29.25">
      <c r="A629" s="24">
        <v>92700</v>
      </c>
      <c r="B629" s="24" t="s">
        <v>20</v>
      </c>
      <c r="C629" s="24" t="s">
        <v>21</v>
      </c>
      <c r="D629" s="24" t="s">
        <v>30</v>
      </c>
      <c r="E629" s="24" t="s">
        <v>2785</v>
      </c>
      <c r="F629" s="24" t="s">
        <v>2786</v>
      </c>
      <c r="G629" s="24">
        <v>525</v>
      </c>
      <c r="H629" s="24" t="s">
        <v>5</v>
      </c>
      <c r="I629" s="24" t="s">
        <v>2787</v>
      </c>
      <c r="J629" s="24" t="s">
        <v>365</v>
      </c>
      <c r="K629" s="24" t="s">
        <v>705</v>
      </c>
      <c r="L629" s="24" t="s">
        <v>240</v>
      </c>
      <c r="M629" s="24" t="s">
        <v>38</v>
      </c>
      <c r="N629" s="24" t="s">
        <v>39</v>
      </c>
      <c r="O629" s="25">
        <v>38736</v>
      </c>
      <c r="P629" s="24"/>
      <c r="Q629" s="24"/>
      <c r="R629" s="24">
        <v>543</v>
      </c>
      <c r="S629" s="24" t="s">
        <v>29</v>
      </c>
    </row>
    <row r="630" spans="1:19" ht="29.25">
      <c r="A630" s="26">
        <v>92701</v>
      </c>
      <c r="B630" s="26" t="s">
        <v>20</v>
      </c>
      <c r="C630" s="26" t="s">
        <v>21</v>
      </c>
      <c r="D630" s="26" t="s">
        <v>21</v>
      </c>
      <c r="E630" s="26" t="s">
        <v>2788</v>
      </c>
      <c r="F630" s="26" t="s">
        <v>2789</v>
      </c>
      <c r="G630" s="26">
        <v>160</v>
      </c>
      <c r="H630" s="26" t="s">
        <v>5</v>
      </c>
      <c r="I630" s="26" t="s">
        <v>2787</v>
      </c>
      <c r="J630" s="26" t="s">
        <v>365</v>
      </c>
      <c r="K630" s="26" t="s">
        <v>580</v>
      </c>
      <c r="L630" s="26" t="s">
        <v>240</v>
      </c>
      <c r="M630" s="26" t="s">
        <v>38</v>
      </c>
      <c r="N630" s="26" t="s">
        <v>39</v>
      </c>
      <c r="O630" s="27">
        <v>38736</v>
      </c>
      <c r="P630" s="26"/>
      <c r="Q630" s="26"/>
      <c r="R630" s="26">
        <v>160</v>
      </c>
      <c r="S630" s="26" t="s">
        <v>29</v>
      </c>
    </row>
    <row r="631" spans="1:19" ht="29.25">
      <c r="A631" s="26">
        <v>92702</v>
      </c>
      <c r="B631" s="26" t="s">
        <v>20</v>
      </c>
      <c r="C631" s="26" t="s">
        <v>21</v>
      </c>
      <c r="D631" s="26" t="s">
        <v>21</v>
      </c>
      <c r="E631" s="26" t="s">
        <v>2790</v>
      </c>
      <c r="F631" s="26" t="s">
        <v>2791</v>
      </c>
      <c r="G631" s="26">
        <v>160</v>
      </c>
      <c r="H631" s="26" t="s">
        <v>5</v>
      </c>
      <c r="I631" s="26" t="s">
        <v>2787</v>
      </c>
      <c r="J631" s="26" t="s">
        <v>365</v>
      </c>
      <c r="K631" s="26" t="s">
        <v>580</v>
      </c>
      <c r="L631" s="26" t="s">
        <v>240</v>
      </c>
      <c r="M631" s="26" t="s">
        <v>38</v>
      </c>
      <c r="N631" s="26" t="s">
        <v>39</v>
      </c>
      <c r="O631" s="27">
        <v>38736</v>
      </c>
      <c r="P631" s="26"/>
      <c r="Q631" s="26"/>
      <c r="R631" s="26">
        <v>160</v>
      </c>
      <c r="S631" s="26" t="s">
        <v>29</v>
      </c>
    </row>
    <row r="632" spans="1:19" ht="29.25">
      <c r="A632" s="26">
        <v>92703</v>
      </c>
      <c r="B632" s="26" t="s">
        <v>20</v>
      </c>
      <c r="C632" s="26" t="s">
        <v>21</v>
      </c>
      <c r="D632" s="26" t="s">
        <v>21</v>
      </c>
      <c r="E632" s="26" t="s">
        <v>2792</v>
      </c>
      <c r="F632" s="26" t="s">
        <v>2793</v>
      </c>
      <c r="G632" s="26">
        <v>202</v>
      </c>
      <c r="H632" s="26" t="s">
        <v>5</v>
      </c>
      <c r="I632" s="26" t="s">
        <v>2787</v>
      </c>
      <c r="J632" s="26" t="s">
        <v>365</v>
      </c>
      <c r="K632" s="26" t="s">
        <v>366</v>
      </c>
      <c r="L632" s="26" t="s">
        <v>712</v>
      </c>
      <c r="M632" s="26" t="s">
        <v>38</v>
      </c>
      <c r="N632" s="26" t="s">
        <v>39</v>
      </c>
      <c r="O632" s="27">
        <v>38736</v>
      </c>
      <c r="P632" s="26"/>
      <c r="Q632" s="26"/>
      <c r="R632" s="26">
        <v>202</v>
      </c>
      <c r="S632" s="26" t="s">
        <v>29</v>
      </c>
    </row>
    <row r="633" spans="1:19" ht="29.25">
      <c r="A633" s="28">
        <v>40704</v>
      </c>
      <c r="B633" s="28" t="s">
        <v>20</v>
      </c>
      <c r="C633" s="28" t="s">
        <v>21</v>
      </c>
      <c r="D633" s="28" t="s">
        <v>21</v>
      </c>
      <c r="E633" s="28" t="s">
        <v>1469</v>
      </c>
      <c r="F633" s="28" t="s">
        <v>1470</v>
      </c>
      <c r="G633" s="28">
        <v>2.85</v>
      </c>
      <c r="H633" s="28" t="s">
        <v>5</v>
      </c>
      <c r="I633" s="28" t="s">
        <v>746</v>
      </c>
      <c r="J633" s="28" t="s">
        <v>25</v>
      </c>
      <c r="K633" s="28" t="s">
        <v>25</v>
      </c>
      <c r="L633" s="28" t="s">
        <v>26</v>
      </c>
      <c r="M633" s="28" t="s">
        <v>38</v>
      </c>
      <c r="N633" s="28" t="s">
        <v>39</v>
      </c>
      <c r="O633" s="29">
        <v>31778</v>
      </c>
      <c r="P633" s="28"/>
      <c r="Q633" s="28"/>
      <c r="R633" s="28">
        <v>2.85</v>
      </c>
      <c r="S633" s="28" t="s">
        <v>29</v>
      </c>
    </row>
    <row r="634" spans="1:19" ht="29.25">
      <c r="A634" s="28">
        <v>61603</v>
      </c>
      <c r="B634" s="28" t="s">
        <v>20</v>
      </c>
      <c r="C634" s="28" t="s">
        <v>21</v>
      </c>
      <c r="D634" s="28" t="s">
        <v>21</v>
      </c>
      <c r="E634" s="28" t="s">
        <v>744</v>
      </c>
      <c r="F634" s="28" t="s">
        <v>745</v>
      </c>
      <c r="G634" s="28">
        <v>3.13</v>
      </c>
      <c r="H634" s="28" t="s">
        <v>5</v>
      </c>
      <c r="I634" s="28" t="s">
        <v>746</v>
      </c>
      <c r="J634" s="28" t="s">
        <v>25</v>
      </c>
      <c r="K634" s="28" t="s">
        <v>25</v>
      </c>
      <c r="L634" s="28" t="s">
        <v>26</v>
      </c>
      <c r="M634" s="28" t="s">
        <v>38</v>
      </c>
      <c r="N634" s="28" t="s">
        <v>39</v>
      </c>
      <c r="O634" s="29">
        <v>28907</v>
      </c>
      <c r="P634" s="28"/>
      <c r="Q634" s="28"/>
      <c r="R634" s="28">
        <v>3.13</v>
      </c>
      <c r="S634" s="28" t="s">
        <v>29</v>
      </c>
    </row>
    <row r="635" spans="1:19" ht="29.25">
      <c r="A635" s="28">
        <v>73204</v>
      </c>
      <c r="B635" s="28" t="s">
        <v>20</v>
      </c>
      <c r="C635" s="28" t="s">
        <v>21</v>
      </c>
      <c r="D635" s="28" t="s">
        <v>21</v>
      </c>
      <c r="E635" s="28" t="s">
        <v>866</v>
      </c>
      <c r="F635" s="28" t="s">
        <v>867</v>
      </c>
      <c r="G635" s="28">
        <v>7.94</v>
      </c>
      <c r="H635" s="28" t="s">
        <v>5</v>
      </c>
      <c r="I635" s="28" t="s">
        <v>746</v>
      </c>
      <c r="J635" s="28" t="s">
        <v>25</v>
      </c>
      <c r="K635" s="28" t="s">
        <v>25</v>
      </c>
      <c r="L635" s="28" t="s">
        <v>26</v>
      </c>
      <c r="M635" s="28" t="s">
        <v>38</v>
      </c>
      <c r="N635" s="28" t="s">
        <v>39</v>
      </c>
      <c r="O635" s="29">
        <v>30317</v>
      </c>
      <c r="P635" s="28"/>
      <c r="Q635" s="28"/>
      <c r="R635" s="28">
        <v>7.94</v>
      </c>
      <c r="S635" s="28" t="s">
        <v>29</v>
      </c>
    </row>
    <row r="636" spans="1:19" ht="29.25">
      <c r="A636" s="28">
        <v>73205</v>
      </c>
      <c r="B636" s="28" t="s">
        <v>20</v>
      </c>
      <c r="C636" s="28" t="s">
        <v>21</v>
      </c>
      <c r="D636" s="28" t="s">
        <v>21</v>
      </c>
      <c r="E636" s="28" t="s">
        <v>1138</v>
      </c>
      <c r="F636" s="28" t="s">
        <v>1139</v>
      </c>
      <c r="G636" s="28">
        <v>5.9</v>
      </c>
      <c r="H636" s="28" t="s">
        <v>5</v>
      </c>
      <c r="I636" s="28" t="s">
        <v>746</v>
      </c>
      <c r="J636" s="28" t="s">
        <v>25</v>
      </c>
      <c r="K636" s="28" t="s">
        <v>25</v>
      </c>
      <c r="L636" s="28" t="s">
        <v>26</v>
      </c>
      <c r="M636" s="28" t="s">
        <v>38</v>
      </c>
      <c r="N636" s="28" t="s">
        <v>39</v>
      </c>
      <c r="O636" s="29">
        <v>31048</v>
      </c>
      <c r="P636" s="28"/>
      <c r="Q636" s="28"/>
      <c r="R636" s="28">
        <v>5.9</v>
      </c>
      <c r="S636" s="28" t="s">
        <v>29</v>
      </c>
    </row>
    <row r="637" spans="1:19" ht="29.25">
      <c r="A637" s="28">
        <v>56504</v>
      </c>
      <c r="B637" s="28" t="s">
        <v>20</v>
      </c>
      <c r="C637" s="28" t="s">
        <v>21</v>
      </c>
      <c r="D637" s="28" t="s">
        <v>21</v>
      </c>
      <c r="E637" s="28" t="s">
        <v>989</v>
      </c>
      <c r="F637" s="28" t="s">
        <v>990</v>
      </c>
      <c r="G637" s="28">
        <v>1.91</v>
      </c>
      <c r="H637" s="28" t="s">
        <v>5</v>
      </c>
      <c r="I637" s="28" t="s">
        <v>746</v>
      </c>
      <c r="J637" s="28" t="s">
        <v>25</v>
      </c>
      <c r="K637" s="28" t="s">
        <v>25</v>
      </c>
      <c r="L637" s="28" t="s">
        <v>26</v>
      </c>
      <c r="M637" s="28" t="s">
        <v>38</v>
      </c>
      <c r="N637" s="28" t="s">
        <v>39</v>
      </c>
      <c r="O637" s="29">
        <v>30682</v>
      </c>
      <c r="P637" s="28"/>
      <c r="Q637" s="28"/>
      <c r="R637" s="28">
        <v>1.91</v>
      </c>
      <c r="S637" s="28" t="s">
        <v>29</v>
      </c>
    </row>
    <row r="638" spans="1:19" ht="29.25">
      <c r="A638" s="28">
        <v>40705</v>
      </c>
      <c r="B638" s="28" t="s">
        <v>20</v>
      </c>
      <c r="C638" s="28" t="s">
        <v>21</v>
      </c>
      <c r="D638" s="28" t="s">
        <v>21</v>
      </c>
      <c r="E638" s="28" t="s">
        <v>1471</v>
      </c>
      <c r="F638" s="28" t="s">
        <v>1472</v>
      </c>
      <c r="G638" s="28">
        <v>2.85</v>
      </c>
      <c r="H638" s="28" t="s">
        <v>5</v>
      </c>
      <c r="I638" s="28" t="s">
        <v>746</v>
      </c>
      <c r="J638" s="28" t="s">
        <v>25</v>
      </c>
      <c r="K638" s="28" t="s">
        <v>25</v>
      </c>
      <c r="L638" s="28" t="s">
        <v>26</v>
      </c>
      <c r="M638" s="28" t="s">
        <v>38</v>
      </c>
      <c r="N638" s="28" t="s">
        <v>39</v>
      </c>
      <c r="O638" s="29">
        <v>31778</v>
      </c>
      <c r="P638" s="28"/>
      <c r="Q638" s="28"/>
      <c r="R638" s="28">
        <v>2.85</v>
      </c>
      <c r="S638" s="28" t="s">
        <v>29</v>
      </c>
    </row>
    <row r="639" spans="1:19" ht="29.25">
      <c r="A639" s="28">
        <v>61604</v>
      </c>
      <c r="B639" s="28" t="s">
        <v>20</v>
      </c>
      <c r="C639" s="28" t="s">
        <v>21</v>
      </c>
      <c r="D639" s="28" t="s">
        <v>21</v>
      </c>
      <c r="E639" s="28" t="s">
        <v>1140</v>
      </c>
      <c r="F639" s="28" t="s">
        <v>1141</v>
      </c>
      <c r="G639" s="28">
        <v>4.0999999999999996</v>
      </c>
      <c r="H639" s="28" t="s">
        <v>5</v>
      </c>
      <c r="I639" s="28" t="s">
        <v>746</v>
      </c>
      <c r="J639" s="28" t="s">
        <v>25</v>
      </c>
      <c r="K639" s="28" t="s">
        <v>25</v>
      </c>
      <c r="L639" s="28" t="s">
        <v>26</v>
      </c>
      <c r="M639" s="28" t="s">
        <v>38</v>
      </c>
      <c r="N639" s="28" t="s">
        <v>39</v>
      </c>
      <c r="O639" s="29">
        <v>31048</v>
      </c>
      <c r="P639" s="28"/>
      <c r="Q639" s="28"/>
      <c r="R639" s="28">
        <v>4.0999999999999996</v>
      </c>
      <c r="S639" s="28" t="s">
        <v>29</v>
      </c>
    </row>
    <row r="640" spans="1:19" ht="43.5">
      <c r="A640" s="28">
        <v>58800</v>
      </c>
      <c r="B640" s="28" t="s">
        <v>20</v>
      </c>
      <c r="C640" s="28" t="s">
        <v>30</v>
      </c>
      <c r="D640" s="28" t="s">
        <v>21</v>
      </c>
      <c r="E640" s="28" t="s">
        <v>797</v>
      </c>
      <c r="F640" s="28" t="s">
        <v>798</v>
      </c>
      <c r="G640" s="28">
        <v>10.119999999999999</v>
      </c>
      <c r="H640" s="28" t="s">
        <v>5</v>
      </c>
      <c r="I640" s="28"/>
      <c r="J640" s="28" t="s">
        <v>25</v>
      </c>
      <c r="K640" s="28" t="s">
        <v>25</v>
      </c>
      <c r="L640" s="28" t="s">
        <v>26</v>
      </c>
      <c r="M640" s="28" t="s">
        <v>38</v>
      </c>
      <c r="N640" s="28" t="s">
        <v>39</v>
      </c>
      <c r="O640" s="29">
        <v>29952</v>
      </c>
      <c r="P640" s="28" t="s">
        <v>799</v>
      </c>
      <c r="Q640" s="28"/>
      <c r="R640" s="28">
        <v>10.14</v>
      </c>
      <c r="S640" s="28" t="s">
        <v>29</v>
      </c>
    </row>
    <row r="641" spans="1:19" ht="29.25">
      <c r="A641" s="28">
        <v>20400</v>
      </c>
      <c r="B641" s="28" t="s">
        <v>20</v>
      </c>
      <c r="C641" s="28" t="s">
        <v>21</v>
      </c>
      <c r="D641" s="28" t="s">
        <v>21</v>
      </c>
      <c r="E641" s="28" t="s">
        <v>2318</v>
      </c>
      <c r="F641" s="28" t="s">
        <v>2319</v>
      </c>
      <c r="G641" s="28">
        <v>24</v>
      </c>
      <c r="H641" s="28" t="s">
        <v>24</v>
      </c>
      <c r="I641" s="28" t="s">
        <v>2320</v>
      </c>
      <c r="J641" s="28" t="s">
        <v>788</v>
      </c>
      <c r="K641" s="28" t="s">
        <v>366</v>
      </c>
      <c r="L641" s="28" t="s">
        <v>1861</v>
      </c>
      <c r="M641" s="28" t="s">
        <v>27</v>
      </c>
      <c r="N641" s="28" t="s">
        <v>28</v>
      </c>
      <c r="O641" s="29">
        <v>37027</v>
      </c>
      <c r="P641" s="28"/>
      <c r="Q641" s="28"/>
      <c r="R641" s="28">
        <v>28.5</v>
      </c>
      <c r="S641" s="28" t="s">
        <v>29</v>
      </c>
    </row>
    <row r="642" spans="1:19" ht="29.25">
      <c r="A642" s="28">
        <v>20500</v>
      </c>
      <c r="B642" s="28" t="s">
        <v>20</v>
      </c>
      <c r="C642" s="28" t="s">
        <v>21</v>
      </c>
      <c r="D642" s="28" t="s">
        <v>21</v>
      </c>
      <c r="E642" s="28" t="s">
        <v>3183</v>
      </c>
      <c r="F642" s="28" t="s">
        <v>3184</v>
      </c>
      <c r="G642" s="28">
        <v>1.25</v>
      </c>
      <c r="H642" s="28" t="s">
        <v>5</v>
      </c>
      <c r="I642" s="28" t="s">
        <v>5</v>
      </c>
      <c r="J642" s="28" t="s">
        <v>25</v>
      </c>
      <c r="K642" s="28" t="s">
        <v>25</v>
      </c>
      <c r="L642" s="28" t="s">
        <v>26</v>
      </c>
      <c r="M642" s="28" t="s">
        <v>38</v>
      </c>
      <c r="N642" s="28" t="s">
        <v>39</v>
      </c>
      <c r="O642" s="28" t="s">
        <v>4687</v>
      </c>
      <c r="P642" s="28"/>
      <c r="Q642" s="28"/>
      <c r="R642" s="28">
        <v>1.25</v>
      </c>
      <c r="S642" s="28" t="s">
        <v>29</v>
      </c>
    </row>
    <row r="643" spans="1:19">
      <c r="A643" s="28">
        <v>109000</v>
      </c>
      <c r="B643" s="28" t="s">
        <v>20</v>
      </c>
      <c r="C643" s="28" t="s">
        <v>21</v>
      </c>
      <c r="D643" s="28" t="s">
        <v>21</v>
      </c>
      <c r="E643" s="28" t="s">
        <v>4481</v>
      </c>
      <c r="F643" s="28" t="s">
        <v>4482</v>
      </c>
      <c r="G643" s="28">
        <v>14</v>
      </c>
      <c r="H643" s="28" t="s">
        <v>5</v>
      </c>
      <c r="I643" s="28" t="s">
        <v>5</v>
      </c>
      <c r="J643" s="28" t="s">
        <v>644</v>
      </c>
      <c r="K643" s="28" t="s">
        <v>366</v>
      </c>
      <c r="L643" s="28" t="s">
        <v>644</v>
      </c>
      <c r="M643" s="28" t="s">
        <v>38</v>
      </c>
      <c r="N643" s="28" t="s">
        <v>39</v>
      </c>
      <c r="O643" s="29">
        <v>41365</v>
      </c>
      <c r="P643" s="28" t="s">
        <v>4483</v>
      </c>
      <c r="Q643" s="28"/>
      <c r="R643" s="28">
        <v>14</v>
      </c>
      <c r="S643" s="28" t="s">
        <v>29</v>
      </c>
    </row>
    <row r="644" spans="1:19">
      <c r="A644" s="28">
        <v>20600</v>
      </c>
      <c r="B644" s="28" t="s">
        <v>20</v>
      </c>
      <c r="C644" s="28" t="s">
        <v>21</v>
      </c>
      <c r="D644" s="28" t="s">
        <v>21</v>
      </c>
      <c r="E644" s="28" t="s">
        <v>424</v>
      </c>
      <c r="F644" s="28" t="s">
        <v>425</v>
      </c>
      <c r="G644" s="28">
        <v>215</v>
      </c>
      <c r="H644" s="28" t="s">
        <v>5</v>
      </c>
      <c r="I644" s="28" t="s">
        <v>426</v>
      </c>
      <c r="J644" s="28" t="s">
        <v>365</v>
      </c>
      <c r="K644" s="28" t="s">
        <v>366</v>
      </c>
      <c r="L644" s="28" t="s">
        <v>240</v>
      </c>
      <c r="M644" s="28" t="s">
        <v>38</v>
      </c>
      <c r="N644" s="28" t="s">
        <v>39</v>
      </c>
      <c r="O644" s="29">
        <v>21551</v>
      </c>
      <c r="P644" s="28"/>
      <c r="Q644" s="28"/>
      <c r="R644" s="28">
        <v>215</v>
      </c>
      <c r="S644" s="28" t="s">
        <v>29</v>
      </c>
    </row>
    <row r="645" spans="1:19">
      <c r="A645" s="28">
        <v>20700</v>
      </c>
      <c r="B645" s="28" t="s">
        <v>20</v>
      </c>
      <c r="C645" s="28" t="s">
        <v>21</v>
      </c>
      <c r="D645" s="28" t="s">
        <v>21</v>
      </c>
      <c r="E645" s="28" t="s">
        <v>427</v>
      </c>
      <c r="F645" s="28" t="s">
        <v>428</v>
      </c>
      <c r="G645" s="28">
        <v>215.29</v>
      </c>
      <c r="H645" s="28" t="s">
        <v>5</v>
      </c>
      <c r="I645" s="28" t="s">
        <v>426</v>
      </c>
      <c r="J645" s="28" t="s">
        <v>365</v>
      </c>
      <c r="K645" s="28" t="s">
        <v>366</v>
      </c>
      <c r="L645" s="28" t="s">
        <v>240</v>
      </c>
      <c r="M645" s="28" t="s">
        <v>38</v>
      </c>
      <c r="N645" s="28" t="s">
        <v>39</v>
      </c>
      <c r="O645" s="29">
        <v>21551</v>
      </c>
      <c r="P645" s="28"/>
      <c r="Q645" s="28"/>
      <c r="R645" s="28">
        <v>215</v>
      </c>
      <c r="S645" s="28" t="s">
        <v>29</v>
      </c>
    </row>
    <row r="646" spans="1:19" ht="29.25">
      <c r="A646" s="28">
        <v>20800</v>
      </c>
      <c r="B646" s="28" t="s">
        <v>20</v>
      </c>
      <c r="C646" s="28" t="s">
        <v>21</v>
      </c>
      <c r="D646" s="28" t="s">
        <v>21</v>
      </c>
      <c r="E646" s="28" t="s">
        <v>3185</v>
      </c>
      <c r="F646" s="28" t="s">
        <v>3186</v>
      </c>
      <c r="G646" s="28">
        <v>130</v>
      </c>
      <c r="H646" s="28" t="s">
        <v>5</v>
      </c>
      <c r="I646" s="28" t="s">
        <v>426</v>
      </c>
      <c r="J646" s="28" t="s">
        <v>295</v>
      </c>
      <c r="K646" s="28" t="s">
        <v>580</v>
      </c>
      <c r="L646" s="28" t="s">
        <v>240</v>
      </c>
      <c r="M646" s="28" t="s">
        <v>38</v>
      </c>
      <c r="N646" s="28" t="s">
        <v>39</v>
      </c>
      <c r="O646" s="28" t="s">
        <v>4687</v>
      </c>
      <c r="P646" s="28" t="s">
        <v>3187</v>
      </c>
      <c r="Q646" s="28"/>
      <c r="R646" s="28">
        <v>130</v>
      </c>
      <c r="S646" s="28" t="s">
        <v>29</v>
      </c>
    </row>
    <row r="647" spans="1:19">
      <c r="A647" s="28">
        <v>107000</v>
      </c>
      <c r="B647" s="28" t="s">
        <v>20</v>
      </c>
      <c r="C647" s="28" t="s">
        <v>21</v>
      </c>
      <c r="D647" s="28" t="s">
        <v>21</v>
      </c>
      <c r="E647" s="28" t="s">
        <v>4484</v>
      </c>
      <c r="F647" s="28" t="s">
        <v>4485</v>
      </c>
      <c r="G647" s="28">
        <v>189</v>
      </c>
      <c r="H647" s="28" t="s">
        <v>5</v>
      </c>
      <c r="I647" s="28" t="s">
        <v>4485</v>
      </c>
      <c r="J647" s="28" t="s">
        <v>781</v>
      </c>
      <c r="K647" s="28" t="s">
        <v>781</v>
      </c>
      <c r="L647" s="28" t="s">
        <v>781</v>
      </c>
      <c r="M647" s="28" t="s">
        <v>38</v>
      </c>
      <c r="N647" s="28" t="s">
        <v>39</v>
      </c>
      <c r="O647" s="29">
        <v>41263</v>
      </c>
      <c r="P647" s="28"/>
      <c r="Q647" s="28"/>
      <c r="R647" s="28">
        <v>189</v>
      </c>
      <c r="S647" s="28" t="s">
        <v>29</v>
      </c>
    </row>
    <row r="648" spans="1:19" ht="29.25">
      <c r="A648" s="28">
        <v>96000</v>
      </c>
      <c r="B648" s="28" t="s">
        <v>20</v>
      </c>
      <c r="C648" s="28" t="s">
        <v>21</v>
      </c>
      <c r="D648" s="28" t="s">
        <v>21</v>
      </c>
      <c r="E648" s="28" t="s">
        <v>2850</v>
      </c>
      <c r="F648" s="28" t="s">
        <v>2851</v>
      </c>
      <c r="G648" s="28">
        <v>3.03</v>
      </c>
      <c r="H648" s="28" t="s">
        <v>24</v>
      </c>
      <c r="I648" s="28" t="s">
        <v>2852</v>
      </c>
      <c r="J648" s="28" t="s">
        <v>788</v>
      </c>
      <c r="K648" s="28" t="s">
        <v>2258</v>
      </c>
      <c r="L648" s="28" t="s">
        <v>888</v>
      </c>
      <c r="M648" s="28" t="s">
        <v>27</v>
      </c>
      <c r="N648" s="28" t="s">
        <v>28</v>
      </c>
      <c r="O648" s="29">
        <v>39326</v>
      </c>
      <c r="P648" s="28"/>
      <c r="Q648" s="28"/>
      <c r="R648" s="28">
        <v>2.6</v>
      </c>
      <c r="S648" s="28" t="s">
        <v>29</v>
      </c>
    </row>
    <row r="649" spans="1:19">
      <c r="A649" s="24">
        <v>105300</v>
      </c>
      <c r="B649" s="24" t="s">
        <v>20</v>
      </c>
      <c r="C649" s="24" t="s">
        <v>21</v>
      </c>
      <c r="D649" s="24" t="s">
        <v>30</v>
      </c>
      <c r="E649" s="24" t="s">
        <v>4486</v>
      </c>
      <c r="F649" s="24" t="s">
        <v>4487</v>
      </c>
      <c r="G649" s="24">
        <v>196</v>
      </c>
      <c r="H649" s="24" t="s">
        <v>24</v>
      </c>
      <c r="I649" s="24" t="s">
        <v>4488</v>
      </c>
      <c r="J649" s="24" t="s">
        <v>295</v>
      </c>
      <c r="K649" s="24" t="s">
        <v>580</v>
      </c>
      <c r="L649" s="24" t="s">
        <v>240</v>
      </c>
      <c r="M649" s="24" t="s">
        <v>27</v>
      </c>
      <c r="N649" s="24" t="s">
        <v>28</v>
      </c>
      <c r="O649" s="25">
        <v>41156</v>
      </c>
      <c r="P649" s="24"/>
      <c r="Q649" s="24"/>
      <c r="R649" s="24">
        <v>195.9</v>
      </c>
      <c r="S649" s="24" t="s">
        <v>29</v>
      </c>
    </row>
    <row r="650" spans="1:19" ht="29.25">
      <c r="A650" s="24">
        <v>29200</v>
      </c>
      <c r="B650" s="24" t="s">
        <v>20</v>
      </c>
      <c r="C650" s="24" t="s">
        <v>30</v>
      </c>
      <c r="D650" s="24" t="s">
        <v>30</v>
      </c>
      <c r="E650" s="24" t="s">
        <v>2178</v>
      </c>
      <c r="F650" s="24" t="s">
        <v>2179</v>
      </c>
      <c r="G650" s="24">
        <v>100</v>
      </c>
      <c r="H650" s="24" t="s">
        <v>24</v>
      </c>
      <c r="I650" s="24" t="s">
        <v>2180</v>
      </c>
      <c r="J650" s="24" t="s">
        <v>365</v>
      </c>
      <c r="K650" s="24" t="s">
        <v>705</v>
      </c>
      <c r="L650" s="24" t="s">
        <v>240</v>
      </c>
      <c r="M650" s="24" t="s">
        <v>27</v>
      </c>
      <c r="N650" s="24" t="s">
        <v>28</v>
      </c>
      <c r="O650" s="25">
        <v>34700</v>
      </c>
      <c r="P650" s="24"/>
      <c r="Q650" s="24"/>
      <c r="R650" s="24">
        <v>100</v>
      </c>
      <c r="S650" s="24" t="s">
        <v>29</v>
      </c>
    </row>
    <row r="651" spans="1:19" ht="29.25">
      <c r="A651" s="26">
        <v>29201</v>
      </c>
      <c r="B651" s="26" t="s">
        <v>20</v>
      </c>
      <c r="C651" s="26" t="s">
        <v>30</v>
      </c>
      <c r="D651" s="26" t="s">
        <v>21</v>
      </c>
      <c r="E651" s="26" t="s">
        <v>2181</v>
      </c>
      <c r="F651" s="26" t="s">
        <v>2182</v>
      </c>
      <c r="G651" s="26">
        <v>20</v>
      </c>
      <c r="H651" s="26" t="s">
        <v>24</v>
      </c>
      <c r="I651" s="26" t="s">
        <v>2180</v>
      </c>
      <c r="J651" s="26" t="s">
        <v>365</v>
      </c>
      <c r="K651" s="26" t="s">
        <v>366</v>
      </c>
      <c r="L651" s="26" t="s">
        <v>712</v>
      </c>
      <c r="M651" s="26" t="s">
        <v>27</v>
      </c>
      <c r="N651" s="26" t="s">
        <v>28</v>
      </c>
      <c r="O651" s="27">
        <v>34700</v>
      </c>
      <c r="P651" s="26"/>
      <c r="Q651" s="26"/>
      <c r="R651" s="26">
        <v>20</v>
      </c>
      <c r="S651" s="26" t="s">
        <v>29</v>
      </c>
    </row>
    <row r="652" spans="1:19" ht="29.25">
      <c r="A652" s="26">
        <v>29202</v>
      </c>
      <c r="B652" s="26" t="s">
        <v>20</v>
      </c>
      <c r="C652" s="26" t="s">
        <v>30</v>
      </c>
      <c r="D652" s="26" t="s">
        <v>21</v>
      </c>
      <c r="E652" s="26" t="s">
        <v>2210</v>
      </c>
      <c r="F652" s="26" t="s">
        <v>2211</v>
      </c>
      <c r="G652" s="26">
        <v>40</v>
      </c>
      <c r="H652" s="26" t="s">
        <v>24</v>
      </c>
      <c r="I652" s="26" t="s">
        <v>2180</v>
      </c>
      <c r="J652" s="26" t="s">
        <v>365</v>
      </c>
      <c r="K652" s="26" t="s">
        <v>580</v>
      </c>
      <c r="L652" s="26" t="s">
        <v>240</v>
      </c>
      <c r="M652" s="26" t="s">
        <v>27</v>
      </c>
      <c r="N652" s="26" t="s">
        <v>28</v>
      </c>
      <c r="O652" s="27">
        <v>35065</v>
      </c>
      <c r="P652" s="26"/>
      <c r="Q652" s="26"/>
      <c r="R652" s="26">
        <v>40</v>
      </c>
      <c r="S652" s="26" t="s">
        <v>29</v>
      </c>
    </row>
    <row r="653" spans="1:19" ht="29.25">
      <c r="A653" s="26">
        <v>29203</v>
      </c>
      <c r="B653" s="26" t="s">
        <v>20</v>
      </c>
      <c r="C653" s="26" t="s">
        <v>30</v>
      </c>
      <c r="D653" s="26" t="s">
        <v>21</v>
      </c>
      <c r="E653" s="26" t="s">
        <v>2183</v>
      </c>
      <c r="F653" s="26" t="s">
        <v>2184</v>
      </c>
      <c r="G653" s="26">
        <v>40</v>
      </c>
      <c r="H653" s="26" t="s">
        <v>24</v>
      </c>
      <c r="I653" s="26" t="s">
        <v>2180</v>
      </c>
      <c r="J653" s="26" t="s">
        <v>365</v>
      </c>
      <c r="K653" s="26" t="s">
        <v>580</v>
      </c>
      <c r="L653" s="26" t="s">
        <v>240</v>
      </c>
      <c r="M653" s="26" t="s">
        <v>27</v>
      </c>
      <c r="N653" s="26" t="s">
        <v>28</v>
      </c>
      <c r="O653" s="27">
        <v>34700</v>
      </c>
      <c r="P653" s="26"/>
      <c r="Q653" s="26"/>
      <c r="R653" s="26">
        <v>40</v>
      </c>
      <c r="S653" s="26" t="s">
        <v>29</v>
      </c>
    </row>
    <row r="654" spans="1:19">
      <c r="A654" s="28">
        <v>21000</v>
      </c>
      <c r="B654" s="28" t="s">
        <v>20</v>
      </c>
      <c r="C654" s="28" t="s">
        <v>21</v>
      </c>
      <c r="D654" s="28" t="s">
        <v>21</v>
      </c>
      <c r="E654" s="28" t="s">
        <v>530</v>
      </c>
      <c r="F654" s="28" t="s">
        <v>531</v>
      </c>
      <c r="G654" s="28">
        <v>10</v>
      </c>
      <c r="H654" s="28" t="s">
        <v>24</v>
      </c>
      <c r="I654" s="28" t="s">
        <v>528</v>
      </c>
      <c r="J654" s="28" t="s">
        <v>25</v>
      </c>
      <c r="K654" s="28" t="s">
        <v>25</v>
      </c>
      <c r="L654" s="28" t="s">
        <v>26</v>
      </c>
      <c r="M654" s="28" t="s">
        <v>27</v>
      </c>
      <c r="N654" s="28" t="s">
        <v>28</v>
      </c>
      <c r="O654" s="29">
        <v>24473</v>
      </c>
      <c r="P654" s="28"/>
      <c r="Q654" s="28" t="s">
        <v>529</v>
      </c>
      <c r="R654" s="28">
        <v>10</v>
      </c>
      <c r="S654" s="28" t="s">
        <v>29</v>
      </c>
    </row>
    <row r="655" spans="1:19">
      <c r="A655" s="28">
        <v>106700</v>
      </c>
      <c r="B655" s="28" t="s">
        <v>20</v>
      </c>
      <c r="C655" s="28" t="s">
        <v>21</v>
      </c>
      <c r="D655" s="28" t="s">
        <v>21</v>
      </c>
      <c r="E655" s="28" t="s">
        <v>4489</v>
      </c>
      <c r="F655" s="28" t="s">
        <v>4490</v>
      </c>
      <c r="G655" s="28">
        <v>47.2</v>
      </c>
      <c r="H655" s="28" t="s">
        <v>5</v>
      </c>
      <c r="I655" s="28" t="s">
        <v>4491</v>
      </c>
      <c r="J655" s="28" t="s">
        <v>295</v>
      </c>
      <c r="K655" s="28" t="s">
        <v>580</v>
      </c>
      <c r="L655" s="28" t="s">
        <v>240</v>
      </c>
      <c r="M655" s="28" t="s">
        <v>38</v>
      </c>
      <c r="N655" s="28" t="s">
        <v>39</v>
      </c>
      <c r="O655" s="29">
        <v>41214</v>
      </c>
      <c r="P655" s="28"/>
      <c r="Q655" s="28"/>
      <c r="R655" s="28">
        <v>47.2</v>
      </c>
      <c r="S655" s="28" t="s">
        <v>29</v>
      </c>
    </row>
    <row r="656" spans="1:19">
      <c r="A656" s="28">
        <v>21100</v>
      </c>
      <c r="B656" s="28" t="s">
        <v>20</v>
      </c>
      <c r="C656" s="28" t="s">
        <v>21</v>
      </c>
      <c r="D656" s="28" t="s">
        <v>21</v>
      </c>
      <c r="E656" s="28" t="s">
        <v>269</v>
      </c>
      <c r="F656" s="28" t="s">
        <v>270</v>
      </c>
      <c r="G656" s="28">
        <v>3.5</v>
      </c>
      <c r="H656" s="28" t="s">
        <v>24</v>
      </c>
      <c r="I656" s="28" t="s">
        <v>4</v>
      </c>
      <c r="J656" s="28" t="s">
        <v>25</v>
      </c>
      <c r="K656" s="28" t="s">
        <v>25</v>
      </c>
      <c r="L656" s="28" t="s">
        <v>26</v>
      </c>
      <c r="M656" s="28" t="s">
        <v>27</v>
      </c>
      <c r="N656" s="28" t="s">
        <v>28</v>
      </c>
      <c r="O656" s="29">
        <v>10959</v>
      </c>
      <c r="P656" s="28"/>
      <c r="Q656" s="28"/>
      <c r="R656" s="28">
        <v>3.5</v>
      </c>
      <c r="S656" s="28" t="s">
        <v>29</v>
      </c>
    </row>
    <row r="657" spans="1:19">
      <c r="A657" s="24">
        <v>95600</v>
      </c>
      <c r="B657" s="24" t="s">
        <v>20</v>
      </c>
      <c r="C657" s="24" t="s">
        <v>21</v>
      </c>
      <c r="D657" s="24" t="s">
        <v>30</v>
      </c>
      <c r="E657" s="24" t="s">
        <v>2859</v>
      </c>
      <c r="F657" s="24" t="s">
        <v>2860</v>
      </c>
      <c r="G657" s="24">
        <v>46</v>
      </c>
      <c r="H657" s="24" t="s">
        <v>5</v>
      </c>
      <c r="I657" s="24" t="s">
        <v>5</v>
      </c>
      <c r="J657" s="24" t="s">
        <v>295</v>
      </c>
      <c r="K657" s="24" t="s">
        <v>580</v>
      </c>
      <c r="L657" s="24" t="s">
        <v>240</v>
      </c>
      <c r="M657" s="24" t="s">
        <v>38</v>
      </c>
      <c r="N657" s="24" t="s">
        <v>39</v>
      </c>
      <c r="O657" s="25">
        <v>39345</v>
      </c>
      <c r="P657" s="24"/>
      <c r="Q657" s="24"/>
      <c r="R657" s="24">
        <v>49</v>
      </c>
      <c r="S657" s="24" t="s">
        <v>29</v>
      </c>
    </row>
    <row r="658" spans="1:19">
      <c r="A658" s="28">
        <v>97700</v>
      </c>
      <c r="B658" s="28" t="s">
        <v>20</v>
      </c>
      <c r="C658" s="28" t="s">
        <v>21</v>
      </c>
      <c r="D658" s="28" t="s">
        <v>21</v>
      </c>
      <c r="E658" s="28" t="s">
        <v>2909</v>
      </c>
      <c r="F658" s="28" t="s">
        <v>2910</v>
      </c>
      <c r="G658" s="28">
        <v>47.9</v>
      </c>
      <c r="H658" s="28" t="s">
        <v>143</v>
      </c>
      <c r="I658" s="28" t="s">
        <v>6</v>
      </c>
      <c r="J658" s="28" t="s">
        <v>295</v>
      </c>
      <c r="K658" s="28" t="s">
        <v>580</v>
      </c>
      <c r="L658" s="28" t="s">
        <v>240</v>
      </c>
      <c r="M658" s="28" t="s">
        <v>38</v>
      </c>
      <c r="N658" s="28" t="s">
        <v>144</v>
      </c>
      <c r="O658" s="29">
        <v>40032</v>
      </c>
      <c r="P658" s="28"/>
      <c r="Q658" s="28"/>
      <c r="R658" s="28">
        <v>49.5</v>
      </c>
      <c r="S658" s="28" t="s">
        <v>29</v>
      </c>
    </row>
    <row r="659" spans="1:19" ht="43.5">
      <c r="A659" s="28">
        <v>103700</v>
      </c>
      <c r="B659" s="28" t="s">
        <v>20</v>
      </c>
      <c r="C659" s="28" t="s">
        <v>21</v>
      </c>
      <c r="D659" s="28" t="s">
        <v>21</v>
      </c>
      <c r="E659" s="28" t="s">
        <v>3075</v>
      </c>
      <c r="F659" s="28" t="s">
        <v>3076</v>
      </c>
      <c r="G659" s="28">
        <v>78.2</v>
      </c>
      <c r="H659" s="28" t="s">
        <v>24</v>
      </c>
      <c r="I659" s="28" t="s">
        <v>3077</v>
      </c>
      <c r="J659" s="28" t="s">
        <v>781</v>
      </c>
      <c r="K659" s="28" t="s">
        <v>781</v>
      </c>
      <c r="L659" s="28" t="s">
        <v>781</v>
      </c>
      <c r="M659" s="28" t="s">
        <v>27</v>
      </c>
      <c r="N659" s="28" t="s">
        <v>1420</v>
      </c>
      <c r="O659" s="29">
        <v>40940</v>
      </c>
      <c r="P659" s="28" t="s">
        <v>3078</v>
      </c>
      <c r="Q659" s="28"/>
      <c r="R659" s="28">
        <v>78.2</v>
      </c>
      <c r="S659" s="28" t="s">
        <v>29</v>
      </c>
    </row>
    <row r="660" spans="1:19">
      <c r="A660" s="28">
        <v>22300</v>
      </c>
      <c r="B660" s="28" t="s">
        <v>20</v>
      </c>
      <c r="C660" s="28" t="s">
        <v>21</v>
      </c>
      <c r="D660" s="28" t="s">
        <v>21</v>
      </c>
      <c r="E660" s="28" t="s">
        <v>452</v>
      </c>
      <c r="F660" s="28" t="s">
        <v>453</v>
      </c>
      <c r="G660" s="28">
        <v>325</v>
      </c>
      <c r="H660" s="28" t="s">
        <v>24</v>
      </c>
      <c r="I660" s="28" t="s">
        <v>454</v>
      </c>
      <c r="J660" s="28" t="s">
        <v>365</v>
      </c>
      <c r="K660" s="28" t="s">
        <v>366</v>
      </c>
      <c r="L660" s="28" t="s">
        <v>240</v>
      </c>
      <c r="M660" s="28" t="s">
        <v>193</v>
      </c>
      <c r="N660" s="28" t="s">
        <v>194</v>
      </c>
      <c r="O660" s="29">
        <v>22981</v>
      </c>
      <c r="P660" s="28"/>
      <c r="Q660" s="28"/>
      <c r="R660" s="28">
        <v>300</v>
      </c>
      <c r="S660" s="28" t="s">
        <v>29</v>
      </c>
    </row>
    <row r="661" spans="1:19">
      <c r="A661" s="28">
        <v>22400</v>
      </c>
      <c r="B661" s="28" t="s">
        <v>20</v>
      </c>
      <c r="C661" s="28" t="s">
        <v>21</v>
      </c>
      <c r="D661" s="28" t="s">
        <v>21</v>
      </c>
      <c r="E661" s="28" t="s">
        <v>464</v>
      </c>
      <c r="F661" s="28" t="s">
        <v>465</v>
      </c>
      <c r="G661" s="28">
        <v>325</v>
      </c>
      <c r="H661" s="28" t="s">
        <v>24</v>
      </c>
      <c r="I661" s="28" t="s">
        <v>454</v>
      </c>
      <c r="J661" s="28" t="s">
        <v>365</v>
      </c>
      <c r="K661" s="28" t="s">
        <v>366</v>
      </c>
      <c r="L661" s="28" t="s">
        <v>240</v>
      </c>
      <c r="M661" s="28" t="s">
        <v>193</v>
      </c>
      <c r="N661" s="28" t="s">
        <v>194</v>
      </c>
      <c r="O661" s="29">
        <v>23012</v>
      </c>
      <c r="P661" s="28"/>
      <c r="Q661" s="28"/>
      <c r="R661" s="28">
        <v>300</v>
      </c>
      <c r="S661" s="28" t="s">
        <v>29</v>
      </c>
    </row>
    <row r="662" spans="1:19">
      <c r="A662" s="28">
        <v>22500</v>
      </c>
      <c r="B662" s="28" t="s">
        <v>20</v>
      </c>
      <c r="C662" s="28" t="s">
        <v>21</v>
      </c>
      <c r="D662" s="28" t="s">
        <v>21</v>
      </c>
      <c r="E662" s="28" t="s">
        <v>532</v>
      </c>
      <c r="F662" s="28" t="s">
        <v>533</v>
      </c>
      <c r="G662" s="28">
        <v>754.33</v>
      </c>
      <c r="H662" s="28" t="s">
        <v>24</v>
      </c>
      <c r="I662" s="28" t="s">
        <v>534</v>
      </c>
      <c r="J662" s="28" t="s">
        <v>365</v>
      </c>
      <c r="K662" s="28" t="s">
        <v>366</v>
      </c>
      <c r="L662" s="28" t="s">
        <v>240</v>
      </c>
      <c r="M662" s="28" t="s">
        <v>27</v>
      </c>
      <c r="N662" s="28" t="s">
        <v>28</v>
      </c>
      <c r="O662" s="29">
        <v>24473</v>
      </c>
      <c r="P662" s="28"/>
      <c r="Q662" s="28"/>
      <c r="R662" s="28">
        <v>702</v>
      </c>
      <c r="S662" s="28" t="s">
        <v>29</v>
      </c>
    </row>
    <row r="663" spans="1:19">
      <c r="A663" s="28">
        <v>22600</v>
      </c>
      <c r="B663" s="28" t="s">
        <v>20</v>
      </c>
      <c r="C663" s="28" t="s">
        <v>21</v>
      </c>
      <c r="D663" s="28" t="s">
        <v>21</v>
      </c>
      <c r="E663" s="28" t="s">
        <v>605</v>
      </c>
      <c r="F663" s="28" t="s">
        <v>606</v>
      </c>
      <c r="G663" s="28">
        <v>755.7</v>
      </c>
      <c r="H663" s="28" t="s">
        <v>24</v>
      </c>
      <c r="I663" s="28" t="s">
        <v>534</v>
      </c>
      <c r="J663" s="28" t="s">
        <v>365</v>
      </c>
      <c r="K663" s="28" t="s">
        <v>366</v>
      </c>
      <c r="L663" s="28" t="s">
        <v>240</v>
      </c>
      <c r="M663" s="28" t="s">
        <v>27</v>
      </c>
      <c r="N663" s="28" t="s">
        <v>28</v>
      </c>
      <c r="O663" s="29">
        <v>24838</v>
      </c>
      <c r="P663" s="28"/>
      <c r="Q663" s="28"/>
      <c r="R663" s="28">
        <v>702</v>
      </c>
      <c r="S663" s="28" t="s">
        <v>29</v>
      </c>
    </row>
    <row r="664" spans="1:19" ht="29.25">
      <c r="A664" s="24">
        <v>22700</v>
      </c>
      <c r="B664" s="24" t="s">
        <v>20</v>
      </c>
      <c r="C664" s="24" t="s">
        <v>21</v>
      </c>
      <c r="D664" s="24" t="s">
        <v>30</v>
      </c>
      <c r="E664" s="24" t="s">
        <v>2529</v>
      </c>
      <c r="F664" s="24" t="s">
        <v>2530</v>
      </c>
      <c r="G664" s="24">
        <v>510</v>
      </c>
      <c r="H664" s="24" t="s">
        <v>24</v>
      </c>
      <c r="I664" s="24" t="s">
        <v>534</v>
      </c>
      <c r="J664" s="24" t="s">
        <v>365</v>
      </c>
      <c r="K664" s="24" t="s">
        <v>705</v>
      </c>
      <c r="L664" s="24" t="s">
        <v>240</v>
      </c>
      <c r="M664" s="24" t="s">
        <v>27</v>
      </c>
      <c r="N664" s="24" t="s">
        <v>28</v>
      </c>
      <c r="O664" s="25">
        <v>37438</v>
      </c>
      <c r="P664" s="24"/>
      <c r="Q664" s="24"/>
      <c r="R664" s="24">
        <v>541</v>
      </c>
      <c r="S664" s="24" t="s">
        <v>29</v>
      </c>
    </row>
    <row r="665" spans="1:19">
      <c r="A665" s="26">
        <v>22701</v>
      </c>
      <c r="B665" s="26" t="s">
        <v>20</v>
      </c>
      <c r="C665" s="26" t="s">
        <v>21</v>
      </c>
      <c r="D665" s="26" t="s">
        <v>21</v>
      </c>
      <c r="E665" s="26" t="s">
        <v>2531</v>
      </c>
      <c r="F665" s="26" t="s">
        <v>2532</v>
      </c>
      <c r="G665" s="26">
        <v>176</v>
      </c>
      <c r="H665" s="26" t="s">
        <v>24</v>
      </c>
      <c r="I665" s="26" t="s">
        <v>534</v>
      </c>
      <c r="J665" s="26" t="s">
        <v>365</v>
      </c>
      <c r="K665" s="26" t="s">
        <v>580</v>
      </c>
      <c r="L665" s="26" t="s">
        <v>240</v>
      </c>
      <c r="M665" s="26" t="s">
        <v>27</v>
      </c>
      <c r="N665" s="26" t="s">
        <v>28</v>
      </c>
      <c r="O665" s="27">
        <v>37438</v>
      </c>
      <c r="P665" s="26"/>
      <c r="Q665" s="26"/>
      <c r="R665" s="26">
        <v>170</v>
      </c>
      <c r="S665" s="26" t="s">
        <v>29</v>
      </c>
    </row>
    <row r="666" spans="1:19">
      <c r="A666" s="26">
        <v>22702</v>
      </c>
      <c r="B666" s="26" t="s">
        <v>20</v>
      </c>
      <c r="C666" s="26" t="s">
        <v>21</v>
      </c>
      <c r="D666" s="26" t="s">
        <v>21</v>
      </c>
      <c r="E666" s="26" t="s">
        <v>2533</v>
      </c>
      <c r="F666" s="26" t="s">
        <v>2534</v>
      </c>
      <c r="G666" s="26">
        <v>176</v>
      </c>
      <c r="H666" s="26" t="s">
        <v>24</v>
      </c>
      <c r="I666" s="26" t="s">
        <v>534</v>
      </c>
      <c r="J666" s="26" t="s">
        <v>365</v>
      </c>
      <c r="K666" s="26" t="s">
        <v>580</v>
      </c>
      <c r="L666" s="26" t="s">
        <v>240</v>
      </c>
      <c r="M666" s="26" t="s">
        <v>27</v>
      </c>
      <c r="N666" s="26" t="s">
        <v>28</v>
      </c>
      <c r="O666" s="27">
        <v>37438</v>
      </c>
      <c r="P666" s="26"/>
      <c r="Q666" s="26"/>
      <c r="R666" s="26">
        <v>170</v>
      </c>
      <c r="S666" s="26" t="s">
        <v>29</v>
      </c>
    </row>
    <row r="667" spans="1:19">
      <c r="A667" s="26">
        <v>22703</v>
      </c>
      <c r="B667" s="26" t="s">
        <v>20</v>
      </c>
      <c r="C667" s="26" t="s">
        <v>21</v>
      </c>
      <c r="D667" s="26" t="s">
        <v>21</v>
      </c>
      <c r="E667" s="26" t="s">
        <v>2535</v>
      </c>
      <c r="F667" s="26" t="s">
        <v>2536</v>
      </c>
      <c r="G667" s="26">
        <v>198</v>
      </c>
      <c r="H667" s="26" t="s">
        <v>24</v>
      </c>
      <c r="I667" s="26" t="s">
        <v>534</v>
      </c>
      <c r="J667" s="26" t="s">
        <v>365</v>
      </c>
      <c r="K667" s="26" t="s">
        <v>366</v>
      </c>
      <c r="L667" s="26" t="s">
        <v>712</v>
      </c>
      <c r="M667" s="26" t="s">
        <v>27</v>
      </c>
      <c r="N667" s="26" t="s">
        <v>28</v>
      </c>
      <c r="O667" s="27">
        <v>37438</v>
      </c>
      <c r="P667" s="26"/>
      <c r="Q667" s="26"/>
      <c r="R667" s="26">
        <v>190</v>
      </c>
      <c r="S667" s="26" t="s">
        <v>29</v>
      </c>
    </row>
    <row r="668" spans="1:19" ht="29.25">
      <c r="A668" s="24">
        <v>22800</v>
      </c>
      <c r="B668" s="24" t="s">
        <v>20</v>
      </c>
      <c r="C668" s="24" t="s">
        <v>21</v>
      </c>
      <c r="D668" s="24" t="s">
        <v>30</v>
      </c>
      <c r="E668" s="24" t="s">
        <v>2537</v>
      </c>
      <c r="F668" s="24" t="s">
        <v>2538</v>
      </c>
      <c r="G668" s="24">
        <v>510</v>
      </c>
      <c r="H668" s="24" t="s">
        <v>24</v>
      </c>
      <c r="I668" s="24" t="s">
        <v>534</v>
      </c>
      <c r="J668" s="24" t="s">
        <v>365</v>
      </c>
      <c r="K668" s="24" t="s">
        <v>705</v>
      </c>
      <c r="L668" s="24" t="s">
        <v>240</v>
      </c>
      <c r="M668" s="24" t="s">
        <v>27</v>
      </c>
      <c r="N668" s="24" t="s">
        <v>28</v>
      </c>
      <c r="O668" s="25">
        <v>37448</v>
      </c>
      <c r="P668" s="24"/>
      <c r="Q668" s="24"/>
      <c r="R668" s="24">
        <v>541</v>
      </c>
      <c r="S668" s="24" t="s">
        <v>29</v>
      </c>
    </row>
    <row r="669" spans="1:19">
      <c r="A669" s="26">
        <v>22801</v>
      </c>
      <c r="B669" s="26" t="s">
        <v>20</v>
      </c>
      <c r="C669" s="26" t="s">
        <v>21</v>
      </c>
      <c r="D669" s="26" t="s">
        <v>21</v>
      </c>
      <c r="E669" s="26" t="s">
        <v>2539</v>
      </c>
      <c r="F669" s="26" t="s">
        <v>2540</v>
      </c>
      <c r="G669" s="26">
        <v>176</v>
      </c>
      <c r="H669" s="26" t="s">
        <v>24</v>
      </c>
      <c r="I669" s="26" t="s">
        <v>534</v>
      </c>
      <c r="J669" s="26" t="s">
        <v>365</v>
      </c>
      <c r="K669" s="26" t="s">
        <v>580</v>
      </c>
      <c r="L669" s="26" t="s">
        <v>240</v>
      </c>
      <c r="M669" s="26" t="s">
        <v>27</v>
      </c>
      <c r="N669" s="26" t="s">
        <v>28</v>
      </c>
      <c r="O669" s="27">
        <v>37448</v>
      </c>
      <c r="P669" s="26"/>
      <c r="Q669" s="26"/>
      <c r="R669" s="26">
        <v>170</v>
      </c>
      <c r="S669" s="26" t="s">
        <v>29</v>
      </c>
    </row>
    <row r="670" spans="1:19">
      <c r="A670" s="26">
        <v>22802</v>
      </c>
      <c r="B670" s="26" t="s">
        <v>20</v>
      </c>
      <c r="C670" s="26" t="s">
        <v>21</v>
      </c>
      <c r="D670" s="26" t="s">
        <v>21</v>
      </c>
      <c r="E670" s="26" t="s">
        <v>2541</v>
      </c>
      <c r="F670" s="26" t="s">
        <v>2542</v>
      </c>
      <c r="G670" s="26">
        <v>176</v>
      </c>
      <c r="H670" s="26" t="s">
        <v>24</v>
      </c>
      <c r="I670" s="26" t="s">
        <v>534</v>
      </c>
      <c r="J670" s="26" t="s">
        <v>365</v>
      </c>
      <c r="K670" s="26" t="s">
        <v>580</v>
      </c>
      <c r="L670" s="26" t="s">
        <v>240</v>
      </c>
      <c r="M670" s="26" t="s">
        <v>27</v>
      </c>
      <c r="N670" s="26" t="s">
        <v>28</v>
      </c>
      <c r="O670" s="27">
        <v>37448</v>
      </c>
      <c r="P670" s="26"/>
      <c r="Q670" s="26"/>
      <c r="R670" s="26">
        <v>170</v>
      </c>
      <c r="S670" s="26" t="s">
        <v>29</v>
      </c>
    </row>
    <row r="671" spans="1:19">
      <c r="A671" s="26">
        <v>22803</v>
      </c>
      <c r="B671" s="26" t="s">
        <v>20</v>
      </c>
      <c r="C671" s="26" t="s">
        <v>21</v>
      </c>
      <c r="D671" s="26" t="s">
        <v>21</v>
      </c>
      <c r="E671" s="26" t="s">
        <v>2543</v>
      </c>
      <c r="F671" s="26" t="s">
        <v>2544</v>
      </c>
      <c r="G671" s="26">
        <v>198</v>
      </c>
      <c r="H671" s="26" t="s">
        <v>24</v>
      </c>
      <c r="I671" s="26" t="s">
        <v>534</v>
      </c>
      <c r="J671" s="26" t="s">
        <v>365</v>
      </c>
      <c r="K671" s="26" t="s">
        <v>366</v>
      </c>
      <c r="L671" s="26" t="s">
        <v>712</v>
      </c>
      <c r="M671" s="26" t="s">
        <v>27</v>
      </c>
      <c r="N671" s="26" t="s">
        <v>28</v>
      </c>
      <c r="O671" s="27">
        <v>37448</v>
      </c>
      <c r="P671" s="26"/>
      <c r="Q671" s="26"/>
      <c r="R671" s="26">
        <v>190</v>
      </c>
      <c r="S671" s="26" t="s">
        <v>29</v>
      </c>
    </row>
    <row r="672" spans="1:19">
      <c r="A672" s="28">
        <v>22900</v>
      </c>
      <c r="B672" s="28" t="s">
        <v>20</v>
      </c>
      <c r="C672" s="28" t="s">
        <v>21</v>
      </c>
      <c r="D672" s="28" t="s">
        <v>21</v>
      </c>
      <c r="E672" s="28" t="s">
        <v>2304</v>
      </c>
      <c r="F672" s="28" t="s">
        <v>2305</v>
      </c>
      <c r="G672" s="28">
        <v>44.4</v>
      </c>
      <c r="H672" s="28" t="s">
        <v>5</v>
      </c>
      <c r="I672" s="28" t="s">
        <v>2306</v>
      </c>
      <c r="J672" s="28" t="s">
        <v>781</v>
      </c>
      <c r="K672" s="28" t="s">
        <v>781</v>
      </c>
      <c r="L672" s="28" t="s">
        <v>781</v>
      </c>
      <c r="M672" s="28" t="s">
        <v>38</v>
      </c>
      <c r="N672" s="28" t="s">
        <v>39</v>
      </c>
      <c r="O672" s="29">
        <v>36974</v>
      </c>
      <c r="P672" s="28"/>
      <c r="Q672" s="28"/>
      <c r="R672" s="28">
        <v>44.4</v>
      </c>
      <c r="S672" s="28" t="s">
        <v>29</v>
      </c>
    </row>
    <row r="673" spans="1:19">
      <c r="A673" s="28">
        <v>23000</v>
      </c>
      <c r="B673" s="28" t="s">
        <v>20</v>
      </c>
      <c r="C673" s="28" t="s">
        <v>21</v>
      </c>
      <c r="D673" s="28" t="s">
        <v>21</v>
      </c>
      <c r="E673" s="28" t="s">
        <v>2459</v>
      </c>
      <c r="F673" s="28" t="s">
        <v>2460</v>
      </c>
      <c r="G673" s="28">
        <v>22.2</v>
      </c>
      <c r="H673" s="28" t="s">
        <v>5</v>
      </c>
      <c r="I673" s="28" t="s">
        <v>2461</v>
      </c>
      <c r="J673" s="28" t="s">
        <v>781</v>
      </c>
      <c r="K673" s="28" t="s">
        <v>781</v>
      </c>
      <c r="L673" s="28" t="s">
        <v>781</v>
      </c>
      <c r="M673" s="28" t="s">
        <v>38</v>
      </c>
      <c r="N673" s="28" t="s">
        <v>39</v>
      </c>
      <c r="O673" s="29">
        <v>37151</v>
      </c>
      <c r="P673" s="28"/>
      <c r="Q673" s="28"/>
      <c r="R673" s="28">
        <v>22.2</v>
      </c>
      <c r="S673" s="28" t="s">
        <v>29</v>
      </c>
    </row>
    <row r="674" spans="1:19" ht="29.25">
      <c r="A674" s="28">
        <v>89100</v>
      </c>
      <c r="B674" s="28" t="s">
        <v>20</v>
      </c>
      <c r="C674" s="28" t="s">
        <v>21</v>
      </c>
      <c r="D674" s="28" t="s">
        <v>21</v>
      </c>
      <c r="E674" s="28" t="s">
        <v>2663</v>
      </c>
      <c r="F674" s="28" t="s">
        <v>2664</v>
      </c>
      <c r="G674" s="28">
        <v>22.44</v>
      </c>
      <c r="H674" s="28" t="s">
        <v>5</v>
      </c>
      <c r="I674" s="28" t="s">
        <v>2665</v>
      </c>
      <c r="J674" s="28" t="s">
        <v>781</v>
      </c>
      <c r="K674" s="28" t="s">
        <v>781</v>
      </c>
      <c r="L674" s="28" t="s">
        <v>781</v>
      </c>
      <c r="M674" s="28" t="s">
        <v>38</v>
      </c>
      <c r="N674" s="28" t="s">
        <v>39</v>
      </c>
      <c r="O674" s="29">
        <v>37970</v>
      </c>
      <c r="P674" s="28"/>
      <c r="Q674" s="28"/>
      <c r="R674" s="28">
        <v>22.44</v>
      </c>
      <c r="S674" s="28" t="s">
        <v>29</v>
      </c>
    </row>
    <row r="675" spans="1:19" ht="29.25">
      <c r="A675" s="28">
        <v>104600</v>
      </c>
      <c r="B675" s="28" t="s">
        <v>20</v>
      </c>
      <c r="C675" s="28" t="s">
        <v>21</v>
      </c>
      <c r="D675" s="28" t="s">
        <v>21</v>
      </c>
      <c r="E675" s="28" t="s">
        <v>3822</v>
      </c>
      <c r="F675" s="28" t="s">
        <v>3823</v>
      </c>
      <c r="G675" s="28">
        <v>49</v>
      </c>
      <c r="H675" s="28" t="s">
        <v>5</v>
      </c>
      <c r="I675" s="28" t="s">
        <v>3824</v>
      </c>
      <c r="J675" s="28" t="s">
        <v>781</v>
      </c>
      <c r="K675" s="28" t="s">
        <v>781</v>
      </c>
      <c r="L675" s="28" t="s">
        <v>781</v>
      </c>
      <c r="M675" s="28" t="s">
        <v>38</v>
      </c>
      <c r="N675" s="28" t="s">
        <v>39</v>
      </c>
      <c r="O675" s="29">
        <v>40962</v>
      </c>
      <c r="P675" s="28"/>
      <c r="Q675" s="28"/>
      <c r="R675" s="28">
        <v>49</v>
      </c>
      <c r="S675" s="28" t="s">
        <v>29</v>
      </c>
    </row>
    <row r="676" spans="1:19">
      <c r="A676" s="28">
        <v>23200</v>
      </c>
      <c r="B676" s="28" t="s">
        <v>20</v>
      </c>
      <c r="C676" s="28" t="s">
        <v>21</v>
      </c>
      <c r="D676" s="28" t="s">
        <v>21</v>
      </c>
      <c r="E676" s="28" t="s">
        <v>634</v>
      </c>
      <c r="F676" s="28" t="s">
        <v>635</v>
      </c>
      <c r="G676" s="28">
        <v>55</v>
      </c>
      <c r="H676" s="28" t="s">
        <v>24</v>
      </c>
      <c r="I676" s="28" t="s">
        <v>636</v>
      </c>
      <c r="J676" s="28" t="s">
        <v>25</v>
      </c>
      <c r="K676" s="28" t="s">
        <v>25</v>
      </c>
      <c r="L676" s="28" t="s">
        <v>26</v>
      </c>
      <c r="M676" s="28" t="s">
        <v>27</v>
      </c>
      <c r="N676" s="28" t="s">
        <v>28</v>
      </c>
      <c r="O676" s="29">
        <v>25204</v>
      </c>
      <c r="P676" s="28"/>
      <c r="Q676" s="28" t="s">
        <v>611</v>
      </c>
      <c r="R676" s="28">
        <v>55</v>
      </c>
      <c r="S676" s="28" t="s">
        <v>29</v>
      </c>
    </row>
    <row r="677" spans="1:19" ht="43.5">
      <c r="A677" s="28">
        <v>60000</v>
      </c>
      <c r="B677" s="28" t="s">
        <v>20</v>
      </c>
      <c r="C677" s="28" t="s">
        <v>30</v>
      </c>
      <c r="D677" s="28" t="s">
        <v>21</v>
      </c>
      <c r="E677" s="28" t="s">
        <v>2241</v>
      </c>
      <c r="F677" s="28" t="s">
        <v>2242</v>
      </c>
      <c r="G677" s="28">
        <v>2</v>
      </c>
      <c r="H677" s="28" t="s">
        <v>143</v>
      </c>
      <c r="I677" s="28" t="s">
        <v>2243</v>
      </c>
      <c r="J677" s="28" t="s">
        <v>788</v>
      </c>
      <c r="K677" s="28" t="s">
        <v>296</v>
      </c>
      <c r="L677" s="28" t="s">
        <v>888</v>
      </c>
      <c r="M677" s="28" t="s">
        <v>38</v>
      </c>
      <c r="N677" s="28" t="s">
        <v>144</v>
      </c>
      <c r="O677" s="29">
        <v>36161</v>
      </c>
      <c r="P677" s="28" t="s">
        <v>2244</v>
      </c>
      <c r="Q677" s="28"/>
      <c r="R677" s="28">
        <v>3.8</v>
      </c>
      <c r="S677" s="28" t="s">
        <v>29</v>
      </c>
    </row>
    <row r="678" spans="1:19">
      <c r="A678" s="28">
        <v>107700</v>
      </c>
      <c r="B678" s="28" t="s">
        <v>20</v>
      </c>
      <c r="C678" s="28" t="s">
        <v>21</v>
      </c>
      <c r="D678" s="28" t="s">
        <v>21</v>
      </c>
      <c r="E678" s="28" t="s">
        <v>4492</v>
      </c>
      <c r="F678" s="28" t="s">
        <v>4493</v>
      </c>
      <c r="G678" s="28">
        <v>26</v>
      </c>
      <c r="H678" s="28" t="s">
        <v>143</v>
      </c>
      <c r="I678" s="28" t="s">
        <v>4494</v>
      </c>
      <c r="J678" s="28" t="s">
        <v>1025</v>
      </c>
      <c r="K678" s="28" t="s">
        <v>2138</v>
      </c>
      <c r="L678" s="28" t="s">
        <v>1026</v>
      </c>
      <c r="M678" s="28" t="s">
        <v>193</v>
      </c>
      <c r="N678" s="28" t="s">
        <v>144</v>
      </c>
      <c r="O678" s="29">
        <v>41317</v>
      </c>
      <c r="P678" s="28"/>
      <c r="Q678" s="28"/>
      <c r="R678" s="28">
        <v>26</v>
      </c>
      <c r="S678" s="28" t="s">
        <v>29</v>
      </c>
    </row>
    <row r="679" spans="1:19">
      <c r="A679" s="28">
        <v>23300</v>
      </c>
      <c r="B679" s="28" t="s">
        <v>20</v>
      </c>
      <c r="C679" s="28" t="s">
        <v>21</v>
      </c>
      <c r="D679" s="28" t="s">
        <v>21</v>
      </c>
      <c r="E679" s="28" t="s">
        <v>313</v>
      </c>
      <c r="F679" s="28" t="s">
        <v>314</v>
      </c>
      <c r="G679" s="28">
        <v>12</v>
      </c>
      <c r="H679" s="28" t="s">
        <v>24</v>
      </c>
      <c r="I679" s="28" t="s">
        <v>4</v>
      </c>
      <c r="J679" s="28" t="s">
        <v>25</v>
      </c>
      <c r="K679" s="28" t="s">
        <v>25</v>
      </c>
      <c r="L679" s="28" t="s">
        <v>26</v>
      </c>
      <c r="M679" s="28" t="s">
        <v>27</v>
      </c>
      <c r="N679" s="28" t="s">
        <v>28</v>
      </c>
      <c r="O679" s="29">
        <v>15342</v>
      </c>
      <c r="P679" s="28"/>
      <c r="Q679" s="28" t="s">
        <v>129</v>
      </c>
      <c r="R679" s="28">
        <v>12</v>
      </c>
      <c r="S679" s="28" t="s">
        <v>29</v>
      </c>
    </row>
    <row r="680" spans="1:19">
      <c r="A680" s="28">
        <v>23400</v>
      </c>
      <c r="B680" s="28" t="s">
        <v>20</v>
      </c>
      <c r="C680" s="28" t="s">
        <v>21</v>
      </c>
      <c r="D680" s="28" t="s">
        <v>21</v>
      </c>
      <c r="E680" s="28" t="s">
        <v>1281</v>
      </c>
      <c r="F680" s="28" t="s">
        <v>1282</v>
      </c>
      <c r="G680" s="28">
        <v>12</v>
      </c>
      <c r="H680" s="28" t="s">
        <v>24</v>
      </c>
      <c r="I680" s="28" t="s">
        <v>4</v>
      </c>
      <c r="J680" s="28" t="s">
        <v>25</v>
      </c>
      <c r="K680" s="28" t="s">
        <v>25</v>
      </c>
      <c r="L680" s="28" t="s">
        <v>26</v>
      </c>
      <c r="M680" s="28" t="s">
        <v>27</v>
      </c>
      <c r="N680" s="28" t="s">
        <v>28</v>
      </c>
      <c r="O680" s="29">
        <v>31413</v>
      </c>
      <c r="P680" s="28"/>
      <c r="Q680" s="28" t="s">
        <v>129</v>
      </c>
      <c r="R680" s="28">
        <v>12</v>
      </c>
      <c r="S680" s="28" t="s">
        <v>29</v>
      </c>
    </row>
    <row r="681" spans="1:19">
      <c r="A681" s="28">
        <v>106200</v>
      </c>
      <c r="B681" s="28" t="s">
        <v>20</v>
      </c>
      <c r="C681" s="28" t="s">
        <v>21</v>
      </c>
      <c r="D681" s="28" t="s">
        <v>21</v>
      </c>
      <c r="E681" s="28" t="s">
        <v>4495</v>
      </c>
      <c r="F681" s="28" t="s">
        <v>4496</v>
      </c>
      <c r="G681" s="28">
        <v>1.5</v>
      </c>
      <c r="H681" s="28" t="s">
        <v>24</v>
      </c>
      <c r="I681" s="28" t="s">
        <v>4497</v>
      </c>
      <c r="J681" s="28" t="s">
        <v>1025</v>
      </c>
      <c r="K681" s="28" t="s">
        <v>2138</v>
      </c>
      <c r="L681" s="28" t="s">
        <v>1026</v>
      </c>
      <c r="M681" s="28" t="s">
        <v>27</v>
      </c>
      <c r="N681" s="28" t="s">
        <v>28</v>
      </c>
      <c r="O681" s="29">
        <v>41240</v>
      </c>
      <c r="P681" s="28"/>
      <c r="Q681" s="28"/>
      <c r="R681" s="28">
        <v>1.5</v>
      </c>
      <c r="S681" s="28" t="s">
        <v>29</v>
      </c>
    </row>
    <row r="682" spans="1:19">
      <c r="A682" s="28">
        <v>106300</v>
      </c>
      <c r="B682" s="28" t="s">
        <v>20</v>
      </c>
      <c r="C682" s="28" t="s">
        <v>21</v>
      </c>
      <c r="D682" s="28" t="s">
        <v>21</v>
      </c>
      <c r="E682" s="28" t="s">
        <v>4495</v>
      </c>
      <c r="F682" s="28" t="s">
        <v>4496</v>
      </c>
      <c r="G682" s="28">
        <v>1.5</v>
      </c>
      <c r="H682" s="28" t="s">
        <v>24</v>
      </c>
      <c r="I682" s="28" t="s">
        <v>4497</v>
      </c>
      <c r="J682" s="28" t="s">
        <v>1025</v>
      </c>
      <c r="K682" s="28" t="s">
        <v>2138</v>
      </c>
      <c r="L682" s="28" t="s">
        <v>1026</v>
      </c>
      <c r="M682" s="28" t="s">
        <v>27</v>
      </c>
      <c r="N682" s="28" t="s">
        <v>28</v>
      </c>
      <c r="O682" s="29">
        <v>41241</v>
      </c>
      <c r="P682" s="28"/>
      <c r="Q682" s="28"/>
      <c r="R682" s="28">
        <v>1.5</v>
      </c>
      <c r="S682" s="28" t="s">
        <v>29</v>
      </c>
    </row>
    <row r="683" spans="1:19" ht="57.75">
      <c r="A683" s="28">
        <v>104300</v>
      </c>
      <c r="B683" s="28" t="s">
        <v>20</v>
      </c>
      <c r="C683" s="28" t="s">
        <v>21</v>
      </c>
      <c r="D683" s="28" t="s">
        <v>21</v>
      </c>
      <c r="E683" s="28" t="s">
        <v>3092</v>
      </c>
      <c r="F683" s="28" t="s">
        <v>3093</v>
      </c>
      <c r="G683" s="28">
        <v>2.4</v>
      </c>
      <c r="H683" s="28" t="s">
        <v>5</v>
      </c>
      <c r="I683" s="28" t="s">
        <v>3094</v>
      </c>
      <c r="J683" s="28" t="s">
        <v>1025</v>
      </c>
      <c r="K683" s="28" t="s">
        <v>2138</v>
      </c>
      <c r="L683" s="28" t="s">
        <v>1026</v>
      </c>
      <c r="M683" s="28" t="s">
        <v>38</v>
      </c>
      <c r="N683" s="28" t="s">
        <v>39</v>
      </c>
      <c r="O683" s="29">
        <v>41001</v>
      </c>
      <c r="P683" s="28" t="s">
        <v>3095</v>
      </c>
      <c r="Q683" s="28"/>
      <c r="R683" s="28">
        <v>2.5</v>
      </c>
      <c r="S683" s="28" t="s">
        <v>29</v>
      </c>
    </row>
    <row r="684" spans="1:19" ht="29.25">
      <c r="A684" s="28">
        <v>111800</v>
      </c>
      <c r="B684" s="28" t="s">
        <v>20</v>
      </c>
      <c r="C684" s="28" t="s">
        <v>21</v>
      </c>
      <c r="D684" s="28" t="s">
        <v>21</v>
      </c>
      <c r="E684" s="28" t="s">
        <v>4610</v>
      </c>
      <c r="F684" s="28" t="s">
        <v>4611</v>
      </c>
      <c r="G684" s="28">
        <v>4</v>
      </c>
      <c r="H684" s="28" t="s">
        <v>5</v>
      </c>
      <c r="I684" s="28" t="s">
        <v>4749</v>
      </c>
      <c r="J684" s="28" t="s">
        <v>1025</v>
      </c>
      <c r="K684" s="28" t="s">
        <v>2138</v>
      </c>
      <c r="L684" s="28" t="s">
        <v>1026</v>
      </c>
      <c r="M684" s="28" t="s">
        <v>38</v>
      </c>
      <c r="N684" s="28" t="s">
        <v>39</v>
      </c>
      <c r="O684" s="29">
        <v>41215</v>
      </c>
      <c r="P684" s="28"/>
      <c r="Q684" s="28"/>
      <c r="R684" s="28">
        <v>4.12</v>
      </c>
      <c r="S684" s="28" t="s">
        <v>29</v>
      </c>
    </row>
    <row r="685" spans="1:19">
      <c r="A685" s="28">
        <v>106500</v>
      </c>
      <c r="B685" s="28" t="s">
        <v>20</v>
      </c>
      <c r="C685" s="28" t="s">
        <v>21</v>
      </c>
      <c r="D685" s="28" t="s">
        <v>21</v>
      </c>
      <c r="E685" s="28" t="s">
        <v>4498</v>
      </c>
      <c r="F685" s="28" t="s">
        <v>4499</v>
      </c>
      <c r="G685" s="28">
        <v>160</v>
      </c>
      <c r="H685" s="28" t="s">
        <v>5</v>
      </c>
      <c r="I685" s="28" t="s">
        <v>4500</v>
      </c>
      <c r="J685" s="28" t="s">
        <v>781</v>
      </c>
      <c r="K685" s="28" t="s">
        <v>781</v>
      </c>
      <c r="L685" s="28" t="s">
        <v>781</v>
      </c>
      <c r="M685" s="28" t="s">
        <v>38</v>
      </c>
      <c r="N685" s="28" t="s">
        <v>39</v>
      </c>
      <c r="O685" s="29">
        <v>41250</v>
      </c>
      <c r="P685" s="28"/>
      <c r="Q685" s="28"/>
      <c r="R685" s="28">
        <v>162</v>
      </c>
      <c r="S685" s="28" t="s">
        <v>29</v>
      </c>
    </row>
    <row r="686" spans="1:19">
      <c r="A686" s="28">
        <v>23500</v>
      </c>
      <c r="B686" s="28" t="s">
        <v>20</v>
      </c>
      <c r="C686" s="28" t="s">
        <v>21</v>
      </c>
      <c r="D686" s="28" t="s">
        <v>21</v>
      </c>
      <c r="E686" s="28" t="s">
        <v>1142</v>
      </c>
      <c r="F686" s="28" t="s">
        <v>1143</v>
      </c>
      <c r="G686" s="28">
        <v>1.3</v>
      </c>
      <c r="H686" s="28" t="s">
        <v>24</v>
      </c>
      <c r="I686" s="28" t="s">
        <v>4</v>
      </c>
      <c r="J686" s="28" t="s">
        <v>25</v>
      </c>
      <c r="K686" s="28" t="s">
        <v>25</v>
      </c>
      <c r="L686" s="28" t="s">
        <v>26</v>
      </c>
      <c r="M686" s="28" t="s">
        <v>27</v>
      </c>
      <c r="N686" s="28" t="s">
        <v>28</v>
      </c>
      <c r="O686" s="29">
        <v>31048</v>
      </c>
      <c r="P686" s="28"/>
      <c r="Q686" s="28" t="s">
        <v>1144</v>
      </c>
      <c r="R686" s="28">
        <v>1.3</v>
      </c>
      <c r="S686" s="28" t="s">
        <v>29</v>
      </c>
    </row>
    <row r="687" spans="1:19">
      <c r="A687" s="28">
        <v>91000</v>
      </c>
      <c r="B687" s="28" t="s">
        <v>20</v>
      </c>
      <c r="C687" s="28" t="s">
        <v>21</v>
      </c>
      <c r="D687" s="28" t="s">
        <v>21</v>
      </c>
      <c r="E687" s="28" t="s">
        <v>2706</v>
      </c>
      <c r="F687" s="28" t="s">
        <v>2707</v>
      </c>
      <c r="G687" s="28">
        <v>60</v>
      </c>
      <c r="H687" s="28" t="s">
        <v>5</v>
      </c>
      <c r="I687" s="28" t="s">
        <v>2708</v>
      </c>
      <c r="J687" s="28" t="s">
        <v>781</v>
      </c>
      <c r="K687" s="28" t="s">
        <v>781</v>
      </c>
      <c r="L687" s="28" t="s">
        <v>781</v>
      </c>
      <c r="M687" s="28" t="s">
        <v>38</v>
      </c>
      <c r="N687" s="28" t="s">
        <v>39</v>
      </c>
      <c r="O687" s="29">
        <v>38442</v>
      </c>
      <c r="P687" s="28" t="s">
        <v>2709</v>
      </c>
      <c r="Q687" s="28"/>
      <c r="R687" s="28">
        <v>60</v>
      </c>
      <c r="S687" s="28" t="s">
        <v>29</v>
      </c>
    </row>
    <row r="688" spans="1:19" ht="43.5">
      <c r="A688" s="24">
        <v>24000</v>
      </c>
      <c r="B688" s="24" t="s">
        <v>20</v>
      </c>
      <c r="C688" s="24" t="s">
        <v>21</v>
      </c>
      <c r="D688" s="24" t="s">
        <v>30</v>
      </c>
      <c r="E688" s="24" t="s">
        <v>36</v>
      </c>
      <c r="F688" s="24" t="s">
        <v>37</v>
      </c>
      <c r="G688" s="24">
        <v>1.92</v>
      </c>
      <c r="H688" s="24" t="s">
        <v>5</v>
      </c>
      <c r="I688" s="24" t="s">
        <v>5</v>
      </c>
      <c r="J688" s="24" t="s">
        <v>25</v>
      </c>
      <c r="K688" s="24" t="s">
        <v>25</v>
      </c>
      <c r="L688" s="24" t="s">
        <v>26</v>
      </c>
      <c r="M688" s="24" t="s">
        <v>38</v>
      </c>
      <c r="N688" s="24" t="s">
        <v>39</v>
      </c>
      <c r="O688" s="25">
        <v>732</v>
      </c>
      <c r="P688" s="24" t="s">
        <v>40</v>
      </c>
      <c r="Q688" s="24"/>
      <c r="R688" s="24">
        <v>1.97</v>
      </c>
      <c r="S688" s="24" t="s">
        <v>29</v>
      </c>
    </row>
    <row r="689" spans="1:19">
      <c r="A689" s="26">
        <v>24001</v>
      </c>
      <c r="B689" s="26" t="s">
        <v>20</v>
      </c>
      <c r="C689" s="26" t="s">
        <v>21</v>
      </c>
      <c r="D689" s="26" t="s">
        <v>21</v>
      </c>
      <c r="E689" s="26"/>
      <c r="F689" s="26" t="s">
        <v>41</v>
      </c>
      <c r="G689" s="26"/>
      <c r="H689" s="26" t="s">
        <v>5</v>
      </c>
      <c r="I689" s="26" t="s">
        <v>5</v>
      </c>
      <c r="J689" s="26" t="s">
        <v>25</v>
      </c>
      <c r="K689" s="26" t="s">
        <v>25</v>
      </c>
      <c r="L689" s="26" t="s">
        <v>26</v>
      </c>
      <c r="M689" s="26" t="s">
        <v>38</v>
      </c>
      <c r="N689" s="26" t="s">
        <v>39</v>
      </c>
      <c r="O689" s="27">
        <v>732</v>
      </c>
      <c r="P689" s="26"/>
      <c r="Q689" s="26"/>
      <c r="R689" s="26">
        <v>0.3</v>
      </c>
      <c r="S689" s="26" t="s">
        <v>29</v>
      </c>
    </row>
    <row r="690" spans="1:19">
      <c r="A690" s="26">
        <v>24002</v>
      </c>
      <c r="B690" s="26" t="s">
        <v>20</v>
      </c>
      <c r="C690" s="26" t="s">
        <v>21</v>
      </c>
      <c r="D690" s="26" t="s">
        <v>21</v>
      </c>
      <c r="E690" s="26"/>
      <c r="F690" s="26" t="s">
        <v>42</v>
      </c>
      <c r="G690" s="26"/>
      <c r="H690" s="26" t="s">
        <v>5</v>
      </c>
      <c r="I690" s="26" t="s">
        <v>5</v>
      </c>
      <c r="J690" s="26" t="s">
        <v>25</v>
      </c>
      <c r="K690" s="26" t="s">
        <v>25</v>
      </c>
      <c r="L690" s="26" t="s">
        <v>26</v>
      </c>
      <c r="M690" s="26" t="s">
        <v>38</v>
      </c>
      <c r="N690" s="26" t="s">
        <v>39</v>
      </c>
      <c r="O690" s="27">
        <v>732</v>
      </c>
      <c r="P690" s="26"/>
      <c r="Q690" s="26"/>
      <c r="R690" s="26">
        <v>0.3</v>
      </c>
      <c r="S690" s="26" t="s">
        <v>29</v>
      </c>
    </row>
    <row r="691" spans="1:19">
      <c r="A691" s="26">
        <v>24006</v>
      </c>
      <c r="B691" s="26" t="s">
        <v>20</v>
      </c>
      <c r="C691" s="26" t="s">
        <v>21</v>
      </c>
      <c r="D691" s="26" t="s">
        <v>21</v>
      </c>
      <c r="E691" s="26"/>
      <c r="F691" s="26" t="s">
        <v>207</v>
      </c>
      <c r="G691" s="26"/>
      <c r="H691" s="26" t="s">
        <v>5</v>
      </c>
      <c r="I691" s="26" t="s">
        <v>5</v>
      </c>
      <c r="J691" s="26" t="s">
        <v>25</v>
      </c>
      <c r="K691" s="26" t="s">
        <v>25</v>
      </c>
      <c r="L691" s="26" t="s">
        <v>26</v>
      </c>
      <c r="M691" s="26" t="s">
        <v>38</v>
      </c>
      <c r="N691" s="26" t="s">
        <v>39</v>
      </c>
      <c r="O691" s="27">
        <v>8037</v>
      </c>
      <c r="P691" s="26"/>
      <c r="Q691" s="26"/>
      <c r="R691" s="26">
        <v>0.37</v>
      </c>
      <c r="S691" s="26" t="s">
        <v>29</v>
      </c>
    </row>
    <row r="692" spans="1:19">
      <c r="A692" s="26">
        <v>24004</v>
      </c>
      <c r="B692" s="26" t="s">
        <v>20</v>
      </c>
      <c r="C692" s="26" t="s">
        <v>21</v>
      </c>
      <c r="D692" s="26" t="s">
        <v>21</v>
      </c>
      <c r="E692" s="26"/>
      <c r="F692" s="26" t="s">
        <v>466</v>
      </c>
      <c r="G692" s="26"/>
      <c r="H692" s="26" t="s">
        <v>5</v>
      </c>
      <c r="I692" s="26" t="s">
        <v>5</v>
      </c>
      <c r="J692" s="26" t="s">
        <v>25</v>
      </c>
      <c r="K692" s="26" t="s">
        <v>25</v>
      </c>
      <c r="L692" s="26" t="s">
        <v>26</v>
      </c>
      <c r="M692" s="26" t="s">
        <v>38</v>
      </c>
      <c r="N692" s="26" t="s">
        <v>39</v>
      </c>
      <c r="O692" s="27">
        <v>23012</v>
      </c>
      <c r="P692" s="26"/>
      <c r="Q692" s="26"/>
      <c r="R692" s="26">
        <v>0.33</v>
      </c>
      <c r="S692" s="26" t="s">
        <v>29</v>
      </c>
    </row>
    <row r="693" spans="1:19">
      <c r="A693" s="26">
        <v>24005</v>
      </c>
      <c r="B693" s="26" t="s">
        <v>20</v>
      </c>
      <c r="C693" s="26" t="s">
        <v>21</v>
      </c>
      <c r="D693" s="26" t="s">
        <v>21</v>
      </c>
      <c r="E693" s="26"/>
      <c r="F693" s="26" t="s">
        <v>206</v>
      </c>
      <c r="G693" s="26"/>
      <c r="H693" s="26" t="s">
        <v>5</v>
      </c>
      <c r="I693" s="26" t="s">
        <v>5</v>
      </c>
      <c r="J693" s="26" t="s">
        <v>25</v>
      </c>
      <c r="K693" s="26" t="s">
        <v>25</v>
      </c>
      <c r="L693" s="26" t="s">
        <v>26</v>
      </c>
      <c r="M693" s="26" t="s">
        <v>38</v>
      </c>
      <c r="N693" s="26" t="s">
        <v>39</v>
      </c>
      <c r="O693" s="27">
        <v>8037</v>
      </c>
      <c r="P693" s="26"/>
      <c r="Q693" s="26"/>
      <c r="R693" s="26">
        <v>0.37</v>
      </c>
      <c r="S693" s="26" t="s">
        <v>29</v>
      </c>
    </row>
    <row r="694" spans="1:19">
      <c r="A694" s="26">
        <v>24003</v>
      </c>
      <c r="B694" s="26" t="s">
        <v>20</v>
      </c>
      <c r="C694" s="26" t="s">
        <v>21</v>
      </c>
      <c r="D694" s="26" t="s">
        <v>21</v>
      </c>
      <c r="E694" s="26"/>
      <c r="F694" s="26" t="s">
        <v>43</v>
      </c>
      <c r="G694" s="26"/>
      <c r="H694" s="26" t="s">
        <v>5</v>
      </c>
      <c r="I694" s="26" t="s">
        <v>5</v>
      </c>
      <c r="J694" s="26" t="s">
        <v>25</v>
      </c>
      <c r="K694" s="26" t="s">
        <v>25</v>
      </c>
      <c r="L694" s="26" t="s">
        <v>26</v>
      </c>
      <c r="M694" s="26" t="s">
        <v>38</v>
      </c>
      <c r="N694" s="26" t="s">
        <v>39</v>
      </c>
      <c r="O694" s="27">
        <v>732</v>
      </c>
      <c r="P694" s="26"/>
      <c r="Q694" s="26"/>
      <c r="R694" s="26">
        <v>0.3</v>
      </c>
      <c r="S694" s="26" t="s">
        <v>29</v>
      </c>
    </row>
    <row r="695" spans="1:19" ht="86.25">
      <c r="A695" s="28">
        <v>23600</v>
      </c>
      <c r="B695" s="28" t="s">
        <v>20</v>
      </c>
      <c r="C695" s="28" t="s">
        <v>21</v>
      </c>
      <c r="D695" s="28" t="s">
        <v>21</v>
      </c>
      <c r="E695" s="28" t="s">
        <v>725</v>
      </c>
      <c r="F695" s="28" t="s">
        <v>726</v>
      </c>
      <c r="G695" s="28">
        <v>55</v>
      </c>
      <c r="H695" s="28" t="s">
        <v>24</v>
      </c>
      <c r="I695" s="28" t="s">
        <v>727</v>
      </c>
      <c r="J695" s="28" t="s">
        <v>295</v>
      </c>
      <c r="K695" s="28" t="s">
        <v>580</v>
      </c>
      <c r="L695" s="28" t="s">
        <v>297</v>
      </c>
      <c r="M695" s="28" t="s">
        <v>27</v>
      </c>
      <c r="N695" s="28" t="s">
        <v>28</v>
      </c>
      <c r="O695" s="29">
        <v>28491</v>
      </c>
      <c r="P695" s="28" t="s">
        <v>728</v>
      </c>
      <c r="Q695" s="28"/>
      <c r="R695" s="28">
        <v>74.5</v>
      </c>
      <c r="S695" s="28" t="s">
        <v>29</v>
      </c>
    </row>
    <row r="696" spans="1:19" ht="114.75">
      <c r="A696" s="28">
        <v>23700</v>
      </c>
      <c r="B696" s="28" t="s">
        <v>20</v>
      </c>
      <c r="C696" s="28" t="s">
        <v>21</v>
      </c>
      <c r="D696" s="28" t="s">
        <v>21</v>
      </c>
      <c r="E696" s="28" t="s">
        <v>729</v>
      </c>
      <c r="F696" s="28" t="s">
        <v>730</v>
      </c>
      <c r="G696" s="28">
        <v>55</v>
      </c>
      <c r="H696" s="28" t="s">
        <v>24</v>
      </c>
      <c r="I696" s="28" t="s">
        <v>727</v>
      </c>
      <c r="J696" s="28" t="s">
        <v>295</v>
      </c>
      <c r="K696" s="28" t="s">
        <v>580</v>
      </c>
      <c r="L696" s="28" t="s">
        <v>297</v>
      </c>
      <c r="M696" s="28" t="s">
        <v>27</v>
      </c>
      <c r="N696" s="28" t="s">
        <v>28</v>
      </c>
      <c r="O696" s="29">
        <v>28491</v>
      </c>
      <c r="P696" s="28" t="s">
        <v>731</v>
      </c>
      <c r="Q696" s="28"/>
      <c r="R696" s="28">
        <v>74.5</v>
      </c>
      <c r="S696" s="28" t="s">
        <v>29</v>
      </c>
    </row>
    <row r="697" spans="1:19" ht="114.75">
      <c r="A697" s="28">
        <v>23800</v>
      </c>
      <c r="B697" s="28" t="s">
        <v>20</v>
      </c>
      <c r="C697" s="28" t="s">
        <v>21</v>
      </c>
      <c r="D697" s="28" t="s">
        <v>21</v>
      </c>
      <c r="E697" s="28" t="s">
        <v>732</v>
      </c>
      <c r="F697" s="28" t="s">
        <v>733</v>
      </c>
      <c r="G697" s="28">
        <v>55</v>
      </c>
      <c r="H697" s="28" t="s">
        <v>24</v>
      </c>
      <c r="I697" s="28" t="s">
        <v>727</v>
      </c>
      <c r="J697" s="28" t="s">
        <v>295</v>
      </c>
      <c r="K697" s="28" t="s">
        <v>580</v>
      </c>
      <c r="L697" s="28" t="s">
        <v>297</v>
      </c>
      <c r="M697" s="28" t="s">
        <v>27</v>
      </c>
      <c r="N697" s="28" t="s">
        <v>28</v>
      </c>
      <c r="O697" s="29">
        <v>28491</v>
      </c>
      <c r="P697" s="28" t="s">
        <v>734</v>
      </c>
      <c r="Q697" s="28"/>
      <c r="R697" s="28">
        <v>74.5</v>
      </c>
      <c r="S697" s="28" t="s">
        <v>29</v>
      </c>
    </row>
    <row r="698" spans="1:19">
      <c r="A698" s="28">
        <v>110900</v>
      </c>
      <c r="B698" s="28" t="s">
        <v>20</v>
      </c>
      <c r="C698" s="28" t="s">
        <v>21</v>
      </c>
      <c r="D698" s="28" t="s">
        <v>21</v>
      </c>
      <c r="E698" s="28" t="s">
        <v>4750</v>
      </c>
      <c r="F698" s="28" t="s">
        <v>4751</v>
      </c>
      <c r="G698" s="28">
        <v>1.5</v>
      </c>
      <c r="H698" s="28" t="s">
        <v>24</v>
      </c>
      <c r="I698" s="28" t="s">
        <v>4752</v>
      </c>
      <c r="J698" s="28" t="s">
        <v>1025</v>
      </c>
      <c r="K698" s="28" t="s">
        <v>2138</v>
      </c>
      <c r="L698" s="28" t="s">
        <v>1026</v>
      </c>
      <c r="M698" s="28" t="s">
        <v>27</v>
      </c>
      <c r="N698" s="28" t="s">
        <v>28</v>
      </c>
      <c r="O698" s="29">
        <v>41437</v>
      </c>
      <c r="P698" s="28"/>
      <c r="Q698" s="28"/>
      <c r="R698" s="28">
        <v>1.5</v>
      </c>
      <c r="S698" s="28" t="s">
        <v>29</v>
      </c>
    </row>
    <row r="699" spans="1:19">
      <c r="A699" s="28">
        <v>112500</v>
      </c>
      <c r="B699" s="28" t="s">
        <v>20</v>
      </c>
      <c r="C699" s="28" t="s">
        <v>21</v>
      </c>
      <c r="D699" s="28" t="s">
        <v>21</v>
      </c>
      <c r="E699" s="28" t="s">
        <v>4639</v>
      </c>
      <c r="F699" s="28" t="s">
        <v>4640</v>
      </c>
      <c r="G699" s="28">
        <v>265</v>
      </c>
      <c r="H699" s="28" t="s">
        <v>143</v>
      </c>
      <c r="I699" s="28" t="s">
        <v>4753</v>
      </c>
      <c r="J699" s="28" t="s">
        <v>781</v>
      </c>
      <c r="K699" s="28" t="s">
        <v>781</v>
      </c>
      <c r="L699" s="28" t="s">
        <v>781</v>
      </c>
      <c r="M699" s="28" t="s">
        <v>38</v>
      </c>
      <c r="N699" s="28" t="s">
        <v>144</v>
      </c>
      <c r="O699" s="29">
        <v>41484</v>
      </c>
      <c r="P699" s="28"/>
      <c r="Q699" s="28"/>
      <c r="R699" s="28">
        <v>265</v>
      </c>
      <c r="S699" s="28" t="s">
        <v>29</v>
      </c>
    </row>
    <row r="700" spans="1:19">
      <c r="A700" s="28">
        <v>96200</v>
      </c>
      <c r="B700" s="28" t="s">
        <v>20</v>
      </c>
      <c r="C700" s="28" t="s">
        <v>30</v>
      </c>
      <c r="D700" s="28" t="s">
        <v>21</v>
      </c>
      <c r="E700" s="28" t="s">
        <v>2493</v>
      </c>
      <c r="F700" s="28" t="s">
        <v>2494</v>
      </c>
      <c r="G700" s="28">
        <v>5.6</v>
      </c>
      <c r="H700" s="28" t="s">
        <v>5</v>
      </c>
      <c r="I700" s="28" t="s">
        <v>2495</v>
      </c>
      <c r="J700" s="28" t="s">
        <v>788</v>
      </c>
      <c r="K700" s="28" t="s">
        <v>296</v>
      </c>
      <c r="L700" s="28" t="s">
        <v>888</v>
      </c>
      <c r="M700" s="28" t="s">
        <v>38</v>
      </c>
      <c r="N700" s="28" t="s">
        <v>39</v>
      </c>
      <c r="O700" s="29">
        <v>37377</v>
      </c>
      <c r="P700" s="28"/>
      <c r="Q700" s="28"/>
      <c r="R700" s="28">
        <v>5.63</v>
      </c>
      <c r="S700" s="28" t="s">
        <v>29</v>
      </c>
    </row>
    <row r="701" spans="1:19" ht="29.25">
      <c r="A701" s="28">
        <v>102100</v>
      </c>
      <c r="B701" s="28" t="s">
        <v>20</v>
      </c>
      <c r="C701" s="28" t="s">
        <v>21</v>
      </c>
      <c r="D701" s="28" t="s">
        <v>21</v>
      </c>
      <c r="E701" s="28" t="s">
        <v>3019</v>
      </c>
      <c r="F701" s="28" t="s">
        <v>3020</v>
      </c>
      <c r="G701" s="28">
        <v>5</v>
      </c>
      <c r="H701" s="28" t="s">
        <v>5</v>
      </c>
      <c r="I701" s="28" t="s">
        <v>3021</v>
      </c>
      <c r="J701" s="28" t="s">
        <v>1025</v>
      </c>
      <c r="K701" s="28" t="s">
        <v>2138</v>
      </c>
      <c r="L701" s="28" t="s">
        <v>1026</v>
      </c>
      <c r="M701" s="28" t="s">
        <v>38</v>
      </c>
      <c r="N701" s="28" t="s">
        <v>39</v>
      </c>
      <c r="O701" s="29">
        <v>40780</v>
      </c>
      <c r="P701" s="28" t="s">
        <v>3022</v>
      </c>
      <c r="Q701" s="28"/>
      <c r="R701" s="28">
        <v>5.5</v>
      </c>
      <c r="S701" s="28" t="s">
        <v>29</v>
      </c>
    </row>
    <row r="702" spans="1:19" ht="29.25">
      <c r="A702" s="24">
        <v>99200</v>
      </c>
      <c r="B702" s="24" t="s">
        <v>20</v>
      </c>
      <c r="C702" s="24" t="s">
        <v>21</v>
      </c>
      <c r="D702" s="24" t="s">
        <v>30</v>
      </c>
      <c r="E702" s="24" t="s">
        <v>2942</v>
      </c>
      <c r="F702" s="24" t="s">
        <v>2943</v>
      </c>
      <c r="G702" s="24">
        <v>99.9</v>
      </c>
      <c r="H702" s="24" t="s">
        <v>143</v>
      </c>
      <c r="I702" s="24" t="s">
        <v>2944</v>
      </c>
      <c r="J702" s="24" t="s">
        <v>295</v>
      </c>
      <c r="K702" s="24" t="s">
        <v>580</v>
      </c>
      <c r="L702" s="24" t="s">
        <v>240</v>
      </c>
      <c r="M702" s="24" t="s">
        <v>38</v>
      </c>
      <c r="N702" s="24" t="s">
        <v>144</v>
      </c>
      <c r="O702" s="25">
        <v>40346</v>
      </c>
      <c r="P702" s="24" t="s">
        <v>2945</v>
      </c>
      <c r="Q702" s="24"/>
      <c r="R702" s="24">
        <v>100</v>
      </c>
      <c r="S702" s="24" t="s">
        <v>29</v>
      </c>
    </row>
    <row r="703" spans="1:19">
      <c r="A703" s="28">
        <v>24100</v>
      </c>
      <c r="B703" s="28" t="s">
        <v>20</v>
      </c>
      <c r="C703" s="28" t="s">
        <v>21</v>
      </c>
      <c r="D703" s="28" t="s">
        <v>21</v>
      </c>
      <c r="E703" s="28" t="s">
        <v>649</v>
      </c>
      <c r="F703" s="28" t="s">
        <v>650</v>
      </c>
      <c r="G703" s="28">
        <v>741.27</v>
      </c>
      <c r="H703" s="28" t="s">
        <v>5</v>
      </c>
      <c r="I703" s="28" t="s">
        <v>651</v>
      </c>
      <c r="J703" s="28" t="s">
        <v>365</v>
      </c>
      <c r="K703" s="28" t="s">
        <v>366</v>
      </c>
      <c r="L703" s="28" t="s">
        <v>240</v>
      </c>
      <c r="M703" s="28" t="s">
        <v>38</v>
      </c>
      <c r="N703" s="28" t="s">
        <v>39</v>
      </c>
      <c r="O703" s="29">
        <v>25934</v>
      </c>
      <c r="P703" s="28"/>
      <c r="Q703" s="28"/>
      <c r="R703" s="28">
        <v>750</v>
      </c>
      <c r="S703" s="28" t="s">
        <v>29</v>
      </c>
    </row>
    <row r="704" spans="1:19">
      <c r="A704" s="28">
        <v>24200</v>
      </c>
      <c r="B704" s="28" t="s">
        <v>20</v>
      </c>
      <c r="C704" s="28" t="s">
        <v>21</v>
      </c>
      <c r="D704" s="28" t="s">
        <v>21</v>
      </c>
      <c r="E704" s="28" t="s">
        <v>652</v>
      </c>
      <c r="F704" s="28" t="s">
        <v>653</v>
      </c>
      <c r="G704" s="28">
        <v>775</v>
      </c>
      <c r="H704" s="28" t="s">
        <v>5</v>
      </c>
      <c r="I704" s="28" t="s">
        <v>651</v>
      </c>
      <c r="J704" s="28" t="s">
        <v>365</v>
      </c>
      <c r="K704" s="28" t="s">
        <v>366</v>
      </c>
      <c r="L704" s="28" t="s">
        <v>240</v>
      </c>
      <c r="M704" s="28" t="s">
        <v>38</v>
      </c>
      <c r="N704" s="28" t="s">
        <v>39</v>
      </c>
      <c r="O704" s="29">
        <v>25934</v>
      </c>
      <c r="P704" s="28"/>
      <c r="Q704" s="28"/>
      <c r="R704" s="28">
        <v>750</v>
      </c>
      <c r="S704" s="28" t="s">
        <v>29</v>
      </c>
    </row>
    <row r="705" spans="1:19">
      <c r="A705" s="28">
        <v>94500</v>
      </c>
      <c r="B705" s="28" t="s">
        <v>20</v>
      </c>
      <c r="C705" s="28" t="s">
        <v>21</v>
      </c>
      <c r="D705" s="28" t="s">
        <v>21</v>
      </c>
      <c r="E705" s="28" t="s">
        <v>2835</v>
      </c>
      <c r="F705" s="28" t="s">
        <v>2836</v>
      </c>
      <c r="G705" s="28">
        <v>3.75</v>
      </c>
      <c r="H705" s="28" t="s">
        <v>143</v>
      </c>
      <c r="I705" s="28" t="s">
        <v>2837</v>
      </c>
      <c r="J705" s="28" t="s">
        <v>788</v>
      </c>
      <c r="K705" s="28" t="s">
        <v>296</v>
      </c>
      <c r="L705" s="28" t="s">
        <v>888</v>
      </c>
      <c r="M705" s="28" t="s">
        <v>38</v>
      </c>
      <c r="N705" s="28" t="s">
        <v>144</v>
      </c>
      <c r="O705" s="29">
        <v>39149</v>
      </c>
      <c r="P705" s="28"/>
      <c r="Q705" s="28"/>
      <c r="R705" s="28">
        <v>3.75</v>
      </c>
      <c r="S705" s="28" t="s">
        <v>29</v>
      </c>
    </row>
    <row r="706" spans="1:19">
      <c r="A706" s="28">
        <v>98000</v>
      </c>
      <c r="B706" s="28" t="s">
        <v>20</v>
      </c>
      <c r="C706" s="28" t="s">
        <v>21</v>
      </c>
      <c r="D706" s="28" t="s">
        <v>21</v>
      </c>
      <c r="E706" s="28" t="s">
        <v>2914</v>
      </c>
      <c r="F706" s="28" t="s">
        <v>2915</v>
      </c>
      <c r="G706" s="28">
        <v>603.67999999999995</v>
      </c>
      <c r="H706" s="28" t="s">
        <v>143</v>
      </c>
      <c r="I706" s="28" t="s">
        <v>2916</v>
      </c>
      <c r="J706" s="28" t="s">
        <v>365</v>
      </c>
      <c r="K706" s="28" t="s">
        <v>705</v>
      </c>
      <c r="L706" s="28" t="s">
        <v>240</v>
      </c>
      <c r="M706" s="28" t="s">
        <v>38</v>
      </c>
      <c r="N706" s="28" t="s">
        <v>144</v>
      </c>
      <c r="O706" s="29">
        <v>40089</v>
      </c>
      <c r="P706" s="28"/>
      <c r="Q706" s="28"/>
      <c r="R706" s="28">
        <v>669</v>
      </c>
      <c r="S706" s="28" t="s">
        <v>29</v>
      </c>
    </row>
    <row r="707" spans="1:19" ht="43.5">
      <c r="A707" s="28">
        <v>97200</v>
      </c>
      <c r="B707" s="28" t="s">
        <v>20</v>
      </c>
      <c r="C707" s="28" t="s">
        <v>21</v>
      </c>
      <c r="D707" s="28" t="s">
        <v>21</v>
      </c>
      <c r="E707" s="28" t="s">
        <v>2885</v>
      </c>
      <c r="F707" s="28" t="s">
        <v>2886</v>
      </c>
      <c r="G707" s="28">
        <v>10.62</v>
      </c>
      <c r="H707" s="28" t="s">
        <v>24</v>
      </c>
      <c r="I707" s="28" t="s">
        <v>2887</v>
      </c>
      <c r="J707" s="28" t="s">
        <v>788</v>
      </c>
      <c r="K707" s="28" t="s">
        <v>296</v>
      </c>
      <c r="L707" s="28" t="s">
        <v>888</v>
      </c>
      <c r="M707" s="28" t="s">
        <v>27</v>
      </c>
      <c r="N707" s="28" t="s">
        <v>28</v>
      </c>
      <c r="O707" s="29">
        <v>39904</v>
      </c>
      <c r="P707" s="28" t="s">
        <v>2888</v>
      </c>
      <c r="Q707" s="28"/>
      <c r="R707" s="28">
        <v>11.4</v>
      </c>
      <c r="S707" s="28" t="s">
        <v>29</v>
      </c>
    </row>
    <row r="708" spans="1:19">
      <c r="A708" s="28">
        <v>24300</v>
      </c>
      <c r="B708" s="28" t="s">
        <v>20</v>
      </c>
      <c r="C708" s="28" t="s">
        <v>21</v>
      </c>
      <c r="D708" s="28" t="s">
        <v>21</v>
      </c>
      <c r="E708" s="28" t="s">
        <v>524</v>
      </c>
      <c r="F708" s="28" t="s">
        <v>525</v>
      </c>
      <c r="G708" s="28">
        <v>6</v>
      </c>
      <c r="H708" s="28" t="s">
        <v>24</v>
      </c>
      <c r="I708" s="28" t="s">
        <v>512</v>
      </c>
      <c r="J708" s="28" t="s">
        <v>25</v>
      </c>
      <c r="K708" s="28" t="s">
        <v>25</v>
      </c>
      <c r="L708" s="28" t="s">
        <v>26</v>
      </c>
      <c r="M708" s="28" t="s">
        <v>27</v>
      </c>
      <c r="N708" s="28" t="s">
        <v>28</v>
      </c>
      <c r="O708" s="29">
        <v>24108</v>
      </c>
      <c r="P708" s="28"/>
      <c r="Q708" s="28" t="s">
        <v>513</v>
      </c>
      <c r="R708" s="28">
        <v>6</v>
      </c>
      <c r="S708" s="28" t="s">
        <v>29</v>
      </c>
    </row>
    <row r="709" spans="1:19">
      <c r="A709" s="28">
        <v>24400</v>
      </c>
      <c r="B709" s="28" t="s">
        <v>20</v>
      </c>
      <c r="C709" s="28" t="s">
        <v>21</v>
      </c>
      <c r="D709" s="28" t="s">
        <v>21</v>
      </c>
      <c r="E709" s="28" t="s">
        <v>3188</v>
      </c>
      <c r="F709" s="28" t="s">
        <v>3189</v>
      </c>
      <c r="G709" s="28">
        <v>2.1</v>
      </c>
      <c r="H709" s="28" t="s">
        <v>5</v>
      </c>
      <c r="I709" s="28" t="s">
        <v>3190</v>
      </c>
      <c r="J709" s="28" t="s">
        <v>781</v>
      </c>
      <c r="K709" s="28" t="s">
        <v>781</v>
      </c>
      <c r="L709" s="28" t="s">
        <v>781</v>
      </c>
      <c r="M709" s="28" t="s">
        <v>38</v>
      </c>
      <c r="N709" s="28" t="s">
        <v>39</v>
      </c>
      <c r="O709" s="28" t="s">
        <v>4687</v>
      </c>
      <c r="P709" s="28"/>
      <c r="Q709" s="28"/>
      <c r="R709" s="28">
        <v>2.1</v>
      </c>
      <c r="S709" s="28" t="s">
        <v>29</v>
      </c>
    </row>
    <row r="710" spans="1:19" ht="29.25">
      <c r="A710" s="24">
        <v>95800</v>
      </c>
      <c r="B710" s="24" t="s">
        <v>20</v>
      </c>
      <c r="C710" s="24" t="s">
        <v>21</v>
      </c>
      <c r="D710" s="24" t="s">
        <v>30</v>
      </c>
      <c r="E710" s="24" t="s">
        <v>2864</v>
      </c>
      <c r="F710" s="24" t="s">
        <v>2865</v>
      </c>
      <c r="G710" s="24">
        <v>4.5</v>
      </c>
      <c r="H710" s="24" t="s">
        <v>24</v>
      </c>
      <c r="I710" s="24" t="s">
        <v>859</v>
      </c>
      <c r="J710" s="24" t="s">
        <v>295</v>
      </c>
      <c r="K710" s="24" t="s">
        <v>296</v>
      </c>
      <c r="L710" s="24" t="s">
        <v>240</v>
      </c>
      <c r="M710" s="24" t="s">
        <v>27</v>
      </c>
      <c r="N710" s="24" t="s">
        <v>2699</v>
      </c>
      <c r="O710" s="25">
        <v>39370</v>
      </c>
      <c r="P710" s="24"/>
      <c r="Q710" s="24"/>
      <c r="R710" s="24">
        <v>5.2</v>
      </c>
      <c r="S710" s="24" t="s">
        <v>29</v>
      </c>
    </row>
    <row r="711" spans="1:19">
      <c r="A711" s="24">
        <v>93000</v>
      </c>
      <c r="B711" s="24" t="s">
        <v>20</v>
      </c>
      <c r="C711" s="24" t="s">
        <v>21</v>
      </c>
      <c r="D711" s="24" t="s">
        <v>30</v>
      </c>
      <c r="E711" s="24" t="s">
        <v>2800</v>
      </c>
      <c r="F711" s="24" t="s">
        <v>2801</v>
      </c>
      <c r="G711" s="24">
        <v>575</v>
      </c>
      <c r="H711" s="24" t="s">
        <v>143</v>
      </c>
      <c r="I711" s="24" t="s">
        <v>2747</v>
      </c>
      <c r="J711" s="24" t="s">
        <v>365</v>
      </c>
      <c r="K711" s="24" t="s">
        <v>705</v>
      </c>
      <c r="L711" s="24" t="s">
        <v>240</v>
      </c>
      <c r="M711" s="24" t="s">
        <v>38</v>
      </c>
      <c r="N711" s="24" t="s">
        <v>144</v>
      </c>
      <c r="O711" s="25">
        <v>38807</v>
      </c>
      <c r="P711" s="24"/>
      <c r="Q711" s="24"/>
      <c r="R711" s="24">
        <v>595</v>
      </c>
      <c r="S711" s="24" t="s">
        <v>29</v>
      </c>
    </row>
    <row r="712" spans="1:19" ht="29.25">
      <c r="A712" s="26">
        <v>93001</v>
      </c>
      <c r="B712" s="26" t="s">
        <v>20</v>
      </c>
      <c r="C712" s="26" t="s">
        <v>21</v>
      </c>
      <c r="D712" s="26" t="s">
        <v>21</v>
      </c>
      <c r="E712" s="26" t="s">
        <v>2802</v>
      </c>
      <c r="F712" s="26" t="s">
        <v>2803</v>
      </c>
      <c r="G712" s="26">
        <v>180.6</v>
      </c>
      <c r="H712" s="26" t="s">
        <v>143</v>
      </c>
      <c r="I712" s="26" t="s">
        <v>2747</v>
      </c>
      <c r="J712" s="26" t="s">
        <v>365</v>
      </c>
      <c r="K712" s="26" t="s">
        <v>580</v>
      </c>
      <c r="L712" s="26" t="s">
        <v>240</v>
      </c>
      <c r="M712" s="26" t="s">
        <v>38</v>
      </c>
      <c r="N712" s="26" t="s">
        <v>144</v>
      </c>
      <c r="O712" s="27">
        <v>38807</v>
      </c>
      <c r="P712" s="26"/>
      <c r="Q712" s="26"/>
      <c r="R712" s="26">
        <v>180.5</v>
      </c>
      <c r="S712" s="26" t="s">
        <v>29</v>
      </c>
    </row>
    <row r="713" spans="1:19" ht="29.25">
      <c r="A713" s="26">
        <v>93002</v>
      </c>
      <c r="B713" s="26" t="s">
        <v>20</v>
      </c>
      <c r="C713" s="26" t="s">
        <v>21</v>
      </c>
      <c r="D713" s="26" t="s">
        <v>21</v>
      </c>
      <c r="E713" s="26" t="s">
        <v>2804</v>
      </c>
      <c r="F713" s="26" t="s">
        <v>2805</v>
      </c>
      <c r="G713" s="26">
        <v>180.6</v>
      </c>
      <c r="H713" s="26" t="s">
        <v>143</v>
      </c>
      <c r="I713" s="26" t="s">
        <v>2747</v>
      </c>
      <c r="J713" s="26" t="s">
        <v>365</v>
      </c>
      <c r="K713" s="26" t="s">
        <v>580</v>
      </c>
      <c r="L713" s="26" t="s">
        <v>240</v>
      </c>
      <c r="M713" s="26" t="s">
        <v>38</v>
      </c>
      <c r="N713" s="26" t="s">
        <v>144</v>
      </c>
      <c r="O713" s="27">
        <v>38807</v>
      </c>
      <c r="P713" s="26"/>
      <c r="Q713" s="26"/>
      <c r="R713" s="26">
        <v>180.5</v>
      </c>
      <c r="S713" s="26" t="s">
        <v>29</v>
      </c>
    </row>
    <row r="714" spans="1:19" ht="29.25">
      <c r="A714" s="26">
        <v>93003</v>
      </c>
      <c r="B714" s="26" t="s">
        <v>20</v>
      </c>
      <c r="C714" s="26" t="s">
        <v>21</v>
      </c>
      <c r="D714" s="26" t="s">
        <v>21</v>
      </c>
      <c r="E714" s="26" t="s">
        <v>2806</v>
      </c>
      <c r="F714" s="26" t="s">
        <v>2807</v>
      </c>
      <c r="G714" s="26">
        <v>234.5</v>
      </c>
      <c r="H714" s="26" t="s">
        <v>143</v>
      </c>
      <c r="I714" s="26" t="s">
        <v>2747</v>
      </c>
      <c r="J714" s="26" t="s">
        <v>365</v>
      </c>
      <c r="K714" s="26" t="s">
        <v>366</v>
      </c>
      <c r="L714" s="26" t="s">
        <v>712</v>
      </c>
      <c r="M714" s="26" t="s">
        <v>38</v>
      </c>
      <c r="N714" s="26" t="s">
        <v>144</v>
      </c>
      <c r="O714" s="27">
        <v>38807</v>
      </c>
      <c r="P714" s="26"/>
      <c r="Q714" s="26"/>
      <c r="R714" s="26">
        <v>233.9</v>
      </c>
      <c r="S714" s="26" t="s">
        <v>29</v>
      </c>
    </row>
    <row r="715" spans="1:19" ht="29.25">
      <c r="A715" s="24">
        <v>24700</v>
      </c>
      <c r="B715" s="24" t="s">
        <v>20</v>
      </c>
      <c r="C715" s="24" t="s">
        <v>30</v>
      </c>
      <c r="D715" s="24" t="s">
        <v>30</v>
      </c>
      <c r="E715" s="24" t="s">
        <v>271</v>
      </c>
      <c r="F715" s="24" t="s">
        <v>272</v>
      </c>
      <c r="G715" s="24">
        <v>30</v>
      </c>
      <c r="H715" s="24" t="s">
        <v>24</v>
      </c>
      <c r="I715" s="24" t="s">
        <v>273</v>
      </c>
      <c r="J715" s="24" t="s">
        <v>25</v>
      </c>
      <c r="K715" s="24" t="s">
        <v>25</v>
      </c>
      <c r="L715" s="24" t="s">
        <v>26</v>
      </c>
      <c r="M715" s="24" t="s">
        <v>27</v>
      </c>
      <c r="N715" s="24" t="s">
        <v>28</v>
      </c>
      <c r="O715" s="25">
        <v>10959</v>
      </c>
      <c r="P715" s="24"/>
      <c r="Q715" s="24" t="s">
        <v>274</v>
      </c>
      <c r="R715" s="24">
        <v>30</v>
      </c>
      <c r="S715" s="24" t="s">
        <v>29</v>
      </c>
    </row>
    <row r="716" spans="1:19">
      <c r="A716" s="26">
        <v>24701</v>
      </c>
      <c r="B716" s="26" t="s">
        <v>20</v>
      </c>
      <c r="C716" s="26" t="s">
        <v>21</v>
      </c>
      <c r="D716" s="26" t="s">
        <v>21</v>
      </c>
      <c r="E716" s="26" t="s">
        <v>275</v>
      </c>
      <c r="F716" s="26" t="s">
        <v>276</v>
      </c>
      <c r="G716" s="26">
        <v>10</v>
      </c>
      <c r="H716" s="26" t="s">
        <v>24</v>
      </c>
      <c r="I716" s="26" t="s">
        <v>273</v>
      </c>
      <c r="J716" s="26" t="s">
        <v>25</v>
      </c>
      <c r="K716" s="26" t="s">
        <v>25</v>
      </c>
      <c r="L716" s="26" t="s">
        <v>26</v>
      </c>
      <c r="M716" s="26" t="s">
        <v>27</v>
      </c>
      <c r="N716" s="26" t="s">
        <v>28</v>
      </c>
      <c r="O716" s="27">
        <v>10959</v>
      </c>
      <c r="P716" s="26"/>
      <c r="Q716" s="26" t="s">
        <v>274</v>
      </c>
      <c r="R716" s="26">
        <v>10</v>
      </c>
      <c r="S716" s="26" t="s">
        <v>29</v>
      </c>
    </row>
    <row r="717" spans="1:19">
      <c r="A717" s="26">
        <v>24702</v>
      </c>
      <c r="B717" s="26" t="s">
        <v>20</v>
      </c>
      <c r="C717" s="26" t="s">
        <v>21</v>
      </c>
      <c r="D717" s="26" t="s">
        <v>21</v>
      </c>
      <c r="E717" s="26" t="s">
        <v>277</v>
      </c>
      <c r="F717" s="26" t="s">
        <v>278</v>
      </c>
      <c r="G717" s="26">
        <v>10</v>
      </c>
      <c r="H717" s="26" t="s">
        <v>24</v>
      </c>
      <c r="I717" s="26" t="s">
        <v>273</v>
      </c>
      <c r="J717" s="26" t="s">
        <v>25</v>
      </c>
      <c r="K717" s="26" t="s">
        <v>25</v>
      </c>
      <c r="L717" s="26" t="s">
        <v>26</v>
      </c>
      <c r="M717" s="26" t="s">
        <v>27</v>
      </c>
      <c r="N717" s="26" t="s">
        <v>28</v>
      </c>
      <c r="O717" s="27">
        <v>10959</v>
      </c>
      <c r="P717" s="26"/>
      <c r="Q717" s="26" t="s">
        <v>274</v>
      </c>
      <c r="R717" s="26">
        <v>10</v>
      </c>
      <c r="S717" s="26" t="s">
        <v>29</v>
      </c>
    </row>
    <row r="718" spans="1:19">
      <c r="A718" s="26">
        <v>24703</v>
      </c>
      <c r="B718" s="26" t="s">
        <v>20</v>
      </c>
      <c r="C718" s="26" t="s">
        <v>21</v>
      </c>
      <c r="D718" s="26" t="s">
        <v>21</v>
      </c>
      <c r="E718" s="26" t="s">
        <v>279</v>
      </c>
      <c r="F718" s="26" t="s">
        <v>280</v>
      </c>
      <c r="G718" s="26">
        <v>10</v>
      </c>
      <c r="H718" s="26" t="s">
        <v>24</v>
      </c>
      <c r="I718" s="26" t="s">
        <v>273</v>
      </c>
      <c r="J718" s="26" t="s">
        <v>25</v>
      </c>
      <c r="K718" s="26" t="s">
        <v>25</v>
      </c>
      <c r="L718" s="26" t="s">
        <v>26</v>
      </c>
      <c r="M718" s="26" t="s">
        <v>27</v>
      </c>
      <c r="N718" s="26" t="s">
        <v>28</v>
      </c>
      <c r="O718" s="27">
        <v>10959</v>
      </c>
      <c r="P718" s="26"/>
      <c r="Q718" s="26" t="s">
        <v>274</v>
      </c>
      <c r="R718" s="26">
        <v>10</v>
      </c>
      <c r="S718" s="26" t="s">
        <v>29</v>
      </c>
    </row>
    <row r="719" spans="1:19" ht="57.75">
      <c r="A719" s="24">
        <v>91700</v>
      </c>
      <c r="B719" s="24" t="s">
        <v>20</v>
      </c>
      <c r="C719" s="24" t="s">
        <v>21</v>
      </c>
      <c r="D719" s="24" t="s">
        <v>30</v>
      </c>
      <c r="E719" s="24" t="s">
        <v>2714</v>
      </c>
      <c r="F719" s="24" t="s">
        <v>2715</v>
      </c>
      <c r="G719" s="24">
        <v>750.66</v>
      </c>
      <c r="H719" s="24" t="s">
        <v>5</v>
      </c>
      <c r="I719" s="24" t="s">
        <v>2309</v>
      </c>
      <c r="J719" s="24" t="s">
        <v>365</v>
      </c>
      <c r="K719" s="24" t="s">
        <v>705</v>
      </c>
      <c r="L719" s="24" t="s">
        <v>240</v>
      </c>
      <c r="M719" s="24" t="s">
        <v>38</v>
      </c>
      <c r="N719" s="24" t="s">
        <v>39</v>
      </c>
      <c r="O719" s="25">
        <v>38476</v>
      </c>
      <c r="P719" s="24" t="s">
        <v>2716</v>
      </c>
      <c r="Q719" s="24"/>
      <c r="R719" s="24">
        <v>780</v>
      </c>
      <c r="S719" s="24" t="s">
        <v>29</v>
      </c>
    </row>
    <row r="720" spans="1:19" ht="29.25">
      <c r="A720" s="26">
        <v>91701</v>
      </c>
      <c r="B720" s="26" t="s">
        <v>20</v>
      </c>
      <c r="C720" s="26" t="s">
        <v>21</v>
      </c>
      <c r="D720" s="26" t="s">
        <v>21</v>
      </c>
      <c r="E720" s="26" t="s">
        <v>2739</v>
      </c>
      <c r="F720" s="26" t="s">
        <v>2740</v>
      </c>
      <c r="G720" s="26">
        <v>198.9</v>
      </c>
      <c r="H720" s="26" t="s">
        <v>5</v>
      </c>
      <c r="I720" s="26" t="s">
        <v>2309</v>
      </c>
      <c r="J720" s="26" t="s">
        <v>365</v>
      </c>
      <c r="K720" s="26" t="s">
        <v>580</v>
      </c>
      <c r="L720" s="26" t="s">
        <v>240</v>
      </c>
      <c r="M720" s="26" t="s">
        <v>38</v>
      </c>
      <c r="N720" s="26" t="s">
        <v>39</v>
      </c>
      <c r="O720" s="27">
        <v>38538</v>
      </c>
      <c r="P720" s="26"/>
      <c r="Q720" s="26"/>
      <c r="R720" s="26">
        <v>167</v>
      </c>
      <c r="S720" s="26" t="s">
        <v>29</v>
      </c>
    </row>
    <row r="721" spans="1:19" ht="29.25">
      <c r="A721" s="26">
        <v>91702</v>
      </c>
      <c r="B721" s="26" t="s">
        <v>20</v>
      </c>
      <c r="C721" s="26" t="s">
        <v>21</v>
      </c>
      <c r="D721" s="26" t="s">
        <v>21</v>
      </c>
      <c r="E721" s="26" t="s">
        <v>2741</v>
      </c>
      <c r="F721" s="26" t="s">
        <v>2742</v>
      </c>
      <c r="G721" s="26">
        <v>198.9</v>
      </c>
      <c r="H721" s="26" t="s">
        <v>5</v>
      </c>
      <c r="I721" s="26" t="s">
        <v>2309</v>
      </c>
      <c r="J721" s="26" t="s">
        <v>365</v>
      </c>
      <c r="K721" s="26" t="s">
        <v>580</v>
      </c>
      <c r="L721" s="26" t="s">
        <v>240</v>
      </c>
      <c r="M721" s="26" t="s">
        <v>38</v>
      </c>
      <c r="N721" s="26" t="s">
        <v>39</v>
      </c>
      <c r="O721" s="27">
        <v>38538</v>
      </c>
      <c r="P721" s="26"/>
      <c r="Q721" s="26"/>
      <c r="R721" s="26">
        <v>167</v>
      </c>
      <c r="S721" s="26" t="s">
        <v>29</v>
      </c>
    </row>
    <row r="722" spans="1:19" ht="29.25">
      <c r="A722" s="26">
        <v>91704</v>
      </c>
      <c r="B722" s="26" t="s">
        <v>20</v>
      </c>
      <c r="C722" s="26" t="s">
        <v>21</v>
      </c>
      <c r="D722" s="26" t="s">
        <v>21</v>
      </c>
      <c r="E722" s="26" t="s">
        <v>2717</v>
      </c>
      <c r="F722" s="26" t="s">
        <v>2718</v>
      </c>
      <c r="G722" s="26">
        <v>198.9</v>
      </c>
      <c r="H722" s="26" t="s">
        <v>5</v>
      </c>
      <c r="I722" s="26" t="s">
        <v>2309</v>
      </c>
      <c r="J722" s="26" t="s">
        <v>365</v>
      </c>
      <c r="K722" s="26" t="s">
        <v>580</v>
      </c>
      <c r="L722" s="26" t="s">
        <v>240</v>
      </c>
      <c r="M722" s="26" t="s">
        <v>38</v>
      </c>
      <c r="N722" s="26" t="s">
        <v>39</v>
      </c>
      <c r="O722" s="27">
        <v>38476</v>
      </c>
      <c r="P722" s="26"/>
      <c r="Q722" s="26"/>
      <c r="R722" s="26">
        <v>167</v>
      </c>
      <c r="S722" s="26" t="s">
        <v>29</v>
      </c>
    </row>
    <row r="723" spans="1:19" ht="29.25">
      <c r="A723" s="26">
        <v>91703</v>
      </c>
      <c r="B723" s="26" t="s">
        <v>20</v>
      </c>
      <c r="C723" s="26" t="s">
        <v>21</v>
      </c>
      <c r="D723" s="26" t="s">
        <v>21</v>
      </c>
      <c r="E723" s="26" t="s">
        <v>2743</v>
      </c>
      <c r="F723" s="26" t="s">
        <v>2744</v>
      </c>
      <c r="G723" s="26">
        <v>184</v>
      </c>
      <c r="H723" s="26" t="s">
        <v>5</v>
      </c>
      <c r="I723" s="26" t="s">
        <v>2309</v>
      </c>
      <c r="J723" s="26" t="s">
        <v>365</v>
      </c>
      <c r="K723" s="26" t="s">
        <v>366</v>
      </c>
      <c r="L723" s="26" t="s">
        <v>712</v>
      </c>
      <c r="M723" s="26" t="s">
        <v>38</v>
      </c>
      <c r="N723" s="26" t="s">
        <v>39</v>
      </c>
      <c r="O723" s="27">
        <v>38538</v>
      </c>
      <c r="P723" s="26"/>
      <c r="Q723" s="26"/>
      <c r="R723" s="26">
        <v>187</v>
      </c>
      <c r="S723" s="26" t="s">
        <v>29</v>
      </c>
    </row>
    <row r="724" spans="1:19" ht="29.25">
      <c r="A724" s="26">
        <v>91705</v>
      </c>
      <c r="B724" s="26" t="s">
        <v>20</v>
      </c>
      <c r="C724" s="26" t="s">
        <v>21</v>
      </c>
      <c r="D724" s="26" t="s">
        <v>21</v>
      </c>
      <c r="E724" s="26" t="s">
        <v>2719</v>
      </c>
      <c r="F724" s="26" t="s">
        <v>2720</v>
      </c>
      <c r="G724" s="26">
        <v>92</v>
      </c>
      <c r="H724" s="26" t="s">
        <v>5</v>
      </c>
      <c r="I724" s="26" t="s">
        <v>2309</v>
      </c>
      <c r="J724" s="26" t="s">
        <v>365</v>
      </c>
      <c r="K724" s="26" t="s">
        <v>366</v>
      </c>
      <c r="L724" s="26" t="s">
        <v>712</v>
      </c>
      <c r="M724" s="26" t="s">
        <v>38</v>
      </c>
      <c r="N724" s="26" t="s">
        <v>39</v>
      </c>
      <c r="O724" s="27">
        <v>38476</v>
      </c>
      <c r="P724" s="26"/>
      <c r="Q724" s="26"/>
      <c r="R724" s="26">
        <v>92</v>
      </c>
      <c r="S724" s="26" t="s">
        <v>29</v>
      </c>
    </row>
    <row r="725" spans="1:19">
      <c r="A725" s="28">
        <v>24800</v>
      </c>
      <c r="B725" s="28" t="s">
        <v>20</v>
      </c>
      <c r="C725" s="28" t="s">
        <v>21</v>
      </c>
      <c r="D725" s="28" t="s">
        <v>21</v>
      </c>
      <c r="E725" s="28" t="s">
        <v>306</v>
      </c>
      <c r="F725" s="28" t="s">
        <v>307</v>
      </c>
      <c r="G725" s="28">
        <v>2</v>
      </c>
      <c r="H725" s="28" t="s">
        <v>24</v>
      </c>
      <c r="I725" s="28" t="s">
        <v>4</v>
      </c>
      <c r="J725" s="28" t="s">
        <v>25</v>
      </c>
      <c r="K725" s="28" t="s">
        <v>25</v>
      </c>
      <c r="L725" s="28" t="s">
        <v>26</v>
      </c>
      <c r="M725" s="28" t="s">
        <v>27</v>
      </c>
      <c r="N725" s="28" t="s">
        <v>28</v>
      </c>
      <c r="O725" s="29">
        <v>14611</v>
      </c>
      <c r="P725" s="28"/>
      <c r="Q725" s="28" t="s">
        <v>308</v>
      </c>
      <c r="R725" s="28">
        <v>2</v>
      </c>
      <c r="S725" s="28" t="s">
        <v>29</v>
      </c>
    </row>
    <row r="726" spans="1:19">
      <c r="A726" s="24">
        <v>24900</v>
      </c>
      <c r="B726" s="24" t="s">
        <v>20</v>
      </c>
      <c r="C726" s="24" t="s">
        <v>21</v>
      </c>
      <c r="D726" s="24" t="s">
        <v>30</v>
      </c>
      <c r="E726" s="24" t="s">
        <v>991</v>
      </c>
      <c r="F726" s="24" t="s">
        <v>992</v>
      </c>
      <c r="G726" s="24">
        <v>210</v>
      </c>
      <c r="H726" s="24" t="s">
        <v>24</v>
      </c>
      <c r="I726" s="24" t="s">
        <v>541</v>
      </c>
      <c r="J726" s="24" t="s">
        <v>25</v>
      </c>
      <c r="K726" s="24" t="s">
        <v>25</v>
      </c>
      <c r="L726" s="24" t="s">
        <v>26</v>
      </c>
      <c r="M726" s="24" t="s">
        <v>27</v>
      </c>
      <c r="N726" s="24" t="s">
        <v>28</v>
      </c>
      <c r="O726" s="25">
        <v>30682</v>
      </c>
      <c r="P726" s="24"/>
      <c r="Q726" s="24"/>
      <c r="R726" s="24">
        <v>173.7</v>
      </c>
      <c r="S726" s="24" t="s">
        <v>29</v>
      </c>
    </row>
    <row r="727" spans="1:19">
      <c r="A727" s="26">
        <v>24901</v>
      </c>
      <c r="B727" s="26" t="s">
        <v>20</v>
      </c>
      <c r="C727" s="26" t="s">
        <v>21</v>
      </c>
      <c r="D727" s="26" t="s">
        <v>21</v>
      </c>
      <c r="E727" s="26" t="s">
        <v>993</v>
      </c>
      <c r="F727" s="26" t="s">
        <v>994</v>
      </c>
      <c r="G727" s="26">
        <v>63.3</v>
      </c>
      <c r="H727" s="26" t="s">
        <v>24</v>
      </c>
      <c r="I727" s="26" t="s">
        <v>541</v>
      </c>
      <c r="J727" s="26" t="s">
        <v>25</v>
      </c>
      <c r="K727" s="26" t="s">
        <v>25</v>
      </c>
      <c r="L727" s="26" t="s">
        <v>26</v>
      </c>
      <c r="M727" s="26" t="s">
        <v>27</v>
      </c>
      <c r="N727" s="26" t="s">
        <v>28</v>
      </c>
      <c r="O727" s="27">
        <v>30682</v>
      </c>
      <c r="P727" s="26"/>
      <c r="Q727" s="26"/>
      <c r="R727" s="26">
        <v>57.9</v>
      </c>
      <c r="S727" s="26" t="s">
        <v>29</v>
      </c>
    </row>
    <row r="728" spans="1:19">
      <c r="A728" s="26">
        <v>24902</v>
      </c>
      <c r="B728" s="26" t="s">
        <v>20</v>
      </c>
      <c r="C728" s="26" t="s">
        <v>21</v>
      </c>
      <c r="D728" s="26" t="s">
        <v>21</v>
      </c>
      <c r="E728" s="26" t="s">
        <v>995</v>
      </c>
      <c r="F728" s="26" t="s">
        <v>996</v>
      </c>
      <c r="G728" s="26">
        <v>75</v>
      </c>
      <c r="H728" s="26" t="s">
        <v>24</v>
      </c>
      <c r="I728" s="26" t="s">
        <v>541</v>
      </c>
      <c r="J728" s="26" t="s">
        <v>25</v>
      </c>
      <c r="K728" s="26" t="s">
        <v>25</v>
      </c>
      <c r="L728" s="26" t="s">
        <v>26</v>
      </c>
      <c r="M728" s="26" t="s">
        <v>27</v>
      </c>
      <c r="N728" s="26" t="s">
        <v>28</v>
      </c>
      <c r="O728" s="27">
        <v>30682</v>
      </c>
      <c r="P728" s="26"/>
      <c r="Q728" s="26"/>
      <c r="R728" s="26">
        <v>57.9</v>
      </c>
      <c r="S728" s="26" t="s">
        <v>29</v>
      </c>
    </row>
    <row r="729" spans="1:19">
      <c r="A729" s="26">
        <v>24903</v>
      </c>
      <c r="B729" s="26" t="s">
        <v>20</v>
      </c>
      <c r="C729" s="26" t="s">
        <v>21</v>
      </c>
      <c r="D729" s="26" t="s">
        <v>21</v>
      </c>
      <c r="E729" s="26" t="s">
        <v>997</v>
      </c>
      <c r="F729" s="26" t="s">
        <v>998</v>
      </c>
      <c r="G729" s="26">
        <v>63.3</v>
      </c>
      <c r="H729" s="26" t="s">
        <v>24</v>
      </c>
      <c r="I729" s="26" t="s">
        <v>541</v>
      </c>
      <c r="J729" s="26" t="s">
        <v>25</v>
      </c>
      <c r="K729" s="26" t="s">
        <v>25</v>
      </c>
      <c r="L729" s="26" t="s">
        <v>26</v>
      </c>
      <c r="M729" s="26" t="s">
        <v>27</v>
      </c>
      <c r="N729" s="26" t="s">
        <v>28</v>
      </c>
      <c r="O729" s="27">
        <v>30682</v>
      </c>
      <c r="P729" s="26"/>
      <c r="Q729" s="26"/>
      <c r="R729" s="26">
        <v>57.9</v>
      </c>
      <c r="S729" s="26" t="s">
        <v>29</v>
      </c>
    </row>
    <row r="730" spans="1:19">
      <c r="A730" s="24">
        <v>25200</v>
      </c>
      <c r="B730" s="24" t="s">
        <v>20</v>
      </c>
      <c r="C730" s="24" t="s">
        <v>21</v>
      </c>
      <c r="D730" s="24" t="s">
        <v>30</v>
      </c>
      <c r="E730" s="24" t="s">
        <v>230</v>
      </c>
      <c r="F730" s="24" t="s">
        <v>231</v>
      </c>
      <c r="G730" s="24">
        <v>70.599999999999994</v>
      </c>
      <c r="H730" s="24" t="s">
        <v>24</v>
      </c>
      <c r="I730" s="24" t="s">
        <v>4</v>
      </c>
      <c r="J730" s="24" t="s">
        <v>25</v>
      </c>
      <c r="K730" s="24" t="s">
        <v>25</v>
      </c>
      <c r="L730" s="24" t="s">
        <v>26</v>
      </c>
      <c r="M730" s="24" t="s">
        <v>27</v>
      </c>
      <c r="N730" s="24" t="s">
        <v>28</v>
      </c>
      <c r="O730" s="25">
        <v>9133</v>
      </c>
      <c r="P730" s="24"/>
      <c r="Q730" s="24" t="s">
        <v>188</v>
      </c>
      <c r="R730" s="24">
        <v>70.599999999999994</v>
      </c>
      <c r="S730" s="24" t="s">
        <v>29</v>
      </c>
    </row>
    <row r="731" spans="1:19">
      <c r="A731" s="26">
        <v>25201</v>
      </c>
      <c r="B731" s="26" t="s">
        <v>20</v>
      </c>
      <c r="C731" s="26" t="s">
        <v>21</v>
      </c>
      <c r="D731" s="26" t="s">
        <v>21</v>
      </c>
      <c r="E731" s="26" t="s">
        <v>232</v>
      </c>
      <c r="F731" s="26" t="s">
        <v>233</v>
      </c>
      <c r="G731" s="26">
        <v>24</v>
      </c>
      <c r="H731" s="26" t="s">
        <v>24</v>
      </c>
      <c r="I731" s="26" t="s">
        <v>4</v>
      </c>
      <c r="J731" s="26" t="s">
        <v>25</v>
      </c>
      <c r="K731" s="26" t="s">
        <v>25</v>
      </c>
      <c r="L731" s="26" t="s">
        <v>26</v>
      </c>
      <c r="M731" s="26" t="s">
        <v>27</v>
      </c>
      <c r="N731" s="26" t="s">
        <v>28</v>
      </c>
      <c r="O731" s="27">
        <v>9133</v>
      </c>
      <c r="P731" s="26"/>
      <c r="Q731" s="26" t="s">
        <v>188</v>
      </c>
      <c r="R731" s="26">
        <v>24</v>
      </c>
      <c r="S731" s="26" t="s">
        <v>29</v>
      </c>
    </row>
    <row r="732" spans="1:19">
      <c r="A732" s="26">
        <v>25202</v>
      </c>
      <c r="B732" s="26" t="s">
        <v>20</v>
      </c>
      <c r="C732" s="26" t="s">
        <v>21</v>
      </c>
      <c r="D732" s="26" t="s">
        <v>21</v>
      </c>
      <c r="E732" s="26" t="s">
        <v>234</v>
      </c>
      <c r="F732" s="26" t="s">
        <v>235</v>
      </c>
      <c r="G732" s="26">
        <v>26</v>
      </c>
      <c r="H732" s="26" t="s">
        <v>24</v>
      </c>
      <c r="I732" s="26" t="s">
        <v>4</v>
      </c>
      <c r="J732" s="26" t="s">
        <v>25</v>
      </c>
      <c r="K732" s="26" t="s">
        <v>25</v>
      </c>
      <c r="L732" s="26" t="s">
        <v>26</v>
      </c>
      <c r="M732" s="26" t="s">
        <v>27</v>
      </c>
      <c r="N732" s="26" t="s">
        <v>28</v>
      </c>
      <c r="O732" s="27">
        <v>9133</v>
      </c>
      <c r="P732" s="26"/>
      <c r="Q732" s="26" t="s">
        <v>188</v>
      </c>
      <c r="R732" s="26">
        <v>26</v>
      </c>
      <c r="S732" s="26" t="s">
        <v>29</v>
      </c>
    </row>
    <row r="733" spans="1:19">
      <c r="A733" s="26">
        <v>25203</v>
      </c>
      <c r="B733" s="26" t="s">
        <v>20</v>
      </c>
      <c r="C733" s="26" t="s">
        <v>21</v>
      </c>
      <c r="D733" s="26" t="s">
        <v>21</v>
      </c>
      <c r="E733" s="26" t="s">
        <v>236</v>
      </c>
      <c r="F733" s="26" t="s">
        <v>237</v>
      </c>
      <c r="G733" s="26">
        <v>25</v>
      </c>
      <c r="H733" s="26" t="s">
        <v>24</v>
      </c>
      <c r="I733" s="26" t="s">
        <v>4</v>
      </c>
      <c r="J733" s="26" t="s">
        <v>25</v>
      </c>
      <c r="K733" s="26" t="s">
        <v>25</v>
      </c>
      <c r="L733" s="26" t="s">
        <v>26</v>
      </c>
      <c r="M733" s="26" t="s">
        <v>27</v>
      </c>
      <c r="N733" s="26" t="s">
        <v>28</v>
      </c>
      <c r="O733" s="27">
        <v>9133</v>
      </c>
      <c r="P733" s="26"/>
      <c r="Q733" s="26" t="s">
        <v>188</v>
      </c>
      <c r="R733" s="26">
        <v>25</v>
      </c>
      <c r="S733" s="26" t="s">
        <v>29</v>
      </c>
    </row>
    <row r="734" spans="1:19">
      <c r="A734" s="24">
        <v>25300</v>
      </c>
      <c r="B734" s="24" t="s">
        <v>20</v>
      </c>
      <c r="C734" s="24" t="s">
        <v>21</v>
      </c>
      <c r="D734" s="24" t="s">
        <v>30</v>
      </c>
      <c r="E734" s="24" t="s">
        <v>373</v>
      </c>
      <c r="F734" s="24" t="s">
        <v>374</v>
      </c>
      <c r="G734" s="24">
        <v>95</v>
      </c>
      <c r="H734" s="24" t="s">
        <v>24</v>
      </c>
      <c r="I734" s="24" t="s">
        <v>4</v>
      </c>
      <c r="J734" s="24" t="s">
        <v>25</v>
      </c>
      <c r="K734" s="24" t="s">
        <v>25</v>
      </c>
      <c r="L734" s="24" t="s">
        <v>26</v>
      </c>
      <c r="M734" s="24" t="s">
        <v>27</v>
      </c>
      <c r="N734" s="24" t="s">
        <v>28</v>
      </c>
      <c r="O734" s="25">
        <v>20090</v>
      </c>
      <c r="P734" s="24"/>
      <c r="Q734" s="24" t="s">
        <v>188</v>
      </c>
      <c r="R734" s="24">
        <v>95</v>
      </c>
      <c r="S734" s="24" t="s">
        <v>29</v>
      </c>
    </row>
    <row r="735" spans="1:19">
      <c r="A735" s="26">
        <v>25301</v>
      </c>
      <c r="B735" s="26" t="s">
        <v>20</v>
      </c>
      <c r="C735" s="26" t="s">
        <v>21</v>
      </c>
      <c r="D735" s="26" t="s">
        <v>21</v>
      </c>
      <c r="E735" s="26" t="s">
        <v>375</v>
      </c>
      <c r="F735" s="26" t="s">
        <v>376</v>
      </c>
      <c r="G735" s="26">
        <v>55</v>
      </c>
      <c r="H735" s="26" t="s">
        <v>24</v>
      </c>
      <c r="I735" s="26" t="s">
        <v>4</v>
      </c>
      <c r="J735" s="26" t="s">
        <v>25</v>
      </c>
      <c r="K735" s="26" t="s">
        <v>25</v>
      </c>
      <c r="L735" s="26" t="s">
        <v>26</v>
      </c>
      <c r="M735" s="26" t="s">
        <v>27</v>
      </c>
      <c r="N735" s="26" t="s">
        <v>28</v>
      </c>
      <c r="O735" s="27">
        <v>20090</v>
      </c>
      <c r="P735" s="26"/>
      <c r="Q735" s="26" t="s">
        <v>188</v>
      </c>
      <c r="R735" s="26">
        <v>55</v>
      </c>
      <c r="S735" s="26" t="s">
        <v>29</v>
      </c>
    </row>
    <row r="736" spans="1:19">
      <c r="A736" s="26">
        <v>25302</v>
      </c>
      <c r="B736" s="26" t="s">
        <v>20</v>
      </c>
      <c r="C736" s="26" t="s">
        <v>21</v>
      </c>
      <c r="D736" s="26" t="s">
        <v>21</v>
      </c>
      <c r="E736" s="26" t="s">
        <v>377</v>
      </c>
      <c r="F736" s="26" t="s">
        <v>378</v>
      </c>
      <c r="G736" s="26">
        <v>47</v>
      </c>
      <c r="H736" s="26" t="s">
        <v>24</v>
      </c>
      <c r="I736" s="26" t="s">
        <v>4</v>
      </c>
      <c r="J736" s="26" t="s">
        <v>25</v>
      </c>
      <c r="K736" s="26" t="s">
        <v>25</v>
      </c>
      <c r="L736" s="26" t="s">
        <v>26</v>
      </c>
      <c r="M736" s="26" t="s">
        <v>27</v>
      </c>
      <c r="N736" s="26" t="s">
        <v>28</v>
      </c>
      <c r="O736" s="27">
        <v>20090</v>
      </c>
      <c r="P736" s="26"/>
      <c r="Q736" s="26" t="s">
        <v>188</v>
      </c>
      <c r="R736" s="26">
        <v>47</v>
      </c>
      <c r="S736" s="26" t="s">
        <v>29</v>
      </c>
    </row>
    <row r="737" spans="1:19" ht="29.25">
      <c r="A737" s="24">
        <v>25400</v>
      </c>
      <c r="B737" s="24" t="s">
        <v>20</v>
      </c>
      <c r="C737" s="24" t="s">
        <v>21</v>
      </c>
      <c r="D737" s="24" t="s">
        <v>30</v>
      </c>
      <c r="E737" s="24" t="s">
        <v>318</v>
      </c>
      <c r="F737" s="24" t="s">
        <v>319</v>
      </c>
      <c r="G737" s="24">
        <v>82</v>
      </c>
      <c r="H737" s="24" t="s">
        <v>24</v>
      </c>
      <c r="I737" s="24" t="s">
        <v>4</v>
      </c>
      <c r="J737" s="24" t="s">
        <v>25</v>
      </c>
      <c r="K737" s="24" t="s">
        <v>25</v>
      </c>
      <c r="L737" s="24" t="s">
        <v>26</v>
      </c>
      <c r="M737" s="24" t="s">
        <v>27</v>
      </c>
      <c r="N737" s="24" t="s">
        <v>28</v>
      </c>
      <c r="O737" s="25">
        <v>16072</v>
      </c>
      <c r="P737" s="24"/>
      <c r="Q737" s="24" t="s">
        <v>188</v>
      </c>
      <c r="R737" s="24">
        <v>82</v>
      </c>
      <c r="S737" s="24" t="s">
        <v>29</v>
      </c>
    </row>
    <row r="738" spans="1:19">
      <c r="A738" s="26">
        <v>25401</v>
      </c>
      <c r="B738" s="26" t="s">
        <v>20</v>
      </c>
      <c r="C738" s="26" t="s">
        <v>21</v>
      </c>
      <c r="D738" s="26" t="s">
        <v>21</v>
      </c>
      <c r="E738" s="26" t="s">
        <v>320</v>
      </c>
      <c r="F738" s="26" t="s">
        <v>321</v>
      </c>
      <c r="G738" s="26">
        <v>41</v>
      </c>
      <c r="H738" s="26" t="s">
        <v>24</v>
      </c>
      <c r="I738" s="26" t="s">
        <v>4</v>
      </c>
      <c r="J738" s="26" t="s">
        <v>25</v>
      </c>
      <c r="K738" s="26" t="s">
        <v>25</v>
      </c>
      <c r="L738" s="26" t="s">
        <v>26</v>
      </c>
      <c r="M738" s="26" t="s">
        <v>27</v>
      </c>
      <c r="N738" s="26" t="s">
        <v>28</v>
      </c>
      <c r="O738" s="27">
        <v>16072</v>
      </c>
      <c r="P738" s="26"/>
      <c r="Q738" s="26" t="s">
        <v>188</v>
      </c>
      <c r="R738" s="26">
        <v>41</v>
      </c>
      <c r="S738" s="26" t="s">
        <v>29</v>
      </c>
    </row>
    <row r="739" spans="1:19">
      <c r="A739" s="26">
        <v>25402</v>
      </c>
      <c r="B739" s="26" t="s">
        <v>20</v>
      </c>
      <c r="C739" s="26" t="s">
        <v>21</v>
      </c>
      <c r="D739" s="26" t="s">
        <v>21</v>
      </c>
      <c r="E739" s="26" t="s">
        <v>322</v>
      </c>
      <c r="F739" s="26" t="s">
        <v>323</v>
      </c>
      <c r="G739" s="26">
        <v>41</v>
      </c>
      <c r="H739" s="26" t="s">
        <v>24</v>
      </c>
      <c r="I739" s="26" t="s">
        <v>4</v>
      </c>
      <c r="J739" s="26" t="s">
        <v>25</v>
      </c>
      <c r="K739" s="26" t="s">
        <v>25</v>
      </c>
      <c r="L739" s="26" t="s">
        <v>26</v>
      </c>
      <c r="M739" s="26" t="s">
        <v>27</v>
      </c>
      <c r="N739" s="26" t="s">
        <v>28</v>
      </c>
      <c r="O739" s="27">
        <v>16072</v>
      </c>
      <c r="P739" s="26"/>
      <c r="Q739" s="26" t="s">
        <v>188</v>
      </c>
      <c r="R739" s="26">
        <v>41</v>
      </c>
      <c r="S739" s="26" t="s">
        <v>29</v>
      </c>
    </row>
    <row r="740" spans="1:19" ht="29.25">
      <c r="A740" s="24">
        <v>25500</v>
      </c>
      <c r="B740" s="24" t="s">
        <v>20</v>
      </c>
      <c r="C740" s="24" t="s">
        <v>21</v>
      </c>
      <c r="D740" s="24" t="s">
        <v>30</v>
      </c>
      <c r="E740" s="24" t="s">
        <v>324</v>
      </c>
      <c r="F740" s="24" t="s">
        <v>325</v>
      </c>
      <c r="G740" s="24">
        <v>82</v>
      </c>
      <c r="H740" s="24" t="s">
        <v>24</v>
      </c>
      <c r="I740" s="24" t="s">
        <v>4</v>
      </c>
      <c r="J740" s="24" t="s">
        <v>25</v>
      </c>
      <c r="K740" s="24" t="s">
        <v>25</v>
      </c>
      <c r="L740" s="24" t="s">
        <v>26</v>
      </c>
      <c r="M740" s="24" t="s">
        <v>27</v>
      </c>
      <c r="N740" s="24" t="s">
        <v>28</v>
      </c>
      <c r="O740" s="25">
        <v>16072</v>
      </c>
      <c r="P740" s="24"/>
      <c r="Q740" s="24" t="s">
        <v>188</v>
      </c>
      <c r="R740" s="24">
        <v>82</v>
      </c>
      <c r="S740" s="24" t="s">
        <v>29</v>
      </c>
    </row>
    <row r="741" spans="1:19">
      <c r="A741" s="26">
        <v>25501</v>
      </c>
      <c r="B741" s="26" t="s">
        <v>20</v>
      </c>
      <c r="C741" s="26" t="s">
        <v>21</v>
      </c>
      <c r="D741" s="26" t="s">
        <v>21</v>
      </c>
      <c r="E741" s="26" t="s">
        <v>326</v>
      </c>
      <c r="F741" s="26" t="s">
        <v>327</v>
      </c>
      <c r="G741" s="26">
        <v>41</v>
      </c>
      <c r="H741" s="26" t="s">
        <v>24</v>
      </c>
      <c r="I741" s="26" t="s">
        <v>4</v>
      </c>
      <c r="J741" s="26" t="s">
        <v>25</v>
      </c>
      <c r="K741" s="26" t="s">
        <v>25</v>
      </c>
      <c r="L741" s="26" t="s">
        <v>26</v>
      </c>
      <c r="M741" s="26" t="s">
        <v>27</v>
      </c>
      <c r="N741" s="26" t="s">
        <v>28</v>
      </c>
      <c r="O741" s="27">
        <v>16072</v>
      </c>
      <c r="P741" s="26"/>
      <c r="Q741" s="26" t="s">
        <v>188</v>
      </c>
      <c r="R741" s="26">
        <v>41</v>
      </c>
      <c r="S741" s="26" t="s">
        <v>29</v>
      </c>
    </row>
    <row r="742" spans="1:19">
      <c r="A742" s="26">
        <v>25502</v>
      </c>
      <c r="B742" s="26" t="s">
        <v>20</v>
      </c>
      <c r="C742" s="26" t="s">
        <v>21</v>
      </c>
      <c r="D742" s="26" t="s">
        <v>21</v>
      </c>
      <c r="E742" s="26" t="s">
        <v>328</v>
      </c>
      <c r="F742" s="26" t="s">
        <v>329</v>
      </c>
      <c r="G742" s="26">
        <v>41</v>
      </c>
      <c r="H742" s="26" t="s">
        <v>24</v>
      </c>
      <c r="I742" s="26" t="s">
        <v>4</v>
      </c>
      <c r="J742" s="26" t="s">
        <v>25</v>
      </c>
      <c r="K742" s="26" t="s">
        <v>25</v>
      </c>
      <c r="L742" s="26" t="s">
        <v>26</v>
      </c>
      <c r="M742" s="26" t="s">
        <v>27</v>
      </c>
      <c r="N742" s="26" t="s">
        <v>28</v>
      </c>
      <c r="O742" s="27">
        <v>16072</v>
      </c>
      <c r="P742" s="26"/>
      <c r="Q742" s="26" t="s">
        <v>188</v>
      </c>
      <c r="R742" s="26">
        <v>41</v>
      </c>
      <c r="S742" s="26" t="s">
        <v>29</v>
      </c>
    </row>
    <row r="743" spans="1:19" ht="29.25">
      <c r="A743" s="24">
        <v>63800</v>
      </c>
      <c r="B743" s="24" t="s">
        <v>20</v>
      </c>
      <c r="C743" s="24" t="s">
        <v>30</v>
      </c>
      <c r="D743" s="24" t="s">
        <v>30</v>
      </c>
      <c r="E743" s="24" t="s">
        <v>1145</v>
      </c>
      <c r="F743" s="24" t="s">
        <v>1146</v>
      </c>
      <c r="G743" s="24">
        <v>4.83</v>
      </c>
      <c r="H743" s="24" t="s">
        <v>143</v>
      </c>
      <c r="I743" s="24" t="s">
        <v>1147</v>
      </c>
      <c r="J743" s="24" t="s">
        <v>788</v>
      </c>
      <c r="K743" s="24" t="s">
        <v>296</v>
      </c>
      <c r="L743" s="24" t="s">
        <v>888</v>
      </c>
      <c r="M743" s="24" t="s">
        <v>38</v>
      </c>
      <c r="N743" s="24" t="s">
        <v>144</v>
      </c>
      <c r="O743" s="25">
        <v>31048</v>
      </c>
      <c r="P743" s="24"/>
      <c r="Q743" s="24"/>
      <c r="R743" s="24">
        <v>7.12</v>
      </c>
      <c r="S743" s="24" t="s">
        <v>29</v>
      </c>
    </row>
    <row r="744" spans="1:19" ht="29.25">
      <c r="A744" s="26">
        <v>63802</v>
      </c>
      <c r="B744" s="26" t="s">
        <v>20</v>
      </c>
      <c r="C744" s="26" t="s">
        <v>30</v>
      </c>
      <c r="D744" s="26" t="s">
        <v>21</v>
      </c>
      <c r="E744" s="26"/>
      <c r="F744" s="26" t="s">
        <v>1150</v>
      </c>
      <c r="G744" s="26"/>
      <c r="H744" s="26" t="s">
        <v>143</v>
      </c>
      <c r="I744" s="26" t="s">
        <v>1149</v>
      </c>
      <c r="J744" s="26" t="s">
        <v>788</v>
      </c>
      <c r="K744" s="26" t="s">
        <v>296</v>
      </c>
      <c r="L744" s="26" t="s">
        <v>980</v>
      </c>
      <c r="M744" s="26" t="s">
        <v>38</v>
      </c>
      <c r="N744" s="26" t="s">
        <v>144</v>
      </c>
      <c r="O744" s="27">
        <v>31048</v>
      </c>
      <c r="P744" s="26"/>
      <c r="Q744" s="26"/>
      <c r="R744" s="26">
        <v>2.29</v>
      </c>
      <c r="S744" s="26" t="s">
        <v>29</v>
      </c>
    </row>
    <row r="745" spans="1:19" ht="29.25">
      <c r="A745" s="26">
        <v>63801</v>
      </c>
      <c r="B745" s="26" t="s">
        <v>20</v>
      </c>
      <c r="C745" s="26" t="s">
        <v>30</v>
      </c>
      <c r="D745" s="26" t="s">
        <v>21</v>
      </c>
      <c r="E745" s="26"/>
      <c r="F745" s="26" t="s">
        <v>1148</v>
      </c>
      <c r="G745" s="26"/>
      <c r="H745" s="26" t="s">
        <v>143</v>
      </c>
      <c r="I745" s="26" t="s">
        <v>1149</v>
      </c>
      <c r="J745" s="26" t="s">
        <v>25</v>
      </c>
      <c r="K745" s="26" t="s">
        <v>25</v>
      </c>
      <c r="L745" s="26" t="s">
        <v>26</v>
      </c>
      <c r="M745" s="26" t="s">
        <v>38</v>
      </c>
      <c r="N745" s="26" t="s">
        <v>144</v>
      </c>
      <c r="O745" s="27">
        <v>31048</v>
      </c>
      <c r="P745" s="26"/>
      <c r="Q745" s="26"/>
      <c r="R745" s="26">
        <v>1.35</v>
      </c>
      <c r="S745" s="26" t="s">
        <v>29</v>
      </c>
    </row>
    <row r="746" spans="1:19" ht="29.25">
      <c r="A746" s="26">
        <v>63804</v>
      </c>
      <c r="B746" s="26" t="s">
        <v>20</v>
      </c>
      <c r="C746" s="26" t="s">
        <v>30</v>
      </c>
      <c r="D746" s="26" t="s">
        <v>21</v>
      </c>
      <c r="E746" s="26"/>
      <c r="F746" s="26" t="s">
        <v>1152</v>
      </c>
      <c r="G746" s="26"/>
      <c r="H746" s="26" t="s">
        <v>143</v>
      </c>
      <c r="I746" s="26" t="s">
        <v>1149</v>
      </c>
      <c r="J746" s="26" t="s">
        <v>788</v>
      </c>
      <c r="K746" s="26" t="s">
        <v>296</v>
      </c>
      <c r="L746" s="26" t="s">
        <v>980</v>
      </c>
      <c r="M746" s="26" t="s">
        <v>38</v>
      </c>
      <c r="N746" s="26" t="s">
        <v>144</v>
      </c>
      <c r="O746" s="27">
        <v>31048</v>
      </c>
      <c r="P746" s="26"/>
      <c r="Q746" s="26"/>
      <c r="R746" s="26">
        <v>1.2</v>
      </c>
      <c r="S746" s="26" t="s">
        <v>29</v>
      </c>
    </row>
    <row r="747" spans="1:19" ht="29.25">
      <c r="A747" s="26">
        <v>63803</v>
      </c>
      <c r="B747" s="26" t="s">
        <v>20</v>
      </c>
      <c r="C747" s="26" t="s">
        <v>30</v>
      </c>
      <c r="D747" s="26" t="s">
        <v>21</v>
      </c>
      <c r="E747" s="26"/>
      <c r="F747" s="26" t="s">
        <v>1151</v>
      </c>
      <c r="G747" s="26"/>
      <c r="H747" s="26" t="s">
        <v>143</v>
      </c>
      <c r="I747" s="26" t="s">
        <v>1149</v>
      </c>
      <c r="J747" s="26" t="s">
        <v>788</v>
      </c>
      <c r="K747" s="26" t="s">
        <v>296</v>
      </c>
      <c r="L747" s="26" t="s">
        <v>980</v>
      </c>
      <c r="M747" s="26" t="s">
        <v>38</v>
      </c>
      <c r="N747" s="26" t="s">
        <v>144</v>
      </c>
      <c r="O747" s="27">
        <v>31048</v>
      </c>
      <c r="P747" s="26"/>
      <c r="Q747" s="26"/>
      <c r="R747" s="26">
        <v>2.29</v>
      </c>
      <c r="S747" s="26" t="s">
        <v>29</v>
      </c>
    </row>
    <row r="748" spans="1:19" ht="29.25">
      <c r="A748" s="24">
        <v>27400</v>
      </c>
      <c r="B748" s="24" t="s">
        <v>20</v>
      </c>
      <c r="C748" s="24" t="s">
        <v>21</v>
      </c>
      <c r="D748" s="24" t="s">
        <v>30</v>
      </c>
      <c r="E748" s="24" t="s">
        <v>91</v>
      </c>
      <c r="F748" s="24" t="s">
        <v>92</v>
      </c>
      <c r="G748" s="24">
        <v>10.1</v>
      </c>
      <c r="H748" s="24" t="s">
        <v>24</v>
      </c>
      <c r="I748" s="24" t="s">
        <v>4</v>
      </c>
      <c r="J748" s="24" t="s">
        <v>25</v>
      </c>
      <c r="K748" s="24" t="s">
        <v>25</v>
      </c>
      <c r="L748" s="24" t="s">
        <v>26</v>
      </c>
      <c r="M748" s="24" t="s">
        <v>27</v>
      </c>
      <c r="N748" s="24" t="s">
        <v>28</v>
      </c>
      <c r="O748" s="25">
        <v>3654</v>
      </c>
      <c r="P748" s="24"/>
      <c r="Q748" s="24" t="s">
        <v>93</v>
      </c>
      <c r="R748" s="24">
        <v>10.1</v>
      </c>
      <c r="S748" s="24" t="s">
        <v>29</v>
      </c>
    </row>
    <row r="749" spans="1:19">
      <c r="A749" s="26">
        <v>27401</v>
      </c>
      <c r="B749" s="26" t="s">
        <v>20</v>
      </c>
      <c r="C749" s="26" t="s">
        <v>21</v>
      </c>
      <c r="D749" s="26" t="s">
        <v>21</v>
      </c>
      <c r="E749" s="26" t="s">
        <v>304</v>
      </c>
      <c r="F749" s="26" t="s">
        <v>305</v>
      </c>
      <c r="G749" s="26">
        <v>5</v>
      </c>
      <c r="H749" s="26" t="s">
        <v>24</v>
      </c>
      <c r="I749" s="26" t="s">
        <v>4</v>
      </c>
      <c r="J749" s="26" t="s">
        <v>25</v>
      </c>
      <c r="K749" s="26" t="s">
        <v>25</v>
      </c>
      <c r="L749" s="26" t="s">
        <v>26</v>
      </c>
      <c r="M749" s="26" t="s">
        <v>27</v>
      </c>
      <c r="N749" s="26" t="s">
        <v>28</v>
      </c>
      <c r="O749" s="27">
        <v>14246</v>
      </c>
      <c r="P749" s="26"/>
      <c r="Q749" s="26" t="s">
        <v>93</v>
      </c>
      <c r="R749" s="26">
        <v>5.0999999999999996</v>
      </c>
      <c r="S749" s="26" t="s">
        <v>29</v>
      </c>
    </row>
    <row r="750" spans="1:19">
      <c r="A750" s="26">
        <v>27402</v>
      </c>
      <c r="B750" s="26" t="s">
        <v>20</v>
      </c>
      <c r="C750" s="26" t="s">
        <v>21</v>
      </c>
      <c r="D750" s="26" t="s">
        <v>21</v>
      </c>
      <c r="E750" s="26" t="s">
        <v>94</v>
      </c>
      <c r="F750" s="26" t="s">
        <v>95</v>
      </c>
      <c r="G750" s="26">
        <v>2.1</v>
      </c>
      <c r="H750" s="26" t="s">
        <v>24</v>
      </c>
      <c r="I750" s="26" t="s">
        <v>4</v>
      </c>
      <c r="J750" s="26" t="s">
        <v>25</v>
      </c>
      <c r="K750" s="26" t="s">
        <v>25</v>
      </c>
      <c r="L750" s="26" t="s">
        <v>26</v>
      </c>
      <c r="M750" s="26" t="s">
        <v>27</v>
      </c>
      <c r="N750" s="26" t="s">
        <v>28</v>
      </c>
      <c r="O750" s="27">
        <v>3654</v>
      </c>
      <c r="P750" s="26"/>
      <c r="Q750" s="26" t="s">
        <v>93</v>
      </c>
      <c r="R750" s="26">
        <v>2.5</v>
      </c>
      <c r="S750" s="26" t="s">
        <v>29</v>
      </c>
    </row>
    <row r="751" spans="1:19">
      <c r="A751" s="26">
        <v>27403</v>
      </c>
      <c r="B751" s="26" t="s">
        <v>20</v>
      </c>
      <c r="C751" s="26" t="s">
        <v>21</v>
      </c>
      <c r="D751" s="26" t="s">
        <v>21</v>
      </c>
      <c r="E751" s="26" t="s">
        <v>152</v>
      </c>
      <c r="F751" s="26" t="s">
        <v>153</v>
      </c>
      <c r="G751" s="26">
        <v>2.1</v>
      </c>
      <c r="H751" s="26" t="s">
        <v>24</v>
      </c>
      <c r="I751" s="26" t="s">
        <v>4</v>
      </c>
      <c r="J751" s="26" t="s">
        <v>25</v>
      </c>
      <c r="K751" s="26" t="s">
        <v>25</v>
      </c>
      <c r="L751" s="26" t="s">
        <v>26</v>
      </c>
      <c r="M751" s="26" t="s">
        <v>27</v>
      </c>
      <c r="N751" s="26" t="s">
        <v>28</v>
      </c>
      <c r="O751" s="27">
        <v>6211</v>
      </c>
      <c r="P751" s="26"/>
      <c r="Q751" s="26" t="s">
        <v>93</v>
      </c>
      <c r="R751" s="26">
        <v>2.5</v>
      </c>
      <c r="S751" s="26" t="s">
        <v>29</v>
      </c>
    </row>
    <row r="752" spans="1:19" ht="29.25">
      <c r="A752" s="28">
        <v>63600</v>
      </c>
      <c r="B752" s="28" t="s">
        <v>20</v>
      </c>
      <c r="C752" s="28" t="s">
        <v>30</v>
      </c>
      <c r="D752" s="28" t="s">
        <v>21</v>
      </c>
      <c r="E752" s="28" t="s">
        <v>2245</v>
      </c>
      <c r="F752" s="28" t="s">
        <v>2246</v>
      </c>
      <c r="G752" s="28">
        <v>6.1</v>
      </c>
      <c r="H752" s="28" t="s">
        <v>143</v>
      </c>
      <c r="I752" s="28" t="s">
        <v>2247</v>
      </c>
      <c r="J752" s="28" t="s">
        <v>788</v>
      </c>
      <c r="K752" s="28" t="s">
        <v>296</v>
      </c>
      <c r="L752" s="28" t="s">
        <v>888</v>
      </c>
      <c r="M752" s="28" t="s">
        <v>38</v>
      </c>
      <c r="N752" s="28" t="s">
        <v>144</v>
      </c>
      <c r="O752" s="29">
        <v>36161</v>
      </c>
      <c r="P752" s="28" t="s">
        <v>2248</v>
      </c>
      <c r="Q752" s="28"/>
      <c r="R752" s="28">
        <v>6.1</v>
      </c>
      <c r="S752" s="28" t="s">
        <v>29</v>
      </c>
    </row>
    <row r="753" spans="1:19" ht="29.25">
      <c r="A753" s="28">
        <v>104700</v>
      </c>
      <c r="B753" s="28" t="s">
        <v>20</v>
      </c>
      <c r="C753" s="28" t="s">
        <v>21</v>
      </c>
      <c r="D753" s="28" t="s">
        <v>21</v>
      </c>
      <c r="E753" s="28" t="s">
        <v>4501</v>
      </c>
      <c r="F753" s="28" t="s">
        <v>4502</v>
      </c>
      <c r="G753" s="28">
        <v>140</v>
      </c>
      <c r="H753" s="28" t="s">
        <v>143</v>
      </c>
      <c r="I753" s="28"/>
      <c r="J753" s="28" t="s">
        <v>781</v>
      </c>
      <c r="K753" s="28" t="s">
        <v>781</v>
      </c>
      <c r="L753" s="28" t="s">
        <v>781</v>
      </c>
      <c r="M753" s="28" t="s">
        <v>38</v>
      </c>
      <c r="N753" s="28" t="s">
        <v>144</v>
      </c>
      <c r="O753" s="29">
        <v>41109</v>
      </c>
      <c r="P753" s="28" t="s">
        <v>4503</v>
      </c>
      <c r="Q753" s="28"/>
      <c r="R753" s="28">
        <v>140</v>
      </c>
      <c r="S753" s="28" t="s">
        <v>29</v>
      </c>
    </row>
    <row r="754" spans="1:19" ht="29.25">
      <c r="A754" s="28">
        <v>104800</v>
      </c>
      <c r="B754" s="28" t="s">
        <v>20</v>
      </c>
      <c r="C754" s="28" t="s">
        <v>21</v>
      </c>
      <c r="D754" s="28" t="s">
        <v>21</v>
      </c>
      <c r="E754" s="28" t="s">
        <v>4501</v>
      </c>
      <c r="F754" s="28" t="s">
        <v>4502</v>
      </c>
      <c r="G754" s="28">
        <v>140</v>
      </c>
      <c r="H754" s="28" t="s">
        <v>143</v>
      </c>
      <c r="I754" s="28"/>
      <c r="J754" s="28" t="s">
        <v>781</v>
      </c>
      <c r="K754" s="28" t="s">
        <v>781</v>
      </c>
      <c r="L754" s="28" t="s">
        <v>781</v>
      </c>
      <c r="M754" s="28" t="s">
        <v>38</v>
      </c>
      <c r="N754" s="28" t="s">
        <v>144</v>
      </c>
      <c r="O754" s="29">
        <v>41109</v>
      </c>
      <c r="P754" s="28" t="s">
        <v>4503</v>
      </c>
      <c r="Q754" s="28"/>
      <c r="R754" s="28">
        <v>140</v>
      </c>
      <c r="S754" s="28" t="s">
        <v>29</v>
      </c>
    </row>
    <row r="755" spans="1:19">
      <c r="A755" s="28">
        <v>24500</v>
      </c>
      <c r="B755" s="28" t="s">
        <v>20</v>
      </c>
      <c r="C755" s="28" t="s">
        <v>21</v>
      </c>
      <c r="D755" s="28" t="s">
        <v>21</v>
      </c>
      <c r="E755" s="28" t="s">
        <v>2479</v>
      </c>
      <c r="F755" s="28" t="s">
        <v>2480</v>
      </c>
      <c r="G755" s="28">
        <v>52.01</v>
      </c>
      <c r="H755" s="28" t="s">
        <v>24</v>
      </c>
      <c r="I755" s="28" t="s">
        <v>2470</v>
      </c>
      <c r="J755" s="28" t="s">
        <v>295</v>
      </c>
      <c r="K755" s="28" t="s">
        <v>580</v>
      </c>
      <c r="L755" s="28" t="s">
        <v>240</v>
      </c>
      <c r="M755" s="28" t="s">
        <v>27</v>
      </c>
      <c r="N755" s="28" t="s">
        <v>28</v>
      </c>
      <c r="O755" s="29">
        <v>37252</v>
      </c>
      <c r="P755" s="28"/>
      <c r="Q755" s="28"/>
      <c r="R755" s="28">
        <v>49</v>
      </c>
      <c r="S755" s="28" t="s">
        <v>29</v>
      </c>
    </row>
    <row r="756" spans="1:19" ht="29.25">
      <c r="A756" s="28">
        <v>97400</v>
      </c>
      <c r="B756" s="28" t="s">
        <v>20</v>
      </c>
      <c r="C756" s="28" t="s">
        <v>21</v>
      </c>
      <c r="D756" s="28" t="s">
        <v>21</v>
      </c>
      <c r="E756" s="28" t="s">
        <v>2893</v>
      </c>
      <c r="F756" s="28" t="s">
        <v>2894</v>
      </c>
      <c r="G756" s="28">
        <v>400</v>
      </c>
      <c r="H756" s="28" t="s">
        <v>24</v>
      </c>
      <c r="I756" s="28" t="s">
        <v>2895</v>
      </c>
      <c r="J756" s="28" t="s">
        <v>295</v>
      </c>
      <c r="K756" s="28" t="s">
        <v>580</v>
      </c>
      <c r="L756" s="28" t="s">
        <v>240</v>
      </c>
      <c r="M756" s="28" t="s">
        <v>27</v>
      </c>
      <c r="N756" s="28" t="s">
        <v>28</v>
      </c>
      <c r="O756" s="29">
        <v>39961</v>
      </c>
      <c r="P756" s="28" t="s">
        <v>2896</v>
      </c>
      <c r="Q756" s="28"/>
      <c r="R756" s="28">
        <v>418.6</v>
      </c>
      <c r="S756" s="28" t="s">
        <v>29</v>
      </c>
    </row>
    <row r="757" spans="1:19">
      <c r="A757" s="28">
        <v>25000</v>
      </c>
      <c r="B757" s="28" t="s">
        <v>20</v>
      </c>
      <c r="C757" s="28" t="s">
        <v>21</v>
      </c>
      <c r="D757" s="28" t="s">
        <v>21</v>
      </c>
      <c r="E757" s="28" t="s">
        <v>208</v>
      </c>
      <c r="F757" s="28" t="s">
        <v>209</v>
      </c>
      <c r="G757" s="28">
        <v>32</v>
      </c>
      <c r="H757" s="28" t="s">
        <v>24</v>
      </c>
      <c r="I757" s="28" t="s">
        <v>4</v>
      </c>
      <c r="J757" s="28" t="s">
        <v>25</v>
      </c>
      <c r="K757" s="28" t="s">
        <v>25</v>
      </c>
      <c r="L757" s="28" t="s">
        <v>26</v>
      </c>
      <c r="M757" s="28" t="s">
        <v>27</v>
      </c>
      <c r="N757" s="28" t="s">
        <v>28</v>
      </c>
      <c r="O757" s="29">
        <v>8037</v>
      </c>
      <c r="P757" s="28"/>
      <c r="Q757" s="28" t="s">
        <v>188</v>
      </c>
      <c r="R757" s="28">
        <v>32</v>
      </c>
      <c r="S757" s="28" t="s">
        <v>29</v>
      </c>
    </row>
    <row r="758" spans="1:19">
      <c r="A758" s="28">
        <v>25100</v>
      </c>
      <c r="B758" s="28" t="s">
        <v>20</v>
      </c>
      <c r="C758" s="28" t="s">
        <v>21</v>
      </c>
      <c r="D758" s="28" t="s">
        <v>21</v>
      </c>
      <c r="E758" s="28" t="s">
        <v>210</v>
      </c>
      <c r="F758" s="28" t="s">
        <v>211</v>
      </c>
      <c r="G758" s="28">
        <v>32</v>
      </c>
      <c r="H758" s="28" t="s">
        <v>24</v>
      </c>
      <c r="I758" s="28" t="s">
        <v>4</v>
      </c>
      <c r="J758" s="28" t="s">
        <v>25</v>
      </c>
      <c r="K758" s="28" t="s">
        <v>25</v>
      </c>
      <c r="L758" s="28" t="s">
        <v>26</v>
      </c>
      <c r="M758" s="28" t="s">
        <v>27</v>
      </c>
      <c r="N758" s="28" t="s">
        <v>28</v>
      </c>
      <c r="O758" s="29">
        <v>8037</v>
      </c>
      <c r="P758" s="28"/>
      <c r="Q758" s="28" t="s">
        <v>188</v>
      </c>
      <c r="R758" s="28">
        <v>32</v>
      </c>
      <c r="S758" s="28" t="s">
        <v>29</v>
      </c>
    </row>
    <row r="759" spans="1:19">
      <c r="A759" s="28">
        <v>25600</v>
      </c>
      <c r="B759" s="28" t="s">
        <v>20</v>
      </c>
      <c r="C759" s="28" t="s">
        <v>21</v>
      </c>
      <c r="D759" s="28" t="s">
        <v>21</v>
      </c>
      <c r="E759" s="28" t="s">
        <v>500</v>
      </c>
      <c r="F759" s="28" t="s">
        <v>501</v>
      </c>
      <c r="G759" s="28">
        <v>39</v>
      </c>
      <c r="H759" s="28" t="s">
        <v>24</v>
      </c>
      <c r="I759" s="28" t="s">
        <v>4</v>
      </c>
      <c r="J759" s="28" t="s">
        <v>25</v>
      </c>
      <c r="K759" s="28" t="s">
        <v>25</v>
      </c>
      <c r="L759" s="28" t="s">
        <v>26</v>
      </c>
      <c r="M759" s="28" t="s">
        <v>27</v>
      </c>
      <c r="N759" s="28" t="s">
        <v>28</v>
      </c>
      <c r="O759" s="29">
        <v>23743</v>
      </c>
      <c r="P759" s="28"/>
      <c r="Q759" s="28" t="s">
        <v>188</v>
      </c>
      <c r="R759" s="28">
        <v>39</v>
      </c>
      <c r="S759" s="28" t="s">
        <v>29</v>
      </c>
    </row>
    <row r="760" spans="1:19">
      <c r="A760" s="28">
        <v>25700</v>
      </c>
      <c r="B760" s="28" t="s">
        <v>20</v>
      </c>
      <c r="C760" s="28" t="s">
        <v>21</v>
      </c>
      <c r="D760" s="28" t="s">
        <v>21</v>
      </c>
      <c r="E760" s="28" t="s">
        <v>502</v>
      </c>
      <c r="F760" s="28" t="s">
        <v>503</v>
      </c>
      <c r="G760" s="28">
        <v>40</v>
      </c>
      <c r="H760" s="28" t="s">
        <v>24</v>
      </c>
      <c r="I760" s="28" t="s">
        <v>4</v>
      </c>
      <c r="J760" s="28" t="s">
        <v>25</v>
      </c>
      <c r="K760" s="28" t="s">
        <v>25</v>
      </c>
      <c r="L760" s="28" t="s">
        <v>26</v>
      </c>
      <c r="M760" s="28" t="s">
        <v>27</v>
      </c>
      <c r="N760" s="28" t="s">
        <v>28</v>
      </c>
      <c r="O760" s="29">
        <v>23743</v>
      </c>
      <c r="P760" s="28"/>
      <c r="Q760" s="28" t="s">
        <v>188</v>
      </c>
      <c r="R760" s="28">
        <v>40</v>
      </c>
      <c r="S760" s="28" t="s">
        <v>29</v>
      </c>
    </row>
    <row r="761" spans="1:19">
      <c r="A761" s="28">
        <v>25800</v>
      </c>
      <c r="B761" s="28" t="s">
        <v>20</v>
      </c>
      <c r="C761" s="28" t="s">
        <v>21</v>
      </c>
      <c r="D761" s="28" t="s">
        <v>21</v>
      </c>
      <c r="E761" s="28" t="s">
        <v>504</v>
      </c>
      <c r="F761" s="28" t="s">
        <v>505</v>
      </c>
      <c r="G761" s="28">
        <v>55.7</v>
      </c>
      <c r="H761" s="28" t="s">
        <v>24</v>
      </c>
      <c r="I761" s="28" t="s">
        <v>4</v>
      </c>
      <c r="J761" s="28" t="s">
        <v>25</v>
      </c>
      <c r="K761" s="28" t="s">
        <v>25</v>
      </c>
      <c r="L761" s="28" t="s">
        <v>26</v>
      </c>
      <c r="M761" s="28" t="s">
        <v>27</v>
      </c>
      <c r="N761" s="28" t="s">
        <v>28</v>
      </c>
      <c r="O761" s="29">
        <v>23743</v>
      </c>
      <c r="P761" s="28"/>
      <c r="Q761" s="28" t="s">
        <v>188</v>
      </c>
      <c r="R761" s="28">
        <v>55.7</v>
      </c>
      <c r="S761" s="28" t="s">
        <v>29</v>
      </c>
    </row>
    <row r="762" spans="1:19">
      <c r="A762" s="28">
        <v>25900</v>
      </c>
      <c r="B762" s="28" t="s">
        <v>20</v>
      </c>
      <c r="C762" s="28" t="s">
        <v>21</v>
      </c>
      <c r="D762" s="28" t="s">
        <v>21</v>
      </c>
      <c r="E762" s="28" t="s">
        <v>506</v>
      </c>
      <c r="F762" s="28" t="s">
        <v>507</v>
      </c>
      <c r="G762" s="28">
        <v>54.6</v>
      </c>
      <c r="H762" s="28" t="s">
        <v>24</v>
      </c>
      <c r="I762" s="28" t="s">
        <v>4</v>
      </c>
      <c r="J762" s="28" t="s">
        <v>25</v>
      </c>
      <c r="K762" s="28" t="s">
        <v>25</v>
      </c>
      <c r="L762" s="28" t="s">
        <v>26</v>
      </c>
      <c r="M762" s="28" t="s">
        <v>27</v>
      </c>
      <c r="N762" s="28" t="s">
        <v>28</v>
      </c>
      <c r="O762" s="29">
        <v>23743</v>
      </c>
      <c r="P762" s="28"/>
      <c r="Q762" s="28" t="s">
        <v>188</v>
      </c>
      <c r="R762" s="28">
        <v>54.6</v>
      </c>
      <c r="S762" s="28" t="s">
        <v>29</v>
      </c>
    </row>
    <row r="763" spans="1:19">
      <c r="A763" s="28">
        <v>26400</v>
      </c>
      <c r="B763" s="28" t="s">
        <v>20</v>
      </c>
      <c r="C763" s="28" t="s">
        <v>21</v>
      </c>
      <c r="D763" s="28" t="s">
        <v>21</v>
      </c>
      <c r="E763" s="28" t="s">
        <v>433</v>
      </c>
      <c r="F763" s="28" t="s">
        <v>434</v>
      </c>
      <c r="G763" s="28">
        <v>312</v>
      </c>
      <c r="H763" s="28" t="s">
        <v>24</v>
      </c>
      <c r="I763" s="28" t="s">
        <v>435</v>
      </c>
      <c r="J763" s="28" t="s">
        <v>365</v>
      </c>
      <c r="K763" s="28" t="s">
        <v>366</v>
      </c>
      <c r="L763" s="28" t="s">
        <v>240</v>
      </c>
      <c r="M763" s="28" t="s">
        <v>27</v>
      </c>
      <c r="N763" s="28" t="s">
        <v>28</v>
      </c>
      <c r="O763" s="29">
        <v>21916</v>
      </c>
      <c r="P763" s="28"/>
      <c r="Q763" s="28"/>
      <c r="R763" s="28">
        <v>320</v>
      </c>
      <c r="S763" s="28" t="s">
        <v>29</v>
      </c>
    </row>
    <row r="764" spans="1:19">
      <c r="A764" s="28">
        <v>26500</v>
      </c>
      <c r="B764" s="28" t="s">
        <v>20</v>
      </c>
      <c r="C764" s="28" t="s">
        <v>21</v>
      </c>
      <c r="D764" s="28" t="s">
        <v>21</v>
      </c>
      <c r="E764" s="28" t="s">
        <v>446</v>
      </c>
      <c r="F764" s="28" t="s">
        <v>447</v>
      </c>
      <c r="G764" s="28">
        <v>317</v>
      </c>
      <c r="H764" s="28" t="s">
        <v>24</v>
      </c>
      <c r="I764" s="28" t="s">
        <v>435</v>
      </c>
      <c r="J764" s="28" t="s">
        <v>365</v>
      </c>
      <c r="K764" s="28" t="s">
        <v>366</v>
      </c>
      <c r="L764" s="28" t="s">
        <v>240</v>
      </c>
      <c r="M764" s="28" t="s">
        <v>27</v>
      </c>
      <c r="N764" s="28" t="s">
        <v>28</v>
      </c>
      <c r="O764" s="29">
        <v>22282</v>
      </c>
      <c r="P764" s="28"/>
      <c r="Q764" s="28"/>
      <c r="R764" s="28">
        <v>325</v>
      </c>
      <c r="S764" s="28" t="s">
        <v>29</v>
      </c>
    </row>
    <row r="765" spans="1:19">
      <c r="A765" s="28">
        <v>26600</v>
      </c>
      <c r="B765" s="28" t="s">
        <v>20</v>
      </c>
      <c r="C765" s="28" t="s">
        <v>21</v>
      </c>
      <c r="D765" s="28" t="s">
        <v>21</v>
      </c>
      <c r="E765" s="28" t="s">
        <v>672</v>
      </c>
      <c r="F765" s="28" t="s">
        <v>673</v>
      </c>
      <c r="G765" s="28">
        <v>682</v>
      </c>
      <c r="H765" s="28" t="s">
        <v>24</v>
      </c>
      <c r="I765" s="28" t="s">
        <v>435</v>
      </c>
      <c r="J765" s="28" t="s">
        <v>365</v>
      </c>
      <c r="K765" s="28" t="s">
        <v>366</v>
      </c>
      <c r="L765" s="28" t="s">
        <v>240</v>
      </c>
      <c r="M765" s="28" t="s">
        <v>27</v>
      </c>
      <c r="N765" s="28" t="s">
        <v>28</v>
      </c>
      <c r="O765" s="29">
        <v>26299</v>
      </c>
      <c r="P765" s="28"/>
      <c r="Q765" s="28"/>
      <c r="R765" s="28">
        <v>712</v>
      </c>
      <c r="S765" s="28" t="s">
        <v>29</v>
      </c>
    </row>
    <row r="766" spans="1:19">
      <c r="A766" s="28">
        <v>26700</v>
      </c>
      <c r="B766" s="28" t="s">
        <v>20</v>
      </c>
      <c r="C766" s="28" t="s">
        <v>21</v>
      </c>
      <c r="D766" s="28" t="s">
        <v>21</v>
      </c>
      <c r="E766" s="28" t="s">
        <v>414</v>
      </c>
      <c r="F766" s="28" t="s">
        <v>415</v>
      </c>
      <c r="G766" s="28">
        <v>69</v>
      </c>
      <c r="H766" s="28" t="s">
        <v>24</v>
      </c>
      <c r="I766" s="28" t="s">
        <v>4</v>
      </c>
      <c r="J766" s="28" t="s">
        <v>25</v>
      </c>
      <c r="K766" s="28" t="s">
        <v>25</v>
      </c>
      <c r="L766" s="28" t="s">
        <v>26</v>
      </c>
      <c r="M766" s="28" t="s">
        <v>27</v>
      </c>
      <c r="N766" s="28" t="s">
        <v>28</v>
      </c>
      <c r="O766" s="29">
        <v>21186</v>
      </c>
      <c r="P766" s="28"/>
      <c r="Q766" s="28" t="s">
        <v>175</v>
      </c>
      <c r="R766" s="28">
        <v>68</v>
      </c>
      <c r="S766" s="28" t="s">
        <v>29</v>
      </c>
    </row>
    <row r="767" spans="1:19">
      <c r="A767" s="28">
        <v>26800</v>
      </c>
      <c r="B767" s="28" t="s">
        <v>20</v>
      </c>
      <c r="C767" s="28" t="s">
        <v>21</v>
      </c>
      <c r="D767" s="28" t="s">
        <v>21</v>
      </c>
      <c r="E767" s="28" t="s">
        <v>416</v>
      </c>
      <c r="F767" s="28" t="s">
        <v>417</v>
      </c>
      <c r="G767" s="28">
        <v>68.5</v>
      </c>
      <c r="H767" s="28" t="s">
        <v>24</v>
      </c>
      <c r="I767" s="28" t="s">
        <v>4</v>
      </c>
      <c r="J767" s="28" t="s">
        <v>25</v>
      </c>
      <c r="K767" s="28" t="s">
        <v>25</v>
      </c>
      <c r="L767" s="28" t="s">
        <v>26</v>
      </c>
      <c r="M767" s="28" t="s">
        <v>27</v>
      </c>
      <c r="N767" s="28" t="s">
        <v>28</v>
      </c>
      <c r="O767" s="29">
        <v>21186</v>
      </c>
      <c r="P767" s="28"/>
      <c r="Q767" s="28" t="s">
        <v>175</v>
      </c>
      <c r="R767" s="28">
        <v>68.5</v>
      </c>
      <c r="S767" s="28" t="s">
        <v>29</v>
      </c>
    </row>
    <row r="768" spans="1:19" ht="29.25">
      <c r="A768" s="28">
        <v>26900</v>
      </c>
      <c r="B768" s="28" t="s">
        <v>20</v>
      </c>
      <c r="C768" s="28" t="s">
        <v>21</v>
      </c>
      <c r="D768" s="28" t="s">
        <v>21</v>
      </c>
      <c r="E768" s="28" t="s">
        <v>224</v>
      </c>
      <c r="F768" s="28" t="s">
        <v>225</v>
      </c>
      <c r="G768" s="28">
        <v>10.9</v>
      </c>
      <c r="H768" s="28" t="s">
        <v>5</v>
      </c>
      <c r="I768" s="28" t="s">
        <v>5</v>
      </c>
      <c r="J768" s="28" t="s">
        <v>25</v>
      </c>
      <c r="K768" s="28" t="s">
        <v>25</v>
      </c>
      <c r="L768" s="28" t="s">
        <v>26</v>
      </c>
      <c r="M768" s="28" t="s">
        <v>38</v>
      </c>
      <c r="N768" s="28" t="s">
        <v>39</v>
      </c>
      <c r="O768" s="29">
        <v>8767</v>
      </c>
      <c r="P768" s="28" t="s">
        <v>112</v>
      </c>
      <c r="Q768" s="28"/>
      <c r="R768" s="28">
        <v>10.9</v>
      </c>
      <c r="S768" s="28" t="s">
        <v>29</v>
      </c>
    </row>
    <row r="769" spans="1:19" ht="29.25">
      <c r="A769" s="28">
        <v>96100</v>
      </c>
      <c r="B769" s="28" t="s">
        <v>20</v>
      </c>
      <c r="C769" s="28" t="s">
        <v>30</v>
      </c>
      <c r="D769" s="28" t="s">
        <v>21</v>
      </c>
      <c r="E769" s="28" t="s">
        <v>2866</v>
      </c>
      <c r="F769" s="28" t="s">
        <v>2867</v>
      </c>
      <c r="G769" s="28">
        <v>4</v>
      </c>
      <c r="H769" s="28" t="s">
        <v>5</v>
      </c>
      <c r="I769" s="28" t="s">
        <v>2868</v>
      </c>
      <c r="J769" s="28" t="s">
        <v>788</v>
      </c>
      <c r="K769" s="28" t="s">
        <v>2258</v>
      </c>
      <c r="L769" s="28" t="s">
        <v>888</v>
      </c>
      <c r="M769" s="28" t="s">
        <v>38</v>
      </c>
      <c r="N769" s="28" t="s">
        <v>39</v>
      </c>
      <c r="O769" s="29">
        <v>39423</v>
      </c>
      <c r="P769" s="28"/>
      <c r="Q769" s="28"/>
      <c r="R769" s="28">
        <v>9.27</v>
      </c>
      <c r="S769" s="28" t="s">
        <v>29</v>
      </c>
    </row>
    <row r="770" spans="1:19">
      <c r="A770" s="28">
        <v>111200</v>
      </c>
      <c r="B770" s="28" t="s">
        <v>20</v>
      </c>
      <c r="C770" s="28" t="s">
        <v>21</v>
      </c>
      <c r="D770" s="28" t="s">
        <v>21</v>
      </c>
      <c r="E770" s="28" t="s">
        <v>4623</v>
      </c>
      <c r="F770" s="28" t="s">
        <v>4754</v>
      </c>
      <c r="G770" s="28">
        <v>20</v>
      </c>
      <c r="H770" s="28" t="s">
        <v>24</v>
      </c>
      <c r="I770" s="28" t="s">
        <v>4755</v>
      </c>
      <c r="J770" s="28" t="s">
        <v>1025</v>
      </c>
      <c r="K770" s="28" t="s">
        <v>2138</v>
      </c>
      <c r="L770" s="28" t="s">
        <v>1026</v>
      </c>
      <c r="M770" s="28" t="s">
        <v>27</v>
      </c>
      <c r="N770" s="28" t="s">
        <v>28</v>
      </c>
      <c r="O770" s="29">
        <v>41431</v>
      </c>
      <c r="P770" s="28"/>
      <c r="Q770" s="28"/>
      <c r="R770" s="28">
        <v>20</v>
      </c>
      <c r="S770" s="28" t="s">
        <v>29</v>
      </c>
    </row>
    <row r="771" spans="1:19" ht="29.25">
      <c r="A771" s="24">
        <v>27500</v>
      </c>
      <c r="B771" s="24" t="s">
        <v>20</v>
      </c>
      <c r="C771" s="24" t="s">
        <v>21</v>
      </c>
      <c r="D771" s="24" t="s">
        <v>30</v>
      </c>
      <c r="E771" s="24" t="s">
        <v>2395</v>
      </c>
      <c r="F771" s="24" t="s">
        <v>2396</v>
      </c>
      <c r="G771" s="24">
        <v>44</v>
      </c>
      <c r="H771" s="24" t="s">
        <v>24</v>
      </c>
      <c r="I771" s="24" t="s">
        <v>2341</v>
      </c>
      <c r="J771" s="24" t="s">
        <v>295</v>
      </c>
      <c r="K771" s="24" t="s">
        <v>296</v>
      </c>
      <c r="L771" s="24" t="s">
        <v>240</v>
      </c>
      <c r="M771" s="24" t="s">
        <v>27</v>
      </c>
      <c r="N771" s="24" t="s">
        <v>28</v>
      </c>
      <c r="O771" s="25">
        <v>37114</v>
      </c>
      <c r="P771" s="24"/>
      <c r="Q771" s="24"/>
      <c r="R771" s="24">
        <v>44</v>
      </c>
      <c r="S771" s="24" t="s">
        <v>29</v>
      </c>
    </row>
    <row r="772" spans="1:19">
      <c r="A772" s="26">
        <v>27501</v>
      </c>
      <c r="B772" s="26" t="s">
        <v>20</v>
      </c>
      <c r="C772" s="26" t="s">
        <v>21</v>
      </c>
      <c r="D772" s="26" t="s">
        <v>21</v>
      </c>
      <c r="E772" s="26" t="s">
        <v>2397</v>
      </c>
      <c r="F772" s="26" t="s">
        <v>2398</v>
      </c>
      <c r="G772" s="26"/>
      <c r="H772" s="26" t="s">
        <v>24</v>
      </c>
      <c r="I772" s="26" t="s">
        <v>2341</v>
      </c>
      <c r="J772" s="26" t="s">
        <v>295</v>
      </c>
      <c r="K772" s="26" t="s">
        <v>296</v>
      </c>
      <c r="L772" s="26" t="s">
        <v>240</v>
      </c>
      <c r="M772" s="26" t="s">
        <v>27</v>
      </c>
      <c r="N772" s="26" t="s">
        <v>28</v>
      </c>
      <c r="O772" s="27">
        <v>37114</v>
      </c>
      <c r="P772" s="26"/>
      <c r="Q772" s="26"/>
      <c r="R772" s="26">
        <v>3</v>
      </c>
      <c r="S772" s="26" t="s">
        <v>29</v>
      </c>
    </row>
    <row r="773" spans="1:19">
      <c r="A773" s="26">
        <v>27510</v>
      </c>
      <c r="B773" s="26" t="s">
        <v>20</v>
      </c>
      <c r="C773" s="26" t="s">
        <v>21</v>
      </c>
      <c r="D773" s="26" t="s">
        <v>21</v>
      </c>
      <c r="E773" s="26" t="s">
        <v>2399</v>
      </c>
      <c r="F773" s="26" t="s">
        <v>2400</v>
      </c>
      <c r="G773" s="26"/>
      <c r="H773" s="26" t="s">
        <v>24</v>
      </c>
      <c r="I773" s="26" t="s">
        <v>2341</v>
      </c>
      <c r="J773" s="26" t="s">
        <v>295</v>
      </c>
      <c r="K773" s="26" t="s">
        <v>296</v>
      </c>
      <c r="L773" s="26" t="s">
        <v>240</v>
      </c>
      <c r="M773" s="26" t="s">
        <v>27</v>
      </c>
      <c r="N773" s="26" t="s">
        <v>28</v>
      </c>
      <c r="O773" s="27">
        <v>37114</v>
      </c>
      <c r="P773" s="26"/>
      <c r="Q773" s="26"/>
      <c r="R773" s="26">
        <v>3</v>
      </c>
      <c r="S773" s="26" t="s">
        <v>29</v>
      </c>
    </row>
    <row r="774" spans="1:19">
      <c r="A774" s="26">
        <v>27511</v>
      </c>
      <c r="B774" s="26" t="s">
        <v>20</v>
      </c>
      <c r="C774" s="26" t="s">
        <v>21</v>
      </c>
      <c r="D774" s="26" t="s">
        <v>21</v>
      </c>
      <c r="E774" s="26" t="s">
        <v>2401</v>
      </c>
      <c r="F774" s="26" t="s">
        <v>2402</v>
      </c>
      <c r="G774" s="26"/>
      <c r="H774" s="26" t="s">
        <v>24</v>
      </c>
      <c r="I774" s="26" t="s">
        <v>2341</v>
      </c>
      <c r="J774" s="26" t="s">
        <v>295</v>
      </c>
      <c r="K774" s="26" t="s">
        <v>296</v>
      </c>
      <c r="L774" s="26" t="s">
        <v>240</v>
      </c>
      <c r="M774" s="26" t="s">
        <v>27</v>
      </c>
      <c r="N774" s="26" t="s">
        <v>28</v>
      </c>
      <c r="O774" s="27">
        <v>37114</v>
      </c>
      <c r="P774" s="26"/>
      <c r="Q774" s="26"/>
      <c r="R774" s="26">
        <v>3</v>
      </c>
      <c r="S774" s="26" t="s">
        <v>29</v>
      </c>
    </row>
    <row r="775" spans="1:19">
      <c r="A775" s="26">
        <v>27512</v>
      </c>
      <c r="B775" s="26" t="s">
        <v>20</v>
      </c>
      <c r="C775" s="26" t="s">
        <v>21</v>
      </c>
      <c r="D775" s="26" t="s">
        <v>21</v>
      </c>
      <c r="E775" s="26" t="s">
        <v>2403</v>
      </c>
      <c r="F775" s="26" t="s">
        <v>2404</v>
      </c>
      <c r="G775" s="26"/>
      <c r="H775" s="26" t="s">
        <v>24</v>
      </c>
      <c r="I775" s="26" t="s">
        <v>2341</v>
      </c>
      <c r="J775" s="26" t="s">
        <v>295</v>
      </c>
      <c r="K775" s="26" t="s">
        <v>296</v>
      </c>
      <c r="L775" s="26" t="s">
        <v>240</v>
      </c>
      <c r="M775" s="26" t="s">
        <v>27</v>
      </c>
      <c r="N775" s="26" t="s">
        <v>28</v>
      </c>
      <c r="O775" s="27">
        <v>37114</v>
      </c>
      <c r="P775" s="26"/>
      <c r="Q775" s="26"/>
      <c r="R775" s="26">
        <v>3</v>
      </c>
      <c r="S775" s="26" t="s">
        <v>29</v>
      </c>
    </row>
    <row r="776" spans="1:19">
      <c r="A776" s="26">
        <v>27513</v>
      </c>
      <c r="B776" s="26" t="s">
        <v>20</v>
      </c>
      <c r="C776" s="26" t="s">
        <v>21</v>
      </c>
      <c r="D776" s="26" t="s">
        <v>21</v>
      </c>
      <c r="E776" s="26" t="s">
        <v>2405</v>
      </c>
      <c r="F776" s="26" t="s">
        <v>2406</v>
      </c>
      <c r="G776" s="26"/>
      <c r="H776" s="26" t="s">
        <v>24</v>
      </c>
      <c r="I776" s="26" t="s">
        <v>2341</v>
      </c>
      <c r="J776" s="26" t="s">
        <v>295</v>
      </c>
      <c r="K776" s="26" t="s">
        <v>296</v>
      </c>
      <c r="L776" s="26" t="s">
        <v>240</v>
      </c>
      <c r="M776" s="26" t="s">
        <v>27</v>
      </c>
      <c r="N776" s="26" t="s">
        <v>28</v>
      </c>
      <c r="O776" s="27">
        <v>37114</v>
      </c>
      <c r="P776" s="26"/>
      <c r="Q776" s="26"/>
      <c r="R776" s="26">
        <v>3</v>
      </c>
      <c r="S776" s="26" t="s">
        <v>29</v>
      </c>
    </row>
    <row r="777" spans="1:19">
      <c r="A777" s="26">
        <v>27514</v>
      </c>
      <c r="B777" s="26" t="s">
        <v>20</v>
      </c>
      <c r="C777" s="26" t="s">
        <v>21</v>
      </c>
      <c r="D777" s="26" t="s">
        <v>21</v>
      </c>
      <c r="E777" s="26" t="s">
        <v>2407</v>
      </c>
      <c r="F777" s="26" t="s">
        <v>2408</v>
      </c>
      <c r="G777" s="26"/>
      <c r="H777" s="26" t="s">
        <v>24</v>
      </c>
      <c r="I777" s="26" t="s">
        <v>2341</v>
      </c>
      <c r="J777" s="26" t="s">
        <v>295</v>
      </c>
      <c r="K777" s="26" t="s">
        <v>296</v>
      </c>
      <c r="L777" s="26" t="s">
        <v>240</v>
      </c>
      <c r="M777" s="26" t="s">
        <v>27</v>
      </c>
      <c r="N777" s="26" t="s">
        <v>28</v>
      </c>
      <c r="O777" s="27">
        <v>37114</v>
      </c>
      <c r="P777" s="26"/>
      <c r="Q777" s="26"/>
      <c r="R777" s="26">
        <v>3</v>
      </c>
      <c r="S777" s="26" t="s">
        <v>29</v>
      </c>
    </row>
    <row r="778" spans="1:19">
      <c r="A778" s="26">
        <v>27515</v>
      </c>
      <c r="B778" s="26" t="s">
        <v>20</v>
      </c>
      <c r="C778" s="26" t="s">
        <v>21</v>
      </c>
      <c r="D778" s="26" t="s">
        <v>21</v>
      </c>
      <c r="E778" s="26" t="s">
        <v>2409</v>
      </c>
      <c r="F778" s="26" t="s">
        <v>2410</v>
      </c>
      <c r="G778" s="26"/>
      <c r="H778" s="26" t="s">
        <v>24</v>
      </c>
      <c r="I778" s="26" t="s">
        <v>2341</v>
      </c>
      <c r="J778" s="26" t="s">
        <v>295</v>
      </c>
      <c r="K778" s="26" t="s">
        <v>296</v>
      </c>
      <c r="L778" s="26" t="s">
        <v>240</v>
      </c>
      <c r="M778" s="26" t="s">
        <v>27</v>
      </c>
      <c r="N778" s="26" t="s">
        <v>28</v>
      </c>
      <c r="O778" s="27">
        <v>37114</v>
      </c>
      <c r="P778" s="26"/>
      <c r="Q778" s="26"/>
      <c r="R778" s="26">
        <v>3</v>
      </c>
      <c r="S778" s="26" t="s">
        <v>29</v>
      </c>
    </row>
    <row r="779" spans="1:19">
      <c r="A779" s="26">
        <v>27516</v>
      </c>
      <c r="B779" s="26" t="s">
        <v>20</v>
      </c>
      <c r="C779" s="26" t="s">
        <v>21</v>
      </c>
      <c r="D779" s="26" t="s">
        <v>21</v>
      </c>
      <c r="E779" s="26" t="s">
        <v>2411</v>
      </c>
      <c r="F779" s="26" t="s">
        <v>2412</v>
      </c>
      <c r="G779" s="26"/>
      <c r="H779" s="26" t="s">
        <v>24</v>
      </c>
      <c r="I779" s="26" t="s">
        <v>2341</v>
      </c>
      <c r="J779" s="26" t="s">
        <v>295</v>
      </c>
      <c r="K779" s="26" t="s">
        <v>296</v>
      </c>
      <c r="L779" s="26" t="s">
        <v>240</v>
      </c>
      <c r="M779" s="26" t="s">
        <v>27</v>
      </c>
      <c r="N779" s="26" t="s">
        <v>28</v>
      </c>
      <c r="O779" s="27">
        <v>37114</v>
      </c>
      <c r="P779" s="26"/>
      <c r="Q779" s="26"/>
      <c r="R779" s="26">
        <v>3</v>
      </c>
      <c r="S779" s="26" t="s">
        <v>29</v>
      </c>
    </row>
    <row r="780" spans="1:19">
      <c r="A780" s="26">
        <v>27502</v>
      </c>
      <c r="B780" s="26" t="s">
        <v>20</v>
      </c>
      <c r="C780" s="26" t="s">
        <v>21</v>
      </c>
      <c r="D780" s="26" t="s">
        <v>21</v>
      </c>
      <c r="E780" s="26" t="s">
        <v>2413</v>
      </c>
      <c r="F780" s="26" t="s">
        <v>2414</v>
      </c>
      <c r="G780" s="26"/>
      <c r="H780" s="26" t="s">
        <v>24</v>
      </c>
      <c r="I780" s="26" t="s">
        <v>2341</v>
      </c>
      <c r="J780" s="26" t="s">
        <v>295</v>
      </c>
      <c r="K780" s="26" t="s">
        <v>296</v>
      </c>
      <c r="L780" s="26" t="s">
        <v>240</v>
      </c>
      <c r="M780" s="26" t="s">
        <v>27</v>
      </c>
      <c r="N780" s="26" t="s">
        <v>28</v>
      </c>
      <c r="O780" s="27">
        <v>37114</v>
      </c>
      <c r="P780" s="26"/>
      <c r="Q780" s="26"/>
      <c r="R780" s="26">
        <v>3</v>
      </c>
      <c r="S780" s="26" t="s">
        <v>29</v>
      </c>
    </row>
    <row r="781" spans="1:19">
      <c r="A781" s="26">
        <v>27503</v>
      </c>
      <c r="B781" s="26" t="s">
        <v>20</v>
      </c>
      <c r="C781" s="26" t="s">
        <v>21</v>
      </c>
      <c r="D781" s="26" t="s">
        <v>21</v>
      </c>
      <c r="E781" s="26" t="s">
        <v>2415</v>
      </c>
      <c r="F781" s="26" t="s">
        <v>2416</v>
      </c>
      <c r="G781" s="26"/>
      <c r="H781" s="26" t="s">
        <v>24</v>
      </c>
      <c r="I781" s="26" t="s">
        <v>2341</v>
      </c>
      <c r="J781" s="26" t="s">
        <v>295</v>
      </c>
      <c r="K781" s="26" t="s">
        <v>296</v>
      </c>
      <c r="L781" s="26" t="s">
        <v>240</v>
      </c>
      <c r="M781" s="26" t="s">
        <v>27</v>
      </c>
      <c r="N781" s="26" t="s">
        <v>28</v>
      </c>
      <c r="O781" s="27">
        <v>37114</v>
      </c>
      <c r="P781" s="26"/>
      <c r="Q781" s="26"/>
      <c r="R781" s="26">
        <v>3</v>
      </c>
      <c r="S781" s="26" t="s">
        <v>29</v>
      </c>
    </row>
    <row r="782" spans="1:19">
      <c r="A782" s="26">
        <v>27504</v>
      </c>
      <c r="B782" s="26" t="s">
        <v>20</v>
      </c>
      <c r="C782" s="26" t="s">
        <v>21</v>
      </c>
      <c r="D782" s="26" t="s">
        <v>21</v>
      </c>
      <c r="E782" s="26" t="s">
        <v>2417</v>
      </c>
      <c r="F782" s="26" t="s">
        <v>2418</v>
      </c>
      <c r="G782" s="26"/>
      <c r="H782" s="26" t="s">
        <v>24</v>
      </c>
      <c r="I782" s="26" t="s">
        <v>2341</v>
      </c>
      <c r="J782" s="26" t="s">
        <v>295</v>
      </c>
      <c r="K782" s="26" t="s">
        <v>296</v>
      </c>
      <c r="L782" s="26" t="s">
        <v>240</v>
      </c>
      <c r="M782" s="26" t="s">
        <v>27</v>
      </c>
      <c r="N782" s="26" t="s">
        <v>28</v>
      </c>
      <c r="O782" s="27">
        <v>37114</v>
      </c>
      <c r="P782" s="26"/>
      <c r="Q782" s="26"/>
      <c r="R782" s="26">
        <v>3</v>
      </c>
      <c r="S782" s="26" t="s">
        <v>29</v>
      </c>
    </row>
    <row r="783" spans="1:19">
      <c r="A783" s="26">
        <v>27505</v>
      </c>
      <c r="B783" s="26" t="s">
        <v>20</v>
      </c>
      <c r="C783" s="26" t="s">
        <v>21</v>
      </c>
      <c r="D783" s="26" t="s">
        <v>21</v>
      </c>
      <c r="E783" s="26" t="s">
        <v>2419</v>
      </c>
      <c r="F783" s="26" t="s">
        <v>2420</v>
      </c>
      <c r="G783" s="26"/>
      <c r="H783" s="26" t="s">
        <v>24</v>
      </c>
      <c r="I783" s="26" t="s">
        <v>2341</v>
      </c>
      <c r="J783" s="26" t="s">
        <v>295</v>
      </c>
      <c r="K783" s="26" t="s">
        <v>296</v>
      </c>
      <c r="L783" s="26" t="s">
        <v>240</v>
      </c>
      <c r="M783" s="26" t="s">
        <v>27</v>
      </c>
      <c r="N783" s="26" t="s">
        <v>28</v>
      </c>
      <c r="O783" s="27">
        <v>37114</v>
      </c>
      <c r="P783" s="26"/>
      <c r="Q783" s="26"/>
      <c r="R783" s="26">
        <v>3</v>
      </c>
      <c r="S783" s="26" t="s">
        <v>29</v>
      </c>
    </row>
    <row r="784" spans="1:19">
      <c r="A784" s="26">
        <v>27506</v>
      </c>
      <c r="B784" s="26" t="s">
        <v>20</v>
      </c>
      <c r="C784" s="26" t="s">
        <v>21</v>
      </c>
      <c r="D784" s="26" t="s">
        <v>21</v>
      </c>
      <c r="E784" s="26" t="s">
        <v>2421</v>
      </c>
      <c r="F784" s="26" t="s">
        <v>2422</v>
      </c>
      <c r="G784" s="26"/>
      <c r="H784" s="26" t="s">
        <v>24</v>
      </c>
      <c r="I784" s="26" t="s">
        <v>2341</v>
      </c>
      <c r="J784" s="26" t="s">
        <v>295</v>
      </c>
      <c r="K784" s="26" t="s">
        <v>296</v>
      </c>
      <c r="L784" s="26" t="s">
        <v>240</v>
      </c>
      <c r="M784" s="26" t="s">
        <v>27</v>
      </c>
      <c r="N784" s="26" t="s">
        <v>28</v>
      </c>
      <c r="O784" s="27">
        <v>37114</v>
      </c>
      <c r="P784" s="26"/>
      <c r="Q784" s="26"/>
      <c r="R784" s="26">
        <v>3</v>
      </c>
      <c r="S784" s="26" t="s">
        <v>29</v>
      </c>
    </row>
    <row r="785" spans="1:19">
      <c r="A785" s="26">
        <v>27507</v>
      </c>
      <c r="B785" s="26" t="s">
        <v>20</v>
      </c>
      <c r="C785" s="26" t="s">
        <v>21</v>
      </c>
      <c r="D785" s="26" t="s">
        <v>21</v>
      </c>
      <c r="E785" s="26" t="s">
        <v>2423</v>
      </c>
      <c r="F785" s="26" t="s">
        <v>2424</v>
      </c>
      <c r="G785" s="26"/>
      <c r="H785" s="26" t="s">
        <v>24</v>
      </c>
      <c r="I785" s="26" t="s">
        <v>2341</v>
      </c>
      <c r="J785" s="26" t="s">
        <v>295</v>
      </c>
      <c r="K785" s="26" t="s">
        <v>296</v>
      </c>
      <c r="L785" s="26" t="s">
        <v>240</v>
      </c>
      <c r="M785" s="26" t="s">
        <v>27</v>
      </c>
      <c r="N785" s="26" t="s">
        <v>28</v>
      </c>
      <c r="O785" s="27">
        <v>37114</v>
      </c>
      <c r="P785" s="26"/>
      <c r="Q785" s="26"/>
      <c r="R785" s="26">
        <v>3</v>
      </c>
      <c r="S785" s="26" t="s">
        <v>29</v>
      </c>
    </row>
    <row r="786" spans="1:19">
      <c r="A786" s="26">
        <v>27508</v>
      </c>
      <c r="B786" s="26" t="s">
        <v>20</v>
      </c>
      <c r="C786" s="26" t="s">
        <v>21</v>
      </c>
      <c r="D786" s="26" t="s">
        <v>21</v>
      </c>
      <c r="E786" s="26" t="s">
        <v>2425</v>
      </c>
      <c r="F786" s="26" t="s">
        <v>2426</v>
      </c>
      <c r="G786" s="26"/>
      <c r="H786" s="26" t="s">
        <v>24</v>
      </c>
      <c r="I786" s="26" t="s">
        <v>2341</v>
      </c>
      <c r="J786" s="26" t="s">
        <v>295</v>
      </c>
      <c r="K786" s="26" t="s">
        <v>296</v>
      </c>
      <c r="L786" s="26" t="s">
        <v>240</v>
      </c>
      <c r="M786" s="26" t="s">
        <v>27</v>
      </c>
      <c r="N786" s="26" t="s">
        <v>28</v>
      </c>
      <c r="O786" s="27">
        <v>37114</v>
      </c>
      <c r="P786" s="26"/>
      <c r="Q786" s="26"/>
      <c r="R786" s="26">
        <v>3</v>
      </c>
      <c r="S786" s="26" t="s">
        <v>29</v>
      </c>
    </row>
    <row r="787" spans="1:19">
      <c r="A787" s="26">
        <v>27509</v>
      </c>
      <c r="B787" s="26" t="s">
        <v>20</v>
      </c>
      <c r="C787" s="26" t="s">
        <v>21</v>
      </c>
      <c r="D787" s="26" t="s">
        <v>21</v>
      </c>
      <c r="E787" s="26" t="s">
        <v>2427</v>
      </c>
      <c r="F787" s="26" t="s">
        <v>2428</v>
      </c>
      <c r="G787" s="26"/>
      <c r="H787" s="26" t="s">
        <v>24</v>
      </c>
      <c r="I787" s="26" t="s">
        <v>2341</v>
      </c>
      <c r="J787" s="26" t="s">
        <v>295</v>
      </c>
      <c r="K787" s="26" t="s">
        <v>296</v>
      </c>
      <c r="L787" s="26" t="s">
        <v>240</v>
      </c>
      <c r="M787" s="26" t="s">
        <v>27</v>
      </c>
      <c r="N787" s="26" t="s">
        <v>28</v>
      </c>
      <c r="O787" s="27">
        <v>37114</v>
      </c>
      <c r="P787" s="26"/>
      <c r="Q787" s="26"/>
      <c r="R787" s="26">
        <v>3</v>
      </c>
      <c r="S787" s="26" t="s">
        <v>29</v>
      </c>
    </row>
    <row r="788" spans="1:19">
      <c r="A788" s="28">
        <v>83000</v>
      </c>
      <c r="B788" s="28" t="s">
        <v>20</v>
      </c>
      <c r="C788" s="28" t="s">
        <v>21</v>
      </c>
      <c r="D788" s="28" t="s">
        <v>21</v>
      </c>
      <c r="E788" s="28" t="s">
        <v>2611</v>
      </c>
      <c r="F788" s="28" t="s">
        <v>2612</v>
      </c>
      <c r="G788" s="28">
        <v>48.7</v>
      </c>
      <c r="H788" s="28" t="s">
        <v>24</v>
      </c>
      <c r="I788" s="28" t="s">
        <v>2613</v>
      </c>
      <c r="J788" s="28" t="s">
        <v>295</v>
      </c>
      <c r="K788" s="28" t="s">
        <v>580</v>
      </c>
      <c r="L788" s="28" t="s">
        <v>240</v>
      </c>
      <c r="M788" s="28" t="s">
        <v>27</v>
      </c>
      <c r="N788" s="28" t="s">
        <v>28</v>
      </c>
      <c r="O788" s="29">
        <v>37743</v>
      </c>
      <c r="P788" s="28"/>
      <c r="Q788" s="28"/>
      <c r="R788" s="28">
        <v>49.9</v>
      </c>
      <c r="S788" s="28" t="s">
        <v>29</v>
      </c>
    </row>
    <row r="789" spans="1:19" ht="43.5">
      <c r="A789" s="24">
        <v>28500</v>
      </c>
      <c r="B789" s="24" t="s">
        <v>20</v>
      </c>
      <c r="C789" s="24" t="s">
        <v>21</v>
      </c>
      <c r="D789" s="24" t="s">
        <v>30</v>
      </c>
      <c r="E789" s="24" t="s">
        <v>147</v>
      </c>
      <c r="F789" s="24" t="s">
        <v>148</v>
      </c>
      <c r="G789" s="24">
        <v>11.94</v>
      </c>
      <c r="H789" s="24" t="s">
        <v>5</v>
      </c>
      <c r="I789" s="24" t="s">
        <v>5</v>
      </c>
      <c r="J789" s="24" t="s">
        <v>25</v>
      </c>
      <c r="K789" s="24" t="s">
        <v>25</v>
      </c>
      <c r="L789" s="24" t="s">
        <v>26</v>
      </c>
      <c r="M789" s="24" t="s">
        <v>38</v>
      </c>
      <c r="N789" s="24" t="s">
        <v>39</v>
      </c>
      <c r="O789" s="25">
        <v>5845</v>
      </c>
      <c r="P789" s="24" t="s">
        <v>112</v>
      </c>
      <c r="Q789" s="24"/>
      <c r="R789" s="24">
        <v>11.5</v>
      </c>
      <c r="S789" s="24" t="s">
        <v>29</v>
      </c>
    </row>
    <row r="790" spans="1:19">
      <c r="A790" s="26">
        <v>28502</v>
      </c>
      <c r="B790" s="26" t="s">
        <v>20</v>
      </c>
      <c r="C790" s="26" t="s">
        <v>21</v>
      </c>
      <c r="D790" s="26" t="s">
        <v>21</v>
      </c>
      <c r="E790" s="26"/>
      <c r="F790" s="26" t="s">
        <v>154</v>
      </c>
      <c r="G790" s="26"/>
      <c r="H790" s="26" t="s">
        <v>5</v>
      </c>
      <c r="I790" s="26" t="s">
        <v>5</v>
      </c>
      <c r="J790" s="26" t="s">
        <v>25</v>
      </c>
      <c r="K790" s="26" t="s">
        <v>25</v>
      </c>
      <c r="L790" s="26" t="s">
        <v>26</v>
      </c>
      <c r="M790" s="26" t="s">
        <v>38</v>
      </c>
      <c r="N790" s="26" t="s">
        <v>39</v>
      </c>
      <c r="O790" s="27">
        <v>6211</v>
      </c>
      <c r="P790" s="26"/>
      <c r="Q790" s="26"/>
      <c r="R790" s="26">
        <v>5.5</v>
      </c>
      <c r="S790" s="26" t="s">
        <v>29</v>
      </c>
    </row>
    <row r="791" spans="1:19">
      <c r="A791" s="26">
        <v>28501</v>
      </c>
      <c r="B791" s="26" t="s">
        <v>20</v>
      </c>
      <c r="C791" s="26" t="s">
        <v>21</v>
      </c>
      <c r="D791" s="26" t="s">
        <v>21</v>
      </c>
      <c r="E791" s="26"/>
      <c r="F791" s="26" t="s">
        <v>149</v>
      </c>
      <c r="G791" s="26"/>
      <c r="H791" s="26" t="s">
        <v>5</v>
      </c>
      <c r="I791" s="26" t="s">
        <v>5</v>
      </c>
      <c r="J791" s="26" t="s">
        <v>25</v>
      </c>
      <c r="K791" s="26" t="s">
        <v>25</v>
      </c>
      <c r="L791" s="26" t="s">
        <v>26</v>
      </c>
      <c r="M791" s="26" t="s">
        <v>38</v>
      </c>
      <c r="N791" s="26" t="s">
        <v>39</v>
      </c>
      <c r="O791" s="27">
        <v>5845</v>
      </c>
      <c r="P791" s="26"/>
      <c r="Q791" s="26"/>
      <c r="R791" s="26">
        <v>6</v>
      </c>
      <c r="S791" s="26" t="s">
        <v>29</v>
      </c>
    </row>
    <row r="792" spans="1:19" ht="29.25">
      <c r="A792" s="28">
        <v>94800</v>
      </c>
      <c r="B792" s="28" t="s">
        <v>20</v>
      </c>
      <c r="C792" s="28" t="s">
        <v>21</v>
      </c>
      <c r="D792" s="28" t="s">
        <v>21</v>
      </c>
      <c r="E792" s="28" t="s">
        <v>2832</v>
      </c>
      <c r="F792" s="28" t="s">
        <v>2833</v>
      </c>
      <c r="G792" s="28">
        <v>5.25</v>
      </c>
      <c r="H792" s="28" t="s">
        <v>143</v>
      </c>
      <c r="I792" s="28" t="s">
        <v>2834</v>
      </c>
      <c r="J792" s="28" t="s">
        <v>25</v>
      </c>
      <c r="K792" s="28" t="s">
        <v>25</v>
      </c>
      <c r="L792" s="28" t="s">
        <v>26</v>
      </c>
      <c r="M792" s="28" t="s">
        <v>38</v>
      </c>
      <c r="N792" s="28" t="s">
        <v>144</v>
      </c>
      <c r="O792" s="29">
        <v>39105</v>
      </c>
      <c r="P792" s="28"/>
      <c r="Q792" s="28"/>
      <c r="R792" s="28">
        <v>4.6500000000000004</v>
      </c>
      <c r="S792" s="28" t="s">
        <v>29</v>
      </c>
    </row>
    <row r="793" spans="1:19">
      <c r="A793" s="28">
        <v>27600</v>
      </c>
      <c r="B793" s="28" t="s">
        <v>20</v>
      </c>
      <c r="C793" s="28" t="s">
        <v>21</v>
      </c>
      <c r="D793" s="28" t="s">
        <v>21</v>
      </c>
      <c r="E793" s="28" t="s">
        <v>367</v>
      </c>
      <c r="F793" s="28" t="s">
        <v>368</v>
      </c>
      <c r="G793" s="28">
        <v>178.87</v>
      </c>
      <c r="H793" s="28" t="s">
        <v>5</v>
      </c>
      <c r="I793" s="28" t="s">
        <v>369</v>
      </c>
      <c r="J793" s="28" t="s">
        <v>365</v>
      </c>
      <c r="K793" s="28" t="s">
        <v>366</v>
      </c>
      <c r="L793" s="28" t="s">
        <v>240</v>
      </c>
      <c r="M793" s="28" t="s">
        <v>38</v>
      </c>
      <c r="N793" s="28" t="s">
        <v>39</v>
      </c>
      <c r="O793" s="29">
        <v>19725</v>
      </c>
      <c r="P793" s="28"/>
      <c r="Q793" s="28"/>
      <c r="R793" s="28">
        <v>175</v>
      </c>
      <c r="S793" s="28" t="s">
        <v>29</v>
      </c>
    </row>
    <row r="794" spans="1:19">
      <c r="A794" s="28">
        <v>27700</v>
      </c>
      <c r="B794" s="28" t="s">
        <v>20</v>
      </c>
      <c r="C794" s="28" t="s">
        <v>21</v>
      </c>
      <c r="D794" s="28" t="s">
        <v>21</v>
      </c>
      <c r="E794" s="28" t="s">
        <v>392</v>
      </c>
      <c r="F794" s="28" t="s">
        <v>393</v>
      </c>
      <c r="G794" s="28">
        <v>175</v>
      </c>
      <c r="H794" s="28" t="s">
        <v>5</v>
      </c>
      <c r="I794" s="28" t="s">
        <v>369</v>
      </c>
      <c r="J794" s="28" t="s">
        <v>365</v>
      </c>
      <c r="K794" s="28" t="s">
        <v>366</v>
      </c>
      <c r="L794" s="28" t="s">
        <v>240</v>
      </c>
      <c r="M794" s="28" t="s">
        <v>38</v>
      </c>
      <c r="N794" s="28" t="s">
        <v>39</v>
      </c>
      <c r="O794" s="29">
        <v>20821</v>
      </c>
      <c r="P794" s="28"/>
      <c r="Q794" s="28"/>
      <c r="R794" s="28">
        <v>175</v>
      </c>
      <c r="S794" s="28" t="s">
        <v>29</v>
      </c>
    </row>
    <row r="795" spans="1:19">
      <c r="A795" s="28">
        <v>27800</v>
      </c>
      <c r="B795" s="28" t="s">
        <v>20</v>
      </c>
      <c r="C795" s="28" t="s">
        <v>21</v>
      </c>
      <c r="D795" s="28" t="s">
        <v>21</v>
      </c>
      <c r="E795" s="28" t="s">
        <v>535</v>
      </c>
      <c r="F795" s="28" t="s">
        <v>536</v>
      </c>
      <c r="G795" s="28">
        <v>505.96</v>
      </c>
      <c r="H795" s="28" t="s">
        <v>5</v>
      </c>
      <c r="I795" s="28" t="s">
        <v>369</v>
      </c>
      <c r="J795" s="28" t="s">
        <v>365</v>
      </c>
      <c r="K795" s="28" t="s">
        <v>366</v>
      </c>
      <c r="L795" s="28" t="s">
        <v>240</v>
      </c>
      <c r="M795" s="28" t="s">
        <v>38</v>
      </c>
      <c r="N795" s="28" t="s">
        <v>39</v>
      </c>
      <c r="O795" s="29">
        <v>24473</v>
      </c>
      <c r="P795" s="28"/>
      <c r="Q795" s="28"/>
      <c r="R795" s="28">
        <v>480</v>
      </c>
      <c r="S795" s="28" t="s">
        <v>29</v>
      </c>
    </row>
    <row r="796" spans="1:19">
      <c r="A796" s="28">
        <v>27900</v>
      </c>
      <c r="B796" s="28" t="s">
        <v>20</v>
      </c>
      <c r="C796" s="28" t="s">
        <v>21</v>
      </c>
      <c r="D796" s="28" t="s">
        <v>21</v>
      </c>
      <c r="E796" s="28" t="s">
        <v>537</v>
      </c>
      <c r="F796" s="28" t="s">
        <v>538</v>
      </c>
      <c r="G796" s="28">
        <v>495.9</v>
      </c>
      <c r="H796" s="28" t="s">
        <v>5</v>
      </c>
      <c r="I796" s="28" t="s">
        <v>369</v>
      </c>
      <c r="J796" s="28" t="s">
        <v>365</v>
      </c>
      <c r="K796" s="28" t="s">
        <v>366</v>
      </c>
      <c r="L796" s="28" t="s">
        <v>240</v>
      </c>
      <c r="M796" s="28" t="s">
        <v>38</v>
      </c>
      <c r="N796" s="28" t="s">
        <v>39</v>
      </c>
      <c r="O796" s="29">
        <v>24473</v>
      </c>
      <c r="P796" s="28"/>
      <c r="Q796" s="28"/>
      <c r="R796" s="28">
        <v>480</v>
      </c>
      <c r="S796" s="28" t="s">
        <v>29</v>
      </c>
    </row>
    <row r="797" spans="1:19">
      <c r="A797" s="28">
        <v>100800</v>
      </c>
      <c r="B797" s="28" t="s">
        <v>20</v>
      </c>
      <c r="C797" s="28" t="s">
        <v>21</v>
      </c>
      <c r="D797" s="28" t="s">
        <v>21</v>
      </c>
      <c r="E797" s="28" t="s">
        <v>2984</v>
      </c>
      <c r="F797" s="28" t="s">
        <v>2985</v>
      </c>
      <c r="G797" s="28">
        <v>1</v>
      </c>
      <c r="H797" s="28" t="s">
        <v>5</v>
      </c>
      <c r="I797" s="28" t="s">
        <v>5</v>
      </c>
      <c r="J797" s="28" t="s">
        <v>1025</v>
      </c>
      <c r="K797" s="28" t="s">
        <v>2138</v>
      </c>
      <c r="L797" s="28" t="s">
        <v>1026</v>
      </c>
      <c r="M797" s="28" t="s">
        <v>38</v>
      </c>
      <c r="N797" s="28" t="s">
        <v>39</v>
      </c>
      <c r="O797" s="29">
        <v>40603</v>
      </c>
      <c r="P797" s="28"/>
      <c r="Q797" s="28"/>
      <c r="R797" s="28">
        <v>1</v>
      </c>
      <c r="S797" s="28" t="s">
        <v>29</v>
      </c>
    </row>
    <row r="798" spans="1:19">
      <c r="A798" s="28">
        <v>110700</v>
      </c>
      <c r="B798" s="28" t="s">
        <v>20</v>
      </c>
      <c r="C798" s="28" t="s">
        <v>21</v>
      </c>
      <c r="D798" s="28" t="s">
        <v>21</v>
      </c>
      <c r="E798" s="28" t="s">
        <v>4756</v>
      </c>
      <c r="F798" s="28" t="s">
        <v>4757</v>
      </c>
      <c r="G798" s="28">
        <v>5</v>
      </c>
      <c r="H798" s="28" t="s">
        <v>5</v>
      </c>
      <c r="I798" s="28" t="s">
        <v>4758</v>
      </c>
      <c r="J798" s="28" t="s">
        <v>1025</v>
      </c>
      <c r="K798" s="28" t="s">
        <v>2138</v>
      </c>
      <c r="L798" s="28" t="s">
        <v>1026</v>
      </c>
      <c r="M798" s="28" t="s">
        <v>38</v>
      </c>
      <c r="N798" s="28" t="s">
        <v>39</v>
      </c>
      <c r="O798" s="29">
        <v>41596</v>
      </c>
      <c r="P798" s="28"/>
      <c r="Q798" s="28"/>
      <c r="R798" s="28">
        <v>5</v>
      </c>
      <c r="S798" s="28" t="s">
        <v>29</v>
      </c>
    </row>
    <row r="799" spans="1:19" ht="29.25">
      <c r="A799" s="28">
        <v>101000</v>
      </c>
      <c r="B799" s="28" t="s">
        <v>20</v>
      </c>
      <c r="C799" s="28" t="s">
        <v>21</v>
      </c>
      <c r="D799" s="28" t="s">
        <v>21</v>
      </c>
      <c r="E799" s="28" t="s">
        <v>2992</v>
      </c>
      <c r="F799" s="28" t="s">
        <v>2993</v>
      </c>
      <c r="G799" s="28">
        <v>49</v>
      </c>
      <c r="H799" s="28" t="s">
        <v>5</v>
      </c>
      <c r="I799" s="28" t="s">
        <v>2994</v>
      </c>
      <c r="J799" s="28" t="s">
        <v>295</v>
      </c>
      <c r="K799" s="28" t="s">
        <v>580</v>
      </c>
      <c r="L799" s="28" t="s">
        <v>240</v>
      </c>
      <c r="M799" s="28" t="s">
        <v>38</v>
      </c>
      <c r="N799" s="28" t="s">
        <v>2816</v>
      </c>
      <c r="O799" s="29">
        <v>40634</v>
      </c>
      <c r="P799" s="28"/>
      <c r="Q799" s="28"/>
      <c r="R799" s="28">
        <v>49.5</v>
      </c>
      <c r="S799" s="28" t="s">
        <v>29</v>
      </c>
    </row>
    <row r="800" spans="1:19" ht="29.25">
      <c r="A800" s="28">
        <v>101100</v>
      </c>
      <c r="B800" s="28" t="s">
        <v>20</v>
      </c>
      <c r="C800" s="28" t="s">
        <v>21</v>
      </c>
      <c r="D800" s="28" t="s">
        <v>21</v>
      </c>
      <c r="E800" s="28" t="s">
        <v>2995</v>
      </c>
      <c r="F800" s="28" t="s">
        <v>2996</v>
      </c>
      <c r="G800" s="28">
        <v>49</v>
      </c>
      <c r="H800" s="28" t="s">
        <v>5</v>
      </c>
      <c r="I800" s="28" t="s">
        <v>2994</v>
      </c>
      <c r="J800" s="28" t="s">
        <v>295</v>
      </c>
      <c r="K800" s="28" t="s">
        <v>580</v>
      </c>
      <c r="L800" s="28" t="s">
        <v>240</v>
      </c>
      <c r="M800" s="28" t="s">
        <v>38</v>
      </c>
      <c r="N800" s="28" t="s">
        <v>2816</v>
      </c>
      <c r="O800" s="29">
        <v>40634</v>
      </c>
      <c r="P800" s="28"/>
      <c r="Q800" s="28"/>
      <c r="R800" s="28">
        <v>49.5</v>
      </c>
      <c r="S800" s="28" t="s">
        <v>29</v>
      </c>
    </row>
    <row r="801" spans="1:19">
      <c r="A801" s="28">
        <v>28000</v>
      </c>
      <c r="B801" s="28" t="s">
        <v>20</v>
      </c>
      <c r="C801" s="28" t="s">
        <v>21</v>
      </c>
      <c r="D801" s="28" t="s">
        <v>21</v>
      </c>
      <c r="E801" s="28" t="s">
        <v>352</v>
      </c>
      <c r="F801" s="28" t="s">
        <v>353</v>
      </c>
      <c r="G801" s="28">
        <v>57</v>
      </c>
      <c r="H801" s="28" t="s">
        <v>24</v>
      </c>
      <c r="I801" s="28" t="s">
        <v>4</v>
      </c>
      <c r="J801" s="28" t="s">
        <v>25</v>
      </c>
      <c r="K801" s="28" t="s">
        <v>25</v>
      </c>
      <c r="L801" s="28" t="s">
        <v>26</v>
      </c>
      <c r="M801" s="28" t="s">
        <v>27</v>
      </c>
      <c r="N801" s="28" t="s">
        <v>28</v>
      </c>
      <c r="O801" s="29">
        <v>18264</v>
      </c>
      <c r="P801" s="28"/>
      <c r="Q801" s="28" t="s">
        <v>175</v>
      </c>
      <c r="R801" s="28">
        <v>57</v>
      </c>
      <c r="S801" s="28" t="s">
        <v>29</v>
      </c>
    </row>
    <row r="802" spans="1:19">
      <c r="A802" s="28">
        <v>28100</v>
      </c>
      <c r="B802" s="28" t="s">
        <v>20</v>
      </c>
      <c r="C802" s="28" t="s">
        <v>21</v>
      </c>
      <c r="D802" s="28" t="s">
        <v>21</v>
      </c>
      <c r="E802" s="28" t="s">
        <v>354</v>
      </c>
      <c r="F802" s="28" t="s">
        <v>355</v>
      </c>
      <c r="G802" s="28">
        <v>56.9</v>
      </c>
      <c r="H802" s="28" t="s">
        <v>24</v>
      </c>
      <c r="I802" s="28" t="s">
        <v>4</v>
      </c>
      <c r="J802" s="28" t="s">
        <v>25</v>
      </c>
      <c r="K802" s="28" t="s">
        <v>25</v>
      </c>
      <c r="L802" s="28" t="s">
        <v>26</v>
      </c>
      <c r="M802" s="28" t="s">
        <v>27</v>
      </c>
      <c r="N802" s="28" t="s">
        <v>28</v>
      </c>
      <c r="O802" s="29">
        <v>18264</v>
      </c>
      <c r="P802" s="28"/>
      <c r="Q802" s="28" t="s">
        <v>175</v>
      </c>
      <c r="R802" s="28">
        <v>56.9</v>
      </c>
      <c r="S802" s="28" t="s">
        <v>29</v>
      </c>
    </row>
    <row r="803" spans="1:19">
      <c r="A803" s="28">
        <v>28200</v>
      </c>
      <c r="B803" s="28" t="s">
        <v>20</v>
      </c>
      <c r="C803" s="28" t="s">
        <v>21</v>
      </c>
      <c r="D803" s="28" t="s">
        <v>21</v>
      </c>
      <c r="E803" s="28" t="s">
        <v>759</v>
      </c>
      <c r="F803" s="28" t="s">
        <v>760</v>
      </c>
      <c r="G803" s="28">
        <v>13.5</v>
      </c>
      <c r="H803" s="28" t="s">
        <v>24</v>
      </c>
      <c r="I803" s="28" t="s">
        <v>491</v>
      </c>
      <c r="J803" s="28" t="s">
        <v>25</v>
      </c>
      <c r="K803" s="28" t="s">
        <v>25</v>
      </c>
      <c r="L803" s="28" t="s">
        <v>26</v>
      </c>
      <c r="M803" s="28" t="s">
        <v>27</v>
      </c>
      <c r="N803" s="28" t="s">
        <v>28</v>
      </c>
      <c r="O803" s="29">
        <v>29221</v>
      </c>
      <c r="P803" s="28"/>
      <c r="Q803" s="28"/>
      <c r="R803" s="28">
        <v>13.5</v>
      </c>
      <c r="S803" s="28" t="s">
        <v>29</v>
      </c>
    </row>
    <row r="804" spans="1:19" ht="29.25">
      <c r="A804" s="28">
        <v>112900</v>
      </c>
      <c r="B804" s="28" t="s">
        <v>20</v>
      </c>
      <c r="C804" s="28" t="s">
        <v>21</v>
      </c>
      <c r="D804" s="28" t="s">
        <v>21</v>
      </c>
      <c r="E804" s="28" t="s">
        <v>4651</v>
      </c>
      <c r="F804" s="28" t="s">
        <v>4652</v>
      </c>
      <c r="G804" s="28">
        <v>625</v>
      </c>
      <c r="H804" s="28" t="s">
        <v>24</v>
      </c>
      <c r="I804" s="28" t="s">
        <v>4759</v>
      </c>
      <c r="J804" s="28" t="s">
        <v>365</v>
      </c>
      <c r="K804" s="28" t="s">
        <v>705</v>
      </c>
      <c r="L804" s="28" t="s">
        <v>240</v>
      </c>
      <c r="M804" s="28" t="s">
        <v>27</v>
      </c>
      <c r="N804" s="28" t="s">
        <v>28</v>
      </c>
      <c r="O804" s="29">
        <v>41494</v>
      </c>
      <c r="P804" s="28"/>
      <c r="Q804" s="28"/>
      <c r="R804" s="28">
        <v>600</v>
      </c>
      <c r="S804" s="28" t="s">
        <v>29</v>
      </c>
    </row>
    <row r="805" spans="1:19" ht="29.25">
      <c r="A805" s="24">
        <v>28600</v>
      </c>
      <c r="B805" s="24" t="s">
        <v>20</v>
      </c>
      <c r="C805" s="24" t="s">
        <v>21</v>
      </c>
      <c r="D805" s="24" t="s">
        <v>30</v>
      </c>
      <c r="E805" s="24" t="s">
        <v>281</v>
      </c>
      <c r="F805" s="24" t="s">
        <v>282</v>
      </c>
      <c r="G805" s="24">
        <v>46</v>
      </c>
      <c r="H805" s="24" t="s">
        <v>24</v>
      </c>
      <c r="I805" s="24" t="s">
        <v>4</v>
      </c>
      <c r="J805" s="24" t="s">
        <v>25</v>
      </c>
      <c r="K805" s="24" t="s">
        <v>25</v>
      </c>
      <c r="L805" s="24" t="s">
        <v>26</v>
      </c>
      <c r="M805" s="24" t="s">
        <v>27</v>
      </c>
      <c r="N805" s="24" t="s">
        <v>28</v>
      </c>
      <c r="O805" s="25">
        <v>11324</v>
      </c>
      <c r="P805" s="24"/>
      <c r="Q805" s="24" t="s">
        <v>274</v>
      </c>
      <c r="R805" s="24">
        <v>44</v>
      </c>
      <c r="S805" s="24" t="s">
        <v>29</v>
      </c>
    </row>
    <row r="806" spans="1:19">
      <c r="A806" s="26">
        <v>28601</v>
      </c>
      <c r="B806" s="26" t="s">
        <v>20</v>
      </c>
      <c r="C806" s="26" t="s">
        <v>21</v>
      </c>
      <c r="D806" s="26" t="s">
        <v>21</v>
      </c>
      <c r="E806" s="26" t="s">
        <v>283</v>
      </c>
      <c r="F806" s="26" t="s">
        <v>284</v>
      </c>
      <c r="G806" s="26">
        <v>12</v>
      </c>
      <c r="H806" s="26" t="s">
        <v>24</v>
      </c>
      <c r="I806" s="26" t="s">
        <v>4</v>
      </c>
      <c r="J806" s="26" t="s">
        <v>25</v>
      </c>
      <c r="K806" s="26" t="s">
        <v>25</v>
      </c>
      <c r="L806" s="26" t="s">
        <v>26</v>
      </c>
      <c r="M806" s="26" t="s">
        <v>27</v>
      </c>
      <c r="N806" s="26" t="s">
        <v>28</v>
      </c>
      <c r="O806" s="27">
        <v>11324</v>
      </c>
      <c r="P806" s="26"/>
      <c r="Q806" s="26" t="s">
        <v>274</v>
      </c>
      <c r="R806" s="26">
        <v>11</v>
      </c>
      <c r="S806" s="26" t="s">
        <v>29</v>
      </c>
    </row>
    <row r="807" spans="1:19">
      <c r="A807" s="26">
        <v>28602</v>
      </c>
      <c r="B807" s="26" t="s">
        <v>20</v>
      </c>
      <c r="C807" s="26" t="s">
        <v>21</v>
      </c>
      <c r="D807" s="26" t="s">
        <v>21</v>
      </c>
      <c r="E807" s="26" t="s">
        <v>360</v>
      </c>
      <c r="F807" s="26" t="s">
        <v>361</v>
      </c>
      <c r="G807" s="26">
        <v>34</v>
      </c>
      <c r="H807" s="26" t="s">
        <v>24</v>
      </c>
      <c r="I807" s="26" t="s">
        <v>4</v>
      </c>
      <c r="J807" s="26" t="s">
        <v>25</v>
      </c>
      <c r="K807" s="26" t="s">
        <v>25</v>
      </c>
      <c r="L807" s="26" t="s">
        <v>26</v>
      </c>
      <c r="M807" s="26" t="s">
        <v>27</v>
      </c>
      <c r="N807" s="26" t="s">
        <v>28</v>
      </c>
      <c r="O807" s="27">
        <v>19360</v>
      </c>
      <c r="P807" s="26"/>
      <c r="Q807" s="26" t="s">
        <v>274</v>
      </c>
      <c r="R807" s="26">
        <v>33</v>
      </c>
      <c r="S807" s="26" t="s">
        <v>29</v>
      </c>
    </row>
    <row r="808" spans="1:19" ht="57.75">
      <c r="A808" s="28">
        <v>58704</v>
      </c>
      <c r="B808" s="28" t="s">
        <v>20</v>
      </c>
      <c r="C808" s="28" t="s">
        <v>21</v>
      </c>
      <c r="D808" s="28" t="s">
        <v>21</v>
      </c>
      <c r="E808" s="28" t="s">
        <v>769</v>
      </c>
      <c r="F808" s="28" t="s">
        <v>770</v>
      </c>
      <c r="G808" s="28">
        <v>9.9</v>
      </c>
      <c r="H808" s="28" t="s">
        <v>5</v>
      </c>
      <c r="I808" s="28" t="s">
        <v>768</v>
      </c>
      <c r="J808" s="28" t="s">
        <v>25</v>
      </c>
      <c r="K808" s="28" t="s">
        <v>25</v>
      </c>
      <c r="L808" s="28" t="s">
        <v>26</v>
      </c>
      <c r="M808" s="28" t="s">
        <v>38</v>
      </c>
      <c r="N808" s="28" t="s">
        <v>39</v>
      </c>
      <c r="O808" s="29">
        <v>29587</v>
      </c>
      <c r="P808" s="28" t="s">
        <v>758</v>
      </c>
      <c r="Q808" s="28"/>
      <c r="R808" s="28">
        <v>9.9</v>
      </c>
      <c r="S808" s="28" t="s">
        <v>29</v>
      </c>
    </row>
    <row r="809" spans="1:19" ht="29.25">
      <c r="A809" s="28">
        <v>62207</v>
      </c>
      <c r="B809" s="28" t="s">
        <v>20</v>
      </c>
      <c r="C809" s="28" t="s">
        <v>30</v>
      </c>
      <c r="D809" s="28" t="s">
        <v>21</v>
      </c>
      <c r="E809" s="28" t="s">
        <v>1342</v>
      </c>
      <c r="F809" s="28" t="s">
        <v>1343</v>
      </c>
      <c r="G809" s="28">
        <v>1.05</v>
      </c>
      <c r="H809" s="28" t="s">
        <v>5</v>
      </c>
      <c r="I809" s="28" t="s">
        <v>1344</v>
      </c>
      <c r="J809" s="28" t="s">
        <v>25</v>
      </c>
      <c r="K809" s="28" t="s">
        <v>25</v>
      </c>
      <c r="L809" s="28" t="s">
        <v>26</v>
      </c>
      <c r="M809" s="28" t="s">
        <v>38</v>
      </c>
      <c r="N809" s="28" t="s">
        <v>39</v>
      </c>
      <c r="O809" s="29">
        <v>31440</v>
      </c>
      <c r="P809" s="28" t="s">
        <v>1345</v>
      </c>
      <c r="Q809" s="28"/>
      <c r="R809" s="28">
        <v>1.05</v>
      </c>
      <c r="S809" s="28" t="s">
        <v>29</v>
      </c>
    </row>
    <row r="810" spans="1:19" ht="29.25">
      <c r="A810" s="28">
        <v>28700</v>
      </c>
      <c r="B810" s="28" t="s">
        <v>20</v>
      </c>
      <c r="C810" s="28" t="s">
        <v>21</v>
      </c>
      <c r="D810" s="28" t="s">
        <v>21</v>
      </c>
      <c r="E810" s="28" t="s">
        <v>1937</v>
      </c>
      <c r="F810" s="28" t="s">
        <v>1938</v>
      </c>
      <c r="G810" s="28">
        <v>48</v>
      </c>
      <c r="H810" s="28" t="s">
        <v>24</v>
      </c>
      <c r="I810" s="28" t="s">
        <v>1939</v>
      </c>
      <c r="J810" s="28" t="s">
        <v>694</v>
      </c>
      <c r="K810" s="28" t="s">
        <v>580</v>
      </c>
      <c r="L810" s="28" t="s">
        <v>240</v>
      </c>
      <c r="M810" s="28" t="s">
        <v>27</v>
      </c>
      <c r="N810" s="28" t="s">
        <v>28</v>
      </c>
      <c r="O810" s="29">
        <v>32874</v>
      </c>
      <c r="P810" s="28"/>
      <c r="Q810" s="28"/>
      <c r="R810" s="28">
        <v>48.6</v>
      </c>
      <c r="S810" s="28" t="s">
        <v>29</v>
      </c>
    </row>
    <row r="811" spans="1:19" ht="29.25">
      <c r="A811" s="24">
        <v>29000</v>
      </c>
      <c r="B811" s="24" t="s">
        <v>20</v>
      </c>
      <c r="C811" s="24" t="s">
        <v>21</v>
      </c>
      <c r="D811" s="24" t="s">
        <v>30</v>
      </c>
      <c r="E811" s="24" t="s">
        <v>539</v>
      </c>
      <c r="F811" s="24" t="s">
        <v>540</v>
      </c>
      <c r="G811" s="24">
        <v>374.43</v>
      </c>
      <c r="H811" s="24" t="s">
        <v>24</v>
      </c>
      <c r="I811" s="24" t="s">
        <v>541</v>
      </c>
      <c r="J811" s="24" t="s">
        <v>25</v>
      </c>
      <c r="K811" s="24" t="s">
        <v>542</v>
      </c>
      <c r="L811" s="24" t="s">
        <v>26</v>
      </c>
      <c r="M811" s="24" t="s">
        <v>27</v>
      </c>
      <c r="N811" s="24" t="s">
        <v>28</v>
      </c>
      <c r="O811" s="25">
        <v>24473</v>
      </c>
      <c r="P811" s="24"/>
      <c r="Q811" s="24"/>
      <c r="R811" s="24">
        <v>424</v>
      </c>
      <c r="S811" s="24" t="s">
        <v>29</v>
      </c>
    </row>
    <row r="812" spans="1:19">
      <c r="A812" s="26">
        <v>29001</v>
      </c>
      <c r="B812" s="26" t="s">
        <v>20</v>
      </c>
      <c r="C812" s="26" t="s">
        <v>21</v>
      </c>
      <c r="D812" s="26" t="s">
        <v>21</v>
      </c>
      <c r="E812" s="26" t="s">
        <v>543</v>
      </c>
      <c r="F812" s="26" t="s">
        <v>544</v>
      </c>
      <c r="G812" s="26">
        <v>55</v>
      </c>
      <c r="H812" s="26" t="s">
        <v>24</v>
      </c>
      <c r="I812" s="26" t="s">
        <v>541</v>
      </c>
      <c r="J812" s="26" t="s">
        <v>25</v>
      </c>
      <c r="K812" s="26" t="s">
        <v>542</v>
      </c>
      <c r="L812" s="26" t="s">
        <v>26</v>
      </c>
      <c r="M812" s="26" t="s">
        <v>27</v>
      </c>
      <c r="N812" s="26" t="s">
        <v>28</v>
      </c>
      <c r="O812" s="27">
        <v>24473</v>
      </c>
      <c r="P812" s="26"/>
      <c r="Q812" s="26"/>
      <c r="R812" s="26">
        <v>53</v>
      </c>
      <c r="S812" s="26" t="s">
        <v>29</v>
      </c>
    </row>
    <row r="813" spans="1:19">
      <c r="A813" s="26">
        <v>29002</v>
      </c>
      <c r="B813" s="26" t="s">
        <v>20</v>
      </c>
      <c r="C813" s="26" t="s">
        <v>21</v>
      </c>
      <c r="D813" s="26" t="s">
        <v>21</v>
      </c>
      <c r="E813" s="26" t="s">
        <v>545</v>
      </c>
      <c r="F813" s="26" t="s">
        <v>546</v>
      </c>
      <c r="G813" s="26">
        <v>55</v>
      </c>
      <c r="H813" s="26" t="s">
        <v>24</v>
      </c>
      <c r="I813" s="26" t="s">
        <v>541</v>
      </c>
      <c r="J813" s="26" t="s">
        <v>25</v>
      </c>
      <c r="K813" s="26" t="s">
        <v>542</v>
      </c>
      <c r="L813" s="26" t="s">
        <v>26</v>
      </c>
      <c r="M813" s="26" t="s">
        <v>27</v>
      </c>
      <c r="N813" s="26" t="s">
        <v>28</v>
      </c>
      <c r="O813" s="27">
        <v>24473</v>
      </c>
      <c r="P813" s="26"/>
      <c r="Q813" s="26"/>
      <c r="R813" s="26">
        <v>53</v>
      </c>
      <c r="S813" s="26" t="s">
        <v>29</v>
      </c>
    </row>
    <row r="814" spans="1:19">
      <c r="A814" s="26">
        <v>29003</v>
      </c>
      <c r="B814" s="26" t="s">
        <v>20</v>
      </c>
      <c r="C814" s="26" t="s">
        <v>21</v>
      </c>
      <c r="D814" s="26" t="s">
        <v>21</v>
      </c>
      <c r="E814" s="26" t="s">
        <v>547</v>
      </c>
      <c r="F814" s="26" t="s">
        <v>548</v>
      </c>
      <c r="G814" s="26">
        <v>55</v>
      </c>
      <c r="H814" s="26" t="s">
        <v>24</v>
      </c>
      <c r="I814" s="26" t="s">
        <v>541</v>
      </c>
      <c r="J814" s="26" t="s">
        <v>25</v>
      </c>
      <c r="K814" s="26" t="s">
        <v>542</v>
      </c>
      <c r="L814" s="26" t="s">
        <v>26</v>
      </c>
      <c r="M814" s="26" t="s">
        <v>27</v>
      </c>
      <c r="N814" s="26" t="s">
        <v>28</v>
      </c>
      <c r="O814" s="27">
        <v>24473</v>
      </c>
      <c r="P814" s="26"/>
      <c r="Q814" s="26"/>
      <c r="R814" s="26">
        <v>53</v>
      </c>
      <c r="S814" s="26" t="s">
        <v>29</v>
      </c>
    </row>
    <row r="815" spans="1:19">
      <c r="A815" s="26">
        <v>29004</v>
      </c>
      <c r="B815" s="26" t="s">
        <v>20</v>
      </c>
      <c r="C815" s="26" t="s">
        <v>21</v>
      </c>
      <c r="D815" s="26" t="s">
        <v>21</v>
      </c>
      <c r="E815" s="26" t="s">
        <v>549</v>
      </c>
      <c r="F815" s="26" t="s">
        <v>550</v>
      </c>
      <c r="G815" s="26">
        <v>55</v>
      </c>
      <c r="H815" s="26" t="s">
        <v>24</v>
      </c>
      <c r="I815" s="26" t="s">
        <v>541</v>
      </c>
      <c r="J815" s="26" t="s">
        <v>25</v>
      </c>
      <c r="K815" s="26" t="s">
        <v>542</v>
      </c>
      <c r="L815" s="26" t="s">
        <v>26</v>
      </c>
      <c r="M815" s="26" t="s">
        <v>27</v>
      </c>
      <c r="N815" s="26" t="s">
        <v>28</v>
      </c>
      <c r="O815" s="27">
        <v>24473</v>
      </c>
      <c r="P815" s="26"/>
      <c r="Q815" s="26"/>
      <c r="R815" s="26">
        <v>53</v>
      </c>
      <c r="S815" s="26" t="s">
        <v>29</v>
      </c>
    </row>
    <row r="816" spans="1:19">
      <c r="A816" s="26">
        <v>29005</v>
      </c>
      <c r="B816" s="26" t="s">
        <v>20</v>
      </c>
      <c r="C816" s="26" t="s">
        <v>21</v>
      </c>
      <c r="D816" s="26" t="s">
        <v>21</v>
      </c>
      <c r="E816" s="26" t="s">
        <v>551</v>
      </c>
      <c r="F816" s="26" t="s">
        <v>552</v>
      </c>
      <c r="G816" s="26">
        <v>55</v>
      </c>
      <c r="H816" s="26" t="s">
        <v>24</v>
      </c>
      <c r="I816" s="26" t="s">
        <v>541</v>
      </c>
      <c r="J816" s="26" t="s">
        <v>25</v>
      </c>
      <c r="K816" s="26" t="s">
        <v>542</v>
      </c>
      <c r="L816" s="26" t="s">
        <v>26</v>
      </c>
      <c r="M816" s="26" t="s">
        <v>27</v>
      </c>
      <c r="N816" s="26" t="s">
        <v>28</v>
      </c>
      <c r="O816" s="27">
        <v>24473</v>
      </c>
      <c r="P816" s="26"/>
      <c r="Q816" s="26"/>
      <c r="R816" s="26">
        <v>53</v>
      </c>
      <c r="S816" s="26" t="s">
        <v>29</v>
      </c>
    </row>
    <row r="817" spans="1:19">
      <c r="A817" s="26">
        <v>29006</v>
      </c>
      <c r="B817" s="26" t="s">
        <v>20</v>
      </c>
      <c r="C817" s="26" t="s">
        <v>21</v>
      </c>
      <c r="D817" s="26" t="s">
        <v>21</v>
      </c>
      <c r="E817" s="26" t="s">
        <v>553</v>
      </c>
      <c r="F817" s="26" t="s">
        <v>554</v>
      </c>
      <c r="G817" s="26">
        <v>55</v>
      </c>
      <c r="H817" s="26" t="s">
        <v>24</v>
      </c>
      <c r="I817" s="26" t="s">
        <v>541</v>
      </c>
      <c r="J817" s="26" t="s">
        <v>25</v>
      </c>
      <c r="K817" s="26" t="s">
        <v>542</v>
      </c>
      <c r="L817" s="26" t="s">
        <v>26</v>
      </c>
      <c r="M817" s="26" t="s">
        <v>27</v>
      </c>
      <c r="N817" s="26" t="s">
        <v>28</v>
      </c>
      <c r="O817" s="27">
        <v>24473</v>
      </c>
      <c r="P817" s="26"/>
      <c r="Q817" s="26"/>
      <c r="R817" s="26">
        <v>53</v>
      </c>
      <c r="S817" s="26" t="s">
        <v>29</v>
      </c>
    </row>
    <row r="818" spans="1:19">
      <c r="A818" s="26">
        <v>29007</v>
      </c>
      <c r="B818" s="26" t="s">
        <v>20</v>
      </c>
      <c r="C818" s="26" t="s">
        <v>21</v>
      </c>
      <c r="D818" s="26" t="s">
        <v>21</v>
      </c>
      <c r="E818" s="26" t="s">
        <v>555</v>
      </c>
      <c r="F818" s="26" t="s">
        <v>556</v>
      </c>
      <c r="G818" s="26">
        <v>55</v>
      </c>
      <c r="H818" s="26" t="s">
        <v>24</v>
      </c>
      <c r="I818" s="26" t="s">
        <v>541</v>
      </c>
      <c r="J818" s="26" t="s">
        <v>25</v>
      </c>
      <c r="K818" s="26" t="s">
        <v>542</v>
      </c>
      <c r="L818" s="26" t="s">
        <v>26</v>
      </c>
      <c r="M818" s="26" t="s">
        <v>27</v>
      </c>
      <c r="N818" s="26" t="s">
        <v>28</v>
      </c>
      <c r="O818" s="27">
        <v>24473</v>
      </c>
      <c r="P818" s="26"/>
      <c r="Q818" s="26"/>
      <c r="R818" s="26">
        <v>53</v>
      </c>
      <c r="S818" s="26" t="s">
        <v>29</v>
      </c>
    </row>
    <row r="819" spans="1:19">
      <c r="A819" s="26">
        <v>29008</v>
      </c>
      <c r="B819" s="26" t="s">
        <v>20</v>
      </c>
      <c r="C819" s="26" t="s">
        <v>21</v>
      </c>
      <c r="D819" s="26" t="s">
        <v>21</v>
      </c>
      <c r="E819" s="26" t="s">
        <v>557</v>
      </c>
      <c r="F819" s="26" t="s">
        <v>558</v>
      </c>
      <c r="G819" s="26">
        <v>55</v>
      </c>
      <c r="H819" s="26" t="s">
        <v>24</v>
      </c>
      <c r="I819" s="26" t="s">
        <v>541</v>
      </c>
      <c r="J819" s="26" t="s">
        <v>25</v>
      </c>
      <c r="K819" s="26" t="s">
        <v>542</v>
      </c>
      <c r="L819" s="26" t="s">
        <v>26</v>
      </c>
      <c r="M819" s="26" t="s">
        <v>27</v>
      </c>
      <c r="N819" s="26" t="s">
        <v>28</v>
      </c>
      <c r="O819" s="27">
        <v>24473</v>
      </c>
      <c r="P819" s="26"/>
      <c r="Q819" s="26"/>
      <c r="R819" s="26">
        <v>53</v>
      </c>
      <c r="S819" s="26" t="s">
        <v>29</v>
      </c>
    </row>
    <row r="820" spans="1:19" ht="43.5">
      <c r="A820" s="24">
        <v>29100</v>
      </c>
      <c r="B820" s="24" t="s">
        <v>20</v>
      </c>
      <c r="C820" s="24" t="s">
        <v>21</v>
      </c>
      <c r="D820" s="24" t="s">
        <v>30</v>
      </c>
      <c r="E820" s="24" t="s">
        <v>3191</v>
      </c>
      <c r="F820" s="24" t="s">
        <v>3192</v>
      </c>
      <c r="G820" s="24">
        <v>6.95</v>
      </c>
      <c r="H820" s="24" t="s">
        <v>5</v>
      </c>
      <c r="I820" s="24" t="s">
        <v>5</v>
      </c>
      <c r="J820" s="24" t="s">
        <v>25</v>
      </c>
      <c r="K820" s="24" t="s">
        <v>25</v>
      </c>
      <c r="L820" s="24" t="s">
        <v>26</v>
      </c>
      <c r="M820" s="24" t="s">
        <v>38</v>
      </c>
      <c r="N820" s="24" t="s">
        <v>39</v>
      </c>
      <c r="O820" s="263">
        <v>17168</v>
      </c>
      <c r="P820" s="24" t="s">
        <v>40</v>
      </c>
      <c r="Q820" s="24"/>
      <c r="R820" s="24">
        <v>6.95</v>
      </c>
      <c r="S820" s="24" t="s">
        <v>29</v>
      </c>
    </row>
    <row r="821" spans="1:19">
      <c r="A821" s="26">
        <v>29101</v>
      </c>
      <c r="B821" s="26" t="s">
        <v>20</v>
      </c>
      <c r="C821" s="26" t="s">
        <v>21</v>
      </c>
      <c r="D821" s="26" t="s">
        <v>21</v>
      </c>
      <c r="E821" s="26"/>
      <c r="F821" s="26" t="s">
        <v>3193</v>
      </c>
      <c r="G821" s="26"/>
      <c r="H821" s="26" t="s">
        <v>5</v>
      </c>
      <c r="I821" s="26" t="s">
        <v>5</v>
      </c>
      <c r="J821" s="26" t="s">
        <v>25</v>
      </c>
      <c r="K821" s="26" t="s">
        <v>25</v>
      </c>
      <c r="L821" s="26" t="s">
        <v>26</v>
      </c>
      <c r="M821" s="26" t="s">
        <v>38</v>
      </c>
      <c r="N821" s="26" t="s">
        <v>39</v>
      </c>
      <c r="O821" s="26" t="s">
        <v>4687</v>
      </c>
      <c r="P821" s="26"/>
      <c r="Q821" s="26"/>
      <c r="R821" s="26">
        <v>1</v>
      </c>
      <c r="S821" s="26" t="s">
        <v>29</v>
      </c>
    </row>
    <row r="822" spans="1:19">
      <c r="A822" s="26">
        <v>29102</v>
      </c>
      <c r="B822" s="26" t="s">
        <v>20</v>
      </c>
      <c r="C822" s="26" t="s">
        <v>21</v>
      </c>
      <c r="D822" s="26" t="s">
        <v>21</v>
      </c>
      <c r="E822" s="26"/>
      <c r="F822" s="26" t="s">
        <v>3194</v>
      </c>
      <c r="G822" s="26"/>
      <c r="H822" s="26" t="s">
        <v>5</v>
      </c>
      <c r="I822" s="26" t="s">
        <v>5</v>
      </c>
      <c r="J822" s="26" t="s">
        <v>25</v>
      </c>
      <c r="K822" s="26" t="s">
        <v>25</v>
      </c>
      <c r="L822" s="26" t="s">
        <v>26</v>
      </c>
      <c r="M822" s="26" t="s">
        <v>38</v>
      </c>
      <c r="N822" s="26" t="s">
        <v>39</v>
      </c>
      <c r="O822" s="26" t="s">
        <v>4687</v>
      </c>
      <c r="P822" s="26"/>
      <c r="Q822" s="26"/>
      <c r="R822" s="26">
        <v>1</v>
      </c>
      <c r="S822" s="26" t="s">
        <v>29</v>
      </c>
    </row>
    <row r="823" spans="1:19">
      <c r="A823" s="26">
        <v>29105</v>
      </c>
      <c r="B823" s="26" t="s">
        <v>20</v>
      </c>
      <c r="C823" s="26" t="s">
        <v>21</v>
      </c>
      <c r="D823" s="26" t="s">
        <v>21</v>
      </c>
      <c r="E823" s="26"/>
      <c r="F823" s="26" t="s">
        <v>330</v>
      </c>
      <c r="G823" s="26"/>
      <c r="H823" s="26" t="s">
        <v>5</v>
      </c>
      <c r="I823" s="26" t="s">
        <v>5</v>
      </c>
      <c r="J823" s="26" t="s">
        <v>25</v>
      </c>
      <c r="K823" s="26" t="s">
        <v>25</v>
      </c>
      <c r="L823" s="26" t="s">
        <v>26</v>
      </c>
      <c r="M823" s="26" t="s">
        <v>38</v>
      </c>
      <c r="N823" s="26" t="s">
        <v>39</v>
      </c>
      <c r="O823" s="27">
        <v>17168</v>
      </c>
      <c r="P823" s="26"/>
      <c r="Q823" s="26"/>
      <c r="R823" s="26">
        <v>3.1</v>
      </c>
      <c r="S823" s="26" t="s">
        <v>29</v>
      </c>
    </row>
    <row r="824" spans="1:19">
      <c r="A824" s="26">
        <v>29104</v>
      </c>
      <c r="B824" s="26" t="s">
        <v>20</v>
      </c>
      <c r="C824" s="26" t="s">
        <v>21</v>
      </c>
      <c r="D824" s="26" t="s">
        <v>21</v>
      </c>
      <c r="E824" s="26"/>
      <c r="F824" s="26" t="s">
        <v>3196</v>
      </c>
      <c r="G824" s="26"/>
      <c r="H824" s="26" t="s">
        <v>5</v>
      </c>
      <c r="I824" s="26" t="s">
        <v>5</v>
      </c>
      <c r="J824" s="26" t="s">
        <v>25</v>
      </c>
      <c r="K824" s="26" t="s">
        <v>25</v>
      </c>
      <c r="L824" s="26" t="s">
        <v>26</v>
      </c>
      <c r="M824" s="26" t="s">
        <v>38</v>
      </c>
      <c r="N824" s="26" t="s">
        <v>39</v>
      </c>
      <c r="O824" s="26" t="s">
        <v>4687</v>
      </c>
      <c r="P824" s="26"/>
      <c r="Q824" s="26"/>
      <c r="R824" s="26">
        <v>0.93</v>
      </c>
      <c r="S824" s="26" t="s">
        <v>29</v>
      </c>
    </row>
    <row r="825" spans="1:19">
      <c r="A825" s="26">
        <v>29103</v>
      </c>
      <c r="B825" s="26" t="s">
        <v>20</v>
      </c>
      <c r="C825" s="26" t="s">
        <v>21</v>
      </c>
      <c r="D825" s="26" t="s">
        <v>21</v>
      </c>
      <c r="E825" s="26"/>
      <c r="F825" s="26" t="s">
        <v>3195</v>
      </c>
      <c r="G825" s="26"/>
      <c r="H825" s="26" t="s">
        <v>5</v>
      </c>
      <c r="I825" s="26" t="s">
        <v>5</v>
      </c>
      <c r="J825" s="26" t="s">
        <v>25</v>
      </c>
      <c r="K825" s="26" t="s">
        <v>25</v>
      </c>
      <c r="L825" s="26" t="s">
        <v>26</v>
      </c>
      <c r="M825" s="26" t="s">
        <v>38</v>
      </c>
      <c r="N825" s="26" t="s">
        <v>39</v>
      </c>
      <c r="O825" s="26" t="s">
        <v>4687</v>
      </c>
      <c r="P825" s="26"/>
      <c r="Q825" s="26"/>
      <c r="R825" s="26">
        <v>0.93</v>
      </c>
      <c r="S825" s="26" t="s">
        <v>29</v>
      </c>
    </row>
    <row r="826" spans="1:19">
      <c r="A826" s="24">
        <v>67600</v>
      </c>
      <c r="B826" s="24" t="s">
        <v>20</v>
      </c>
      <c r="C826" s="24" t="s">
        <v>21</v>
      </c>
      <c r="D826" s="24" t="s">
        <v>30</v>
      </c>
      <c r="E826" s="24" t="s">
        <v>771</v>
      </c>
      <c r="F826" s="24" t="s">
        <v>772</v>
      </c>
      <c r="G826" s="24">
        <v>7</v>
      </c>
      <c r="H826" s="24" t="s">
        <v>24</v>
      </c>
      <c r="I826" s="24" t="s">
        <v>773</v>
      </c>
      <c r="J826" s="24" t="s">
        <v>694</v>
      </c>
      <c r="K826" s="24" t="s">
        <v>580</v>
      </c>
      <c r="L826" s="24" t="s">
        <v>240</v>
      </c>
      <c r="M826" s="24" t="s">
        <v>27</v>
      </c>
      <c r="N826" s="24" t="s">
        <v>774</v>
      </c>
      <c r="O826" s="25">
        <v>29587</v>
      </c>
      <c r="P826" s="24"/>
      <c r="Q826" s="24"/>
      <c r="R826" s="24">
        <v>7</v>
      </c>
      <c r="S826" s="24" t="s">
        <v>29</v>
      </c>
    </row>
    <row r="827" spans="1:19">
      <c r="A827" s="26">
        <v>67602</v>
      </c>
      <c r="B827" s="26" t="s">
        <v>20</v>
      </c>
      <c r="C827" s="26" t="s">
        <v>30</v>
      </c>
      <c r="D827" s="26" t="s">
        <v>21</v>
      </c>
      <c r="E827" s="26"/>
      <c r="F827" s="26" t="s">
        <v>772</v>
      </c>
      <c r="G827" s="26"/>
      <c r="H827" s="26" t="s">
        <v>24</v>
      </c>
      <c r="I827" s="26" t="s">
        <v>773</v>
      </c>
      <c r="J827" s="26" t="s">
        <v>694</v>
      </c>
      <c r="K827" s="26" t="s">
        <v>580</v>
      </c>
      <c r="L827" s="26" t="s">
        <v>240</v>
      </c>
      <c r="M827" s="26" t="s">
        <v>27</v>
      </c>
      <c r="N827" s="26" t="s">
        <v>774</v>
      </c>
      <c r="O827" s="27">
        <v>29587</v>
      </c>
      <c r="P827" s="26"/>
      <c r="Q827" s="26"/>
      <c r="R827" s="26">
        <v>3.5</v>
      </c>
      <c r="S827" s="26" t="s">
        <v>29</v>
      </c>
    </row>
    <row r="828" spans="1:19">
      <c r="A828" s="26">
        <v>67601</v>
      </c>
      <c r="B828" s="26" t="s">
        <v>20</v>
      </c>
      <c r="C828" s="26" t="s">
        <v>30</v>
      </c>
      <c r="D828" s="26" t="s">
        <v>21</v>
      </c>
      <c r="E828" s="26"/>
      <c r="F828" s="26" t="s">
        <v>772</v>
      </c>
      <c r="G828" s="26"/>
      <c r="H828" s="26" t="s">
        <v>24</v>
      </c>
      <c r="I828" s="26" t="s">
        <v>773</v>
      </c>
      <c r="J828" s="26" t="s">
        <v>694</v>
      </c>
      <c r="K828" s="26" t="s">
        <v>580</v>
      </c>
      <c r="L828" s="26" t="s">
        <v>240</v>
      </c>
      <c r="M828" s="26" t="s">
        <v>27</v>
      </c>
      <c r="N828" s="26" t="s">
        <v>774</v>
      </c>
      <c r="O828" s="27">
        <v>29587</v>
      </c>
      <c r="P828" s="26"/>
      <c r="Q828" s="26"/>
      <c r="R828" s="26">
        <v>3.5</v>
      </c>
      <c r="S828" s="26" t="s">
        <v>29</v>
      </c>
    </row>
    <row r="829" spans="1:19" ht="29.25">
      <c r="A829" s="24">
        <v>92800</v>
      </c>
      <c r="B829" s="24" t="s">
        <v>20</v>
      </c>
      <c r="C829" s="24" t="s">
        <v>30</v>
      </c>
      <c r="D829" s="24" t="s">
        <v>30</v>
      </c>
      <c r="E829" s="24" t="s">
        <v>2794</v>
      </c>
      <c r="F829" s="24" t="s">
        <v>2795</v>
      </c>
      <c r="G829" s="24">
        <v>3.04</v>
      </c>
      <c r="H829" s="24" t="s">
        <v>24</v>
      </c>
      <c r="I829" s="24" t="s">
        <v>2796</v>
      </c>
      <c r="J829" s="24" t="s">
        <v>365</v>
      </c>
      <c r="K829" s="24" t="s">
        <v>2258</v>
      </c>
      <c r="L829" s="24" t="s">
        <v>888</v>
      </c>
      <c r="M829" s="24" t="s">
        <v>27</v>
      </c>
      <c r="N829" s="24" t="s">
        <v>28</v>
      </c>
      <c r="O829" s="25">
        <v>38750</v>
      </c>
      <c r="P829" s="24"/>
      <c r="Q829" s="24"/>
      <c r="R829" s="24">
        <v>3.02</v>
      </c>
      <c r="S829" s="24" t="s">
        <v>29</v>
      </c>
    </row>
    <row r="830" spans="1:19" ht="29.25">
      <c r="A830" s="28">
        <v>67700</v>
      </c>
      <c r="B830" s="28" t="s">
        <v>20</v>
      </c>
      <c r="C830" s="28" t="s">
        <v>21</v>
      </c>
      <c r="D830" s="28" t="s">
        <v>21</v>
      </c>
      <c r="E830" s="28" t="s">
        <v>1855</v>
      </c>
      <c r="F830" s="28" t="s">
        <v>1856</v>
      </c>
      <c r="G830" s="28">
        <v>8.1</v>
      </c>
      <c r="H830" s="28" t="s">
        <v>24</v>
      </c>
      <c r="I830" s="28" t="s">
        <v>1857</v>
      </c>
      <c r="J830" s="28" t="s">
        <v>694</v>
      </c>
      <c r="K830" s="28" t="s">
        <v>580</v>
      </c>
      <c r="L830" s="28" t="s">
        <v>240</v>
      </c>
      <c r="M830" s="28" t="s">
        <v>193</v>
      </c>
      <c r="N830" s="28" t="s">
        <v>194</v>
      </c>
      <c r="O830" s="29">
        <v>32680</v>
      </c>
      <c r="P830" s="28"/>
      <c r="Q830" s="28"/>
      <c r="R830" s="28">
        <v>10.199999999999999</v>
      </c>
      <c r="S830" s="28" t="s">
        <v>29</v>
      </c>
    </row>
    <row r="831" spans="1:19">
      <c r="A831" s="28">
        <v>111000</v>
      </c>
      <c r="B831" s="28" t="s">
        <v>20</v>
      </c>
      <c r="C831" s="28" t="s">
        <v>21</v>
      </c>
      <c r="D831" s="28" t="s">
        <v>21</v>
      </c>
      <c r="E831" s="28" t="s">
        <v>4760</v>
      </c>
      <c r="F831" s="28" t="s">
        <v>4761</v>
      </c>
      <c r="G831" s="28">
        <v>12</v>
      </c>
      <c r="H831" s="28" t="s">
        <v>5</v>
      </c>
      <c r="I831" s="28" t="s">
        <v>4762</v>
      </c>
      <c r="J831" s="28" t="s">
        <v>1025</v>
      </c>
      <c r="K831" s="28" t="s">
        <v>2138</v>
      </c>
      <c r="L831" s="28" t="s">
        <v>1026</v>
      </c>
      <c r="M831" s="28" t="s">
        <v>27</v>
      </c>
      <c r="N831" s="28" t="s">
        <v>28</v>
      </c>
      <c r="O831" s="29">
        <v>41426</v>
      </c>
      <c r="P831" s="28"/>
      <c r="Q831" s="28"/>
      <c r="R831" s="28">
        <v>12</v>
      </c>
      <c r="S831" s="28" t="s">
        <v>29</v>
      </c>
    </row>
    <row r="832" spans="1:19">
      <c r="A832" s="28">
        <v>111100</v>
      </c>
      <c r="B832" s="28" t="s">
        <v>20</v>
      </c>
      <c r="C832" s="28" t="s">
        <v>21</v>
      </c>
      <c r="D832" s="28" t="s">
        <v>21</v>
      </c>
      <c r="E832" s="28" t="s">
        <v>4763</v>
      </c>
      <c r="F832" s="28" t="s">
        <v>4764</v>
      </c>
      <c r="G832" s="28">
        <v>9</v>
      </c>
      <c r="H832" s="28" t="s">
        <v>5</v>
      </c>
      <c r="I832" s="28" t="s">
        <v>4765</v>
      </c>
      <c r="J832" s="28" t="s">
        <v>1025</v>
      </c>
      <c r="K832" s="28" t="s">
        <v>2138</v>
      </c>
      <c r="L832" s="28" t="s">
        <v>1026</v>
      </c>
      <c r="M832" s="28" t="s">
        <v>38</v>
      </c>
      <c r="N832" s="28" t="s">
        <v>39</v>
      </c>
      <c r="O832" s="29">
        <v>41426</v>
      </c>
      <c r="P832" s="28"/>
      <c r="Q832" s="28"/>
      <c r="R832" s="28">
        <v>9</v>
      </c>
      <c r="S832" s="28" t="s">
        <v>29</v>
      </c>
    </row>
    <row r="833" spans="1:19" ht="43.5">
      <c r="A833" s="28">
        <v>102700</v>
      </c>
      <c r="B833" s="28" t="s">
        <v>20</v>
      </c>
      <c r="C833" s="28" t="s">
        <v>21</v>
      </c>
      <c r="D833" s="28" t="s">
        <v>21</v>
      </c>
      <c r="E833" s="28" t="s">
        <v>3039</v>
      </c>
      <c r="F833" s="28" t="s">
        <v>3040</v>
      </c>
      <c r="G833" s="28">
        <v>1.6</v>
      </c>
      <c r="H833" s="28" t="s">
        <v>24</v>
      </c>
      <c r="I833" s="28" t="s">
        <v>3037</v>
      </c>
      <c r="J833" s="28" t="s">
        <v>365</v>
      </c>
      <c r="K833" s="28" t="s">
        <v>580</v>
      </c>
      <c r="L833" s="28" t="s">
        <v>240</v>
      </c>
      <c r="M833" s="28" t="s">
        <v>27</v>
      </c>
      <c r="N833" s="28" t="s">
        <v>1420</v>
      </c>
      <c r="O833" s="29">
        <v>40813</v>
      </c>
      <c r="P833" s="28" t="s">
        <v>3041</v>
      </c>
      <c r="Q833" s="28">
        <v>1.6</v>
      </c>
      <c r="R833" s="28"/>
      <c r="S833" s="28" t="s">
        <v>29</v>
      </c>
    </row>
    <row r="834" spans="1:19">
      <c r="A834" s="28">
        <v>92900</v>
      </c>
      <c r="B834" s="28" t="s">
        <v>20</v>
      </c>
      <c r="C834" s="28" t="s">
        <v>21</v>
      </c>
      <c r="D834" s="28" t="s">
        <v>21</v>
      </c>
      <c r="E834" s="28" t="s">
        <v>2797</v>
      </c>
      <c r="F834" s="28" t="s">
        <v>2798</v>
      </c>
      <c r="G834" s="28">
        <v>150</v>
      </c>
      <c r="H834" s="28" t="s">
        <v>24</v>
      </c>
      <c r="I834" s="28" t="s">
        <v>2799</v>
      </c>
      <c r="J834" s="28" t="s">
        <v>781</v>
      </c>
      <c r="K834" s="28" t="s">
        <v>781</v>
      </c>
      <c r="L834" s="28" t="s">
        <v>781</v>
      </c>
      <c r="M834" s="28" t="s">
        <v>27</v>
      </c>
      <c r="N834" s="28" t="s">
        <v>28</v>
      </c>
      <c r="O834" s="29">
        <v>38806</v>
      </c>
      <c r="P834" s="28"/>
      <c r="Q834" s="28"/>
      <c r="R834" s="28">
        <v>150</v>
      </c>
      <c r="S834" s="28" t="s">
        <v>29</v>
      </c>
    </row>
    <row r="835" spans="1:19" ht="29.25">
      <c r="A835" s="28">
        <v>29300</v>
      </c>
      <c r="B835" s="28" t="s">
        <v>20</v>
      </c>
      <c r="C835" s="28" t="s">
        <v>21</v>
      </c>
      <c r="D835" s="28" t="s">
        <v>21</v>
      </c>
      <c r="E835" s="28" t="s">
        <v>1430</v>
      </c>
      <c r="F835" s="28" t="s">
        <v>1431</v>
      </c>
      <c r="G835" s="28">
        <v>5.7</v>
      </c>
      <c r="H835" s="28" t="s">
        <v>24</v>
      </c>
      <c r="I835" s="28" t="s">
        <v>1432</v>
      </c>
      <c r="J835" s="28" t="s">
        <v>788</v>
      </c>
      <c r="K835" s="28" t="s">
        <v>366</v>
      </c>
      <c r="L835" s="28" t="s">
        <v>789</v>
      </c>
      <c r="M835" s="28" t="s">
        <v>27</v>
      </c>
      <c r="N835" s="28" t="s">
        <v>28</v>
      </c>
      <c r="O835" s="29">
        <v>31720</v>
      </c>
      <c r="P835" s="28" t="s">
        <v>1433</v>
      </c>
      <c r="Q835" s="28"/>
      <c r="R835" s="28">
        <v>5.7</v>
      </c>
      <c r="S835" s="28" t="s">
        <v>29</v>
      </c>
    </row>
    <row r="836" spans="1:19" ht="29.25">
      <c r="A836" s="28">
        <v>29700</v>
      </c>
      <c r="B836" s="28" t="s">
        <v>20</v>
      </c>
      <c r="C836" s="28" t="s">
        <v>30</v>
      </c>
      <c r="D836" s="28" t="s">
        <v>21</v>
      </c>
      <c r="E836" s="28" t="s">
        <v>2321</v>
      </c>
      <c r="F836" s="28" t="s">
        <v>2322</v>
      </c>
      <c r="G836" s="28">
        <v>7.5</v>
      </c>
      <c r="H836" s="28" t="s">
        <v>24</v>
      </c>
      <c r="I836" s="28" t="s">
        <v>2323</v>
      </c>
      <c r="J836" s="28" t="s">
        <v>788</v>
      </c>
      <c r="K836" s="28" t="s">
        <v>366</v>
      </c>
      <c r="L836" s="28" t="s">
        <v>789</v>
      </c>
      <c r="M836" s="28" t="s">
        <v>27</v>
      </c>
      <c r="N836" s="28" t="s">
        <v>28</v>
      </c>
      <c r="O836" s="29">
        <v>37040</v>
      </c>
      <c r="P836" s="28"/>
      <c r="Q836" s="28"/>
      <c r="R836" s="28">
        <v>7.5</v>
      </c>
      <c r="S836" s="28" t="s">
        <v>29</v>
      </c>
    </row>
    <row r="837" spans="1:19">
      <c r="A837" s="28">
        <v>29900</v>
      </c>
      <c r="B837" s="28" t="s">
        <v>20</v>
      </c>
      <c r="C837" s="28" t="s">
        <v>30</v>
      </c>
      <c r="D837" s="28" t="s">
        <v>21</v>
      </c>
      <c r="E837" s="28" t="s">
        <v>1153</v>
      </c>
      <c r="F837" s="28" t="s">
        <v>1154</v>
      </c>
      <c r="G837" s="28">
        <v>7</v>
      </c>
      <c r="H837" s="28" t="s">
        <v>5</v>
      </c>
      <c r="I837" s="28" t="s">
        <v>1155</v>
      </c>
      <c r="J837" s="28" t="s">
        <v>788</v>
      </c>
      <c r="K837" s="28" t="s">
        <v>366</v>
      </c>
      <c r="L837" s="28" t="s">
        <v>789</v>
      </c>
      <c r="M837" s="28" t="s">
        <v>38</v>
      </c>
      <c r="N837" s="28" t="s">
        <v>39</v>
      </c>
      <c r="O837" s="29">
        <v>31048</v>
      </c>
      <c r="P837" s="28"/>
      <c r="Q837" s="28"/>
      <c r="R837" s="28">
        <v>9</v>
      </c>
      <c r="S837" s="28" t="s">
        <v>29</v>
      </c>
    </row>
    <row r="838" spans="1:19" ht="29.25">
      <c r="A838" s="24">
        <v>89800</v>
      </c>
      <c r="B838" s="24" t="s">
        <v>20</v>
      </c>
      <c r="C838" s="24" t="s">
        <v>21</v>
      </c>
      <c r="D838" s="24" t="s">
        <v>30</v>
      </c>
      <c r="E838" s="24" t="s">
        <v>2681</v>
      </c>
      <c r="F838" s="24" t="s">
        <v>2682</v>
      </c>
      <c r="G838" s="24">
        <v>2.4900000000000002</v>
      </c>
      <c r="H838" s="24" t="s">
        <v>5</v>
      </c>
      <c r="I838" s="24" t="s">
        <v>2678</v>
      </c>
      <c r="J838" s="24" t="s">
        <v>788</v>
      </c>
      <c r="K838" s="24" t="s">
        <v>296</v>
      </c>
      <c r="L838" s="24" t="s">
        <v>888</v>
      </c>
      <c r="M838" s="24" t="s">
        <v>38</v>
      </c>
      <c r="N838" s="24" t="s">
        <v>39</v>
      </c>
      <c r="O838" s="25">
        <v>38109</v>
      </c>
      <c r="P838" s="24"/>
      <c r="Q838" s="24"/>
      <c r="R838" s="24">
        <v>2.7</v>
      </c>
      <c r="S838" s="24" t="s">
        <v>29</v>
      </c>
    </row>
    <row r="839" spans="1:19">
      <c r="A839" s="26">
        <v>89802</v>
      </c>
      <c r="B839" s="26" t="s">
        <v>20</v>
      </c>
      <c r="C839" s="26" t="s">
        <v>21</v>
      </c>
      <c r="D839" s="26" t="s">
        <v>21</v>
      </c>
      <c r="E839" s="26"/>
      <c r="F839" s="26" t="s">
        <v>3198</v>
      </c>
      <c r="G839" s="26"/>
      <c r="H839" s="26" t="s">
        <v>5</v>
      </c>
      <c r="I839" s="26" t="s">
        <v>2678</v>
      </c>
      <c r="J839" s="26" t="s">
        <v>788</v>
      </c>
      <c r="K839" s="26" t="s">
        <v>296</v>
      </c>
      <c r="L839" s="26" t="s">
        <v>888</v>
      </c>
      <c r="M839" s="26" t="s">
        <v>38</v>
      </c>
      <c r="N839" s="26" t="s">
        <v>39</v>
      </c>
      <c r="O839" s="26" t="s">
        <v>4687</v>
      </c>
      <c r="P839" s="26"/>
      <c r="Q839" s="26"/>
      <c r="R839" s="26">
        <v>1.35</v>
      </c>
      <c r="S839" s="26" t="s">
        <v>29</v>
      </c>
    </row>
    <row r="840" spans="1:19">
      <c r="A840" s="26">
        <v>89801</v>
      </c>
      <c r="B840" s="26" t="s">
        <v>20</v>
      </c>
      <c r="C840" s="26" t="s">
        <v>21</v>
      </c>
      <c r="D840" s="26" t="s">
        <v>21</v>
      </c>
      <c r="E840" s="26"/>
      <c r="F840" s="26" t="s">
        <v>3197</v>
      </c>
      <c r="G840" s="26"/>
      <c r="H840" s="26" t="s">
        <v>5</v>
      </c>
      <c r="I840" s="26" t="s">
        <v>2678</v>
      </c>
      <c r="J840" s="26" t="s">
        <v>788</v>
      </c>
      <c r="K840" s="26" t="s">
        <v>296</v>
      </c>
      <c r="L840" s="26" t="s">
        <v>888</v>
      </c>
      <c r="M840" s="26" t="s">
        <v>38</v>
      </c>
      <c r="N840" s="26" t="s">
        <v>39</v>
      </c>
      <c r="O840" s="26" t="s">
        <v>4687</v>
      </c>
      <c r="P840" s="26"/>
      <c r="Q840" s="26"/>
      <c r="R840" s="26">
        <v>1.35</v>
      </c>
      <c r="S840" s="26" t="s">
        <v>29</v>
      </c>
    </row>
    <row r="841" spans="1:19">
      <c r="A841" s="28">
        <v>30400</v>
      </c>
      <c r="B841" s="28" t="s">
        <v>20</v>
      </c>
      <c r="C841" s="28" t="s">
        <v>21</v>
      </c>
      <c r="D841" s="28" t="s">
        <v>21</v>
      </c>
      <c r="E841" s="28" t="s">
        <v>742</v>
      </c>
      <c r="F841" s="28" t="s">
        <v>743</v>
      </c>
      <c r="G841" s="28">
        <v>7.1</v>
      </c>
      <c r="H841" s="28" t="s">
        <v>24</v>
      </c>
      <c r="I841" s="28" t="s">
        <v>4</v>
      </c>
      <c r="J841" s="28" t="s">
        <v>25</v>
      </c>
      <c r="K841" s="28" t="s">
        <v>25</v>
      </c>
      <c r="L841" s="28" t="s">
        <v>26</v>
      </c>
      <c r="M841" s="28" t="s">
        <v>27</v>
      </c>
      <c r="N841" s="28" t="s">
        <v>28</v>
      </c>
      <c r="O841" s="29">
        <v>28856</v>
      </c>
      <c r="P841" s="28"/>
      <c r="Q841" s="28"/>
      <c r="R841" s="28">
        <v>7.1</v>
      </c>
      <c r="S841" s="28" t="s">
        <v>29</v>
      </c>
    </row>
    <row r="842" spans="1:19" ht="29.25">
      <c r="A842" s="28">
        <v>69300</v>
      </c>
      <c r="B842" s="28" t="s">
        <v>20</v>
      </c>
      <c r="C842" s="28" t="s">
        <v>21</v>
      </c>
      <c r="D842" s="28" t="s">
        <v>21</v>
      </c>
      <c r="E842" s="28" t="s">
        <v>923</v>
      </c>
      <c r="F842" s="28" t="s">
        <v>924</v>
      </c>
      <c r="G842" s="28">
        <v>5.04</v>
      </c>
      <c r="H842" s="28" t="s">
        <v>24</v>
      </c>
      <c r="I842" s="28"/>
      <c r="J842" s="28" t="s">
        <v>25</v>
      </c>
      <c r="K842" s="28" t="s">
        <v>25</v>
      </c>
      <c r="L842" s="28" t="s">
        <v>26</v>
      </c>
      <c r="M842" s="28" t="s">
        <v>27</v>
      </c>
      <c r="N842" s="28" t="s">
        <v>28</v>
      </c>
      <c r="O842" s="29">
        <v>30359</v>
      </c>
      <c r="P842" s="28"/>
      <c r="Q842" s="28"/>
      <c r="R842" s="28">
        <v>8.75</v>
      </c>
      <c r="S842" s="28" t="s">
        <v>29</v>
      </c>
    </row>
    <row r="843" spans="1:19" ht="29.25">
      <c r="A843" s="28">
        <v>69400</v>
      </c>
      <c r="B843" s="28" t="s">
        <v>20</v>
      </c>
      <c r="C843" s="28" t="s">
        <v>21</v>
      </c>
      <c r="D843" s="28" t="s">
        <v>21</v>
      </c>
      <c r="E843" s="28" t="s">
        <v>813</v>
      </c>
      <c r="F843" s="28" t="s">
        <v>814</v>
      </c>
      <c r="G843" s="28">
        <v>2.85</v>
      </c>
      <c r="H843" s="28" t="s">
        <v>24</v>
      </c>
      <c r="I843" s="28"/>
      <c r="J843" s="28" t="s">
        <v>25</v>
      </c>
      <c r="K843" s="28" t="s">
        <v>25</v>
      </c>
      <c r="L843" s="28" t="s">
        <v>26</v>
      </c>
      <c r="M843" s="28" t="s">
        <v>27</v>
      </c>
      <c r="N843" s="28" t="s">
        <v>28</v>
      </c>
      <c r="O843" s="29">
        <v>30057</v>
      </c>
      <c r="P843" s="28"/>
      <c r="Q843" s="28"/>
      <c r="R843" s="28">
        <v>5</v>
      </c>
      <c r="S843" s="28" t="s">
        <v>29</v>
      </c>
    </row>
    <row r="844" spans="1:19" ht="29.25">
      <c r="A844" s="24">
        <v>31100</v>
      </c>
      <c r="B844" s="24" t="s">
        <v>20</v>
      </c>
      <c r="C844" s="24" t="s">
        <v>21</v>
      </c>
      <c r="D844" s="24" t="s">
        <v>30</v>
      </c>
      <c r="E844" s="24" t="s">
        <v>263</v>
      </c>
      <c r="F844" s="24" t="s">
        <v>264</v>
      </c>
      <c r="G844" s="24">
        <v>11.4</v>
      </c>
      <c r="H844" s="24" t="s">
        <v>24</v>
      </c>
      <c r="I844" s="24" t="s">
        <v>4</v>
      </c>
      <c r="J844" s="24" t="s">
        <v>25</v>
      </c>
      <c r="K844" s="24" t="s">
        <v>25</v>
      </c>
      <c r="L844" s="24" t="s">
        <v>26</v>
      </c>
      <c r="M844" s="24" t="s">
        <v>27</v>
      </c>
      <c r="N844" s="24" t="s">
        <v>28</v>
      </c>
      <c r="O844" s="25">
        <v>10594</v>
      </c>
      <c r="P844" s="24"/>
      <c r="Q844" s="24" t="s">
        <v>129</v>
      </c>
      <c r="R844" s="24">
        <v>11.4</v>
      </c>
      <c r="S844" s="24" t="s">
        <v>29</v>
      </c>
    </row>
    <row r="845" spans="1:19">
      <c r="A845" s="26">
        <v>31101</v>
      </c>
      <c r="B845" s="26" t="s">
        <v>20</v>
      </c>
      <c r="C845" s="26" t="s">
        <v>21</v>
      </c>
      <c r="D845" s="26" t="s">
        <v>21</v>
      </c>
      <c r="E845" s="26" t="s">
        <v>265</v>
      </c>
      <c r="F845" s="26" t="s">
        <v>266</v>
      </c>
      <c r="G845" s="26">
        <v>7</v>
      </c>
      <c r="H845" s="26" t="s">
        <v>24</v>
      </c>
      <c r="I845" s="26" t="s">
        <v>4</v>
      </c>
      <c r="J845" s="26" t="s">
        <v>25</v>
      </c>
      <c r="K845" s="26" t="s">
        <v>25</v>
      </c>
      <c r="L845" s="26" t="s">
        <v>26</v>
      </c>
      <c r="M845" s="26" t="s">
        <v>27</v>
      </c>
      <c r="N845" s="26" t="s">
        <v>28</v>
      </c>
      <c r="O845" s="27">
        <v>10594</v>
      </c>
      <c r="P845" s="26"/>
      <c r="Q845" s="26" t="s">
        <v>129</v>
      </c>
      <c r="R845" s="26">
        <v>7.8</v>
      </c>
      <c r="S845" s="26" t="s">
        <v>29</v>
      </c>
    </row>
    <row r="846" spans="1:19">
      <c r="A846" s="26">
        <v>31102</v>
      </c>
      <c r="B846" s="26" t="s">
        <v>20</v>
      </c>
      <c r="C846" s="26" t="s">
        <v>21</v>
      </c>
      <c r="D846" s="26" t="s">
        <v>21</v>
      </c>
      <c r="E846" s="26" t="s">
        <v>267</v>
      </c>
      <c r="F846" s="26" t="s">
        <v>268</v>
      </c>
      <c r="G846" s="26">
        <v>4.4000000000000004</v>
      </c>
      <c r="H846" s="26" t="s">
        <v>24</v>
      </c>
      <c r="I846" s="26" t="s">
        <v>4</v>
      </c>
      <c r="J846" s="26" t="s">
        <v>25</v>
      </c>
      <c r="K846" s="26" t="s">
        <v>25</v>
      </c>
      <c r="L846" s="26" t="s">
        <v>26</v>
      </c>
      <c r="M846" s="26" t="s">
        <v>27</v>
      </c>
      <c r="N846" s="26" t="s">
        <v>28</v>
      </c>
      <c r="O846" s="27">
        <v>10594</v>
      </c>
      <c r="P846" s="26"/>
      <c r="Q846" s="26" t="s">
        <v>129</v>
      </c>
      <c r="R846" s="26">
        <v>3.6</v>
      </c>
      <c r="S846" s="26" t="s">
        <v>29</v>
      </c>
    </row>
    <row r="847" spans="1:19">
      <c r="A847" s="24">
        <v>31200</v>
      </c>
      <c r="B847" s="24" t="s">
        <v>20</v>
      </c>
      <c r="C847" s="24" t="s">
        <v>21</v>
      </c>
      <c r="D847" s="24" t="s">
        <v>30</v>
      </c>
      <c r="E847" s="24" t="s">
        <v>1940</v>
      </c>
      <c r="F847" s="24" t="s">
        <v>1941</v>
      </c>
      <c r="G847" s="24">
        <v>6</v>
      </c>
      <c r="H847" s="24" t="s">
        <v>24</v>
      </c>
      <c r="I847" s="24" t="s">
        <v>859</v>
      </c>
      <c r="J847" s="24" t="s">
        <v>25</v>
      </c>
      <c r="K847" s="24" t="s">
        <v>25</v>
      </c>
      <c r="L847" s="24" t="s">
        <v>26</v>
      </c>
      <c r="M847" s="24" t="s">
        <v>27</v>
      </c>
      <c r="N847" s="24" t="s">
        <v>28</v>
      </c>
      <c r="O847" s="25">
        <v>32874</v>
      </c>
      <c r="P847" s="24" t="s">
        <v>1942</v>
      </c>
      <c r="Q847" s="24"/>
      <c r="R847" s="24">
        <v>6.1</v>
      </c>
      <c r="S847" s="24" t="s">
        <v>29</v>
      </c>
    </row>
    <row r="848" spans="1:19">
      <c r="A848" s="26">
        <v>31201</v>
      </c>
      <c r="B848" s="26" t="s">
        <v>20</v>
      </c>
      <c r="C848" s="26" t="s">
        <v>21</v>
      </c>
      <c r="D848" s="26" t="s">
        <v>21</v>
      </c>
      <c r="E848" s="26" t="s">
        <v>1943</v>
      </c>
      <c r="F848" s="26" t="s">
        <v>1944</v>
      </c>
      <c r="G848" s="26">
        <v>2.8</v>
      </c>
      <c r="H848" s="26" t="s">
        <v>24</v>
      </c>
      <c r="I848" s="26" t="s">
        <v>859</v>
      </c>
      <c r="J848" s="26" t="s">
        <v>25</v>
      </c>
      <c r="K848" s="26" t="s">
        <v>25</v>
      </c>
      <c r="L848" s="26" t="s">
        <v>26</v>
      </c>
      <c r="M848" s="26" t="s">
        <v>27</v>
      </c>
      <c r="N848" s="26" t="s">
        <v>28</v>
      </c>
      <c r="O848" s="27">
        <v>32874</v>
      </c>
      <c r="P848" s="26" t="s">
        <v>1942</v>
      </c>
      <c r="Q848" s="26"/>
      <c r="R848" s="26">
        <v>2.8</v>
      </c>
      <c r="S848" s="26" t="s">
        <v>29</v>
      </c>
    </row>
    <row r="849" spans="1:19">
      <c r="A849" s="26">
        <v>31202</v>
      </c>
      <c r="B849" s="26" t="s">
        <v>20</v>
      </c>
      <c r="C849" s="26" t="s">
        <v>21</v>
      </c>
      <c r="D849" s="26" t="s">
        <v>21</v>
      </c>
      <c r="E849" s="26" t="s">
        <v>1945</v>
      </c>
      <c r="F849" s="26" t="s">
        <v>1946</v>
      </c>
      <c r="G849" s="26">
        <v>2.8</v>
      </c>
      <c r="H849" s="26" t="s">
        <v>24</v>
      </c>
      <c r="I849" s="26" t="s">
        <v>859</v>
      </c>
      <c r="J849" s="26" t="s">
        <v>25</v>
      </c>
      <c r="K849" s="26" t="s">
        <v>25</v>
      </c>
      <c r="L849" s="26" t="s">
        <v>26</v>
      </c>
      <c r="M849" s="26" t="s">
        <v>27</v>
      </c>
      <c r="N849" s="26" t="s">
        <v>28</v>
      </c>
      <c r="O849" s="27">
        <v>32874</v>
      </c>
      <c r="P849" s="26" t="s">
        <v>1942</v>
      </c>
      <c r="Q849" s="26"/>
      <c r="R849" s="26">
        <v>2.8</v>
      </c>
      <c r="S849" s="26" t="s">
        <v>29</v>
      </c>
    </row>
    <row r="850" spans="1:19" ht="29.25">
      <c r="A850" s="26">
        <v>31203</v>
      </c>
      <c r="B850" s="26" t="s">
        <v>20</v>
      </c>
      <c r="C850" s="26" t="s">
        <v>21</v>
      </c>
      <c r="D850" s="26" t="s">
        <v>21</v>
      </c>
      <c r="E850" s="26" t="s">
        <v>1947</v>
      </c>
      <c r="F850" s="26" t="s">
        <v>1948</v>
      </c>
      <c r="G850" s="26">
        <v>0.5</v>
      </c>
      <c r="H850" s="26" t="s">
        <v>24</v>
      </c>
      <c r="I850" s="26" t="s">
        <v>859</v>
      </c>
      <c r="J850" s="26" t="s">
        <v>25</v>
      </c>
      <c r="K850" s="26" t="s">
        <v>25</v>
      </c>
      <c r="L850" s="26" t="s">
        <v>26</v>
      </c>
      <c r="M850" s="26" t="s">
        <v>27</v>
      </c>
      <c r="N850" s="26" t="s">
        <v>28</v>
      </c>
      <c r="O850" s="27">
        <v>32874</v>
      </c>
      <c r="P850" s="26" t="s">
        <v>1949</v>
      </c>
      <c r="Q850" s="26"/>
      <c r="R850" s="26">
        <v>0.5</v>
      </c>
      <c r="S850" s="26" t="s">
        <v>29</v>
      </c>
    </row>
    <row r="851" spans="1:19">
      <c r="A851" s="28">
        <v>105800</v>
      </c>
      <c r="B851" s="28" t="s">
        <v>20</v>
      </c>
      <c r="C851" s="28" t="s">
        <v>21</v>
      </c>
      <c r="D851" s="28" t="s">
        <v>21</v>
      </c>
      <c r="E851" s="28" t="s">
        <v>4504</v>
      </c>
      <c r="F851" s="28" t="s">
        <v>4505</v>
      </c>
      <c r="G851" s="28">
        <v>2.5</v>
      </c>
      <c r="H851" s="28" t="s">
        <v>5</v>
      </c>
      <c r="I851" s="28" t="s">
        <v>2905</v>
      </c>
      <c r="J851" s="28" t="s">
        <v>1025</v>
      </c>
      <c r="K851" s="28" t="s">
        <v>2138</v>
      </c>
      <c r="L851" s="28" t="s">
        <v>1026</v>
      </c>
      <c r="M851" s="28" t="s">
        <v>38</v>
      </c>
      <c r="N851" s="28" t="s">
        <v>39</v>
      </c>
      <c r="O851" s="29">
        <v>41237</v>
      </c>
      <c r="P851" s="28"/>
      <c r="Q851" s="28"/>
      <c r="R851" s="28">
        <v>2.5</v>
      </c>
      <c r="S851" s="28" t="s">
        <v>29</v>
      </c>
    </row>
    <row r="852" spans="1:19">
      <c r="A852" s="28">
        <v>105900</v>
      </c>
      <c r="B852" s="28" t="s">
        <v>20</v>
      </c>
      <c r="C852" s="28" t="s">
        <v>21</v>
      </c>
      <c r="D852" s="28" t="s">
        <v>21</v>
      </c>
      <c r="E852" s="28" t="s">
        <v>4506</v>
      </c>
      <c r="F852" s="28" t="s">
        <v>4507</v>
      </c>
      <c r="G852" s="28">
        <v>2.5</v>
      </c>
      <c r="H852" s="28" t="s">
        <v>5</v>
      </c>
      <c r="I852" s="28" t="s">
        <v>2905</v>
      </c>
      <c r="J852" s="28" t="s">
        <v>1025</v>
      </c>
      <c r="K852" s="28" t="s">
        <v>2138</v>
      </c>
      <c r="L852" s="28" t="s">
        <v>1026</v>
      </c>
      <c r="M852" s="28" t="s">
        <v>38</v>
      </c>
      <c r="N852" s="28" t="s">
        <v>39</v>
      </c>
      <c r="O852" s="29">
        <v>41237</v>
      </c>
      <c r="P852" s="28"/>
      <c r="Q852" s="28"/>
      <c r="R852" s="28">
        <v>2.5</v>
      </c>
      <c r="S852" s="28" t="s">
        <v>29</v>
      </c>
    </row>
    <row r="853" spans="1:19">
      <c r="A853" s="28">
        <v>111700</v>
      </c>
      <c r="B853" s="28" t="s">
        <v>20</v>
      </c>
      <c r="C853" s="28" t="s">
        <v>21</v>
      </c>
      <c r="D853" s="28" t="s">
        <v>21</v>
      </c>
      <c r="E853" s="28" t="s">
        <v>4766</v>
      </c>
      <c r="F853" s="28" t="s">
        <v>4767</v>
      </c>
      <c r="G853" s="28">
        <v>1.5</v>
      </c>
      <c r="H853" s="28" t="s">
        <v>5</v>
      </c>
      <c r="I853" s="28" t="s">
        <v>2905</v>
      </c>
      <c r="J853" s="28" t="s">
        <v>1025</v>
      </c>
      <c r="K853" s="28" t="s">
        <v>2138</v>
      </c>
      <c r="L853" s="28" t="s">
        <v>1026</v>
      </c>
      <c r="M853" s="28" t="s">
        <v>38</v>
      </c>
      <c r="N853" s="28" t="s">
        <v>39</v>
      </c>
      <c r="O853" s="29">
        <v>41282</v>
      </c>
      <c r="P853" s="28"/>
      <c r="Q853" s="28"/>
      <c r="R853" s="28">
        <v>1.5</v>
      </c>
      <c r="S853" s="28" t="s">
        <v>29</v>
      </c>
    </row>
    <row r="854" spans="1:19">
      <c r="A854" s="28">
        <v>112700</v>
      </c>
      <c r="B854" s="28" t="s">
        <v>20</v>
      </c>
      <c r="C854" s="28" t="s">
        <v>21</v>
      </c>
      <c r="D854" s="28" t="s">
        <v>21</v>
      </c>
      <c r="E854" s="28" t="s">
        <v>4768</v>
      </c>
      <c r="F854" s="28" t="s">
        <v>4769</v>
      </c>
      <c r="G854" s="28">
        <v>3</v>
      </c>
      <c r="H854" s="28" t="s">
        <v>5</v>
      </c>
      <c r="I854" s="28" t="s">
        <v>2905</v>
      </c>
      <c r="J854" s="28" t="s">
        <v>1025</v>
      </c>
      <c r="K854" s="28" t="s">
        <v>2138</v>
      </c>
      <c r="L854" s="28" t="s">
        <v>1026</v>
      </c>
      <c r="M854" s="28" t="s">
        <v>38</v>
      </c>
      <c r="N854" s="28" t="s">
        <v>39</v>
      </c>
      <c r="O854" s="29">
        <v>41289</v>
      </c>
      <c r="P854" s="28"/>
      <c r="Q854" s="28"/>
      <c r="R854" s="28">
        <v>3</v>
      </c>
      <c r="S854" s="28" t="s">
        <v>29</v>
      </c>
    </row>
    <row r="855" spans="1:19">
      <c r="A855" s="28">
        <v>106000</v>
      </c>
      <c r="B855" s="28" t="s">
        <v>20</v>
      </c>
      <c r="C855" s="28" t="s">
        <v>21</v>
      </c>
      <c r="D855" s="28" t="s">
        <v>21</v>
      </c>
      <c r="E855" s="28" t="s">
        <v>4508</v>
      </c>
      <c r="F855" s="28" t="s">
        <v>4509</v>
      </c>
      <c r="G855" s="28">
        <v>1.5</v>
      </c>
      <c r="H855" s="28" t="s">
        <v>5</v>
      </c>
      <c r="I855" s="28" t="s">
        <v>2905</v>
      </c>
      <c r="J855" s="28" t="s">
        <v>1025</v>
      </c>
      <c r="K855" s="28" t="s">
        <v>2138</v>
      </c>
      <c r="L855" s="28" t="s">
        <v>1026</v>
      </c>
      <c r="M855" s="28" t="s">
        <v>38</v>
      </c>
      <c r="N855" s="28" t="s">
        <v>39</v>
      </c>
      <c r="O855" s="29">
        <v>41237</v>
      </c>
      <c r="P855" s="28"/>
      <c r="Q855" s="28"/>
      <c r="R855" s="28">
        <v>1.5</v>
      </c>
      <c r="S855" s="28" t="s">
        <v>29</v>
      </c>
    </row>
    <row r="856" spans="1:19" ht="43.5">
      <c r="A856" s="28">
        <v>102200</v>
      </c>
      <c r="B856" s="28" t="s">
        <v>20</v>
      </c>
      <c r="C856" s="28" t="s">
        <v>21</v>
      </c>
      <c r="D856" s="28" t="s">
        <v>21</v>
      </c>
      <c r="E856" s="28" t="s">
        <v>2989</v>
      </c>
      <c r="F856" s="28" t="s">
        <v>2990</v>
      </c>
      <c r="G856" s="28">
        <v>2</v>
      </c>
      <c r="H856" s="28" t="s">
        <v>5</v>
      </c>
      <c r="I856" s="28" t="s">
        <v>2905</v>
      </c>
      <c r="J856" s="28" t="s">
        <v>1025</v>
      </c>
      <c r="K856" s="28" t="s">
        <v>2138</v>
      </c>
      <c r="L856" s="28" t="s">
        <v>1026</v>
      </c>
      <c r="M856" s="28" t="s">
        <v>38</v>
      </c>
      <c r="N856" s="28" t="s">
        <v>39</v>
      </c>
      <c r="O856" s="29">
        <v>40625</v>
      </c>
      <c r="P856" s="28" t="s">
        <v>2991</v>
      </c>
      <c r="Q856" s="28"/>
      <c r="R856" s="28">
        <v>2.5</v>
      </c>
      <c r="S856" s="28" t="s">
        <v>29</v>
      </c>
    </row>
    <row r="857" spans="1:19">
      <c r="A857" s="28">
        <v>112800</v>
      </c>
      <c r="B857" s="28" t="s">
        <v>20</v>
      </c>
      <c r="C857" s="28" t="s">
        <v>21</v>
      </c>
      <c r="D857" s="28" t="s">
        <v>21</v>
      </c>
      <c r="E857" s="28" t="s">
        <v>4770</v>
      </c>
      <c r="F857" s="28" t="s">
        <v>4771</v>
      </c>
      <c r="G857" s="28">
        <v>2.5</v>
      </c>
      <c r="H857" s="28" t="s">
        <v>5</v>
      </c>
      <c r="I857" s="28" t="s">
        <v>2905</v>
      </c>
      <c r="J857" s="28" t="s">
        <v>1025</v>
      </c>
      <c r="K857" s="28" t="s">
        <v>2138</v>
      </c>
      <c r="L857" s="28" t="s">
        <v>1026</v>
      </c>
      <c r="M857" s="28" t="s">
        <v>38</v>
      </c>
      <c r="N857" s="28" t="s">
        <v>39</v>
      </c>
      <c r="O857" s="29">
        <v>41290</v>
      </c>
      <c r="P857" s="28"/>
      <c r="Q857" s="28"/>
      <c r="R857" s="28">
        <v>2.5</v>
      </c>
      <c r="S857" s="28" t="s">
        <v>29</v>
      </c>
    </row>
    <row r="858" spans="1:19">
      <c r="A858" s="28">
        <v>106100</v>
      </c>
      <c r="B858" s="28" t="s">
        <v>20</v>
      </c>
      <c r="C858" s="28" t="s">
        <v>21</v>
      </c>
      <c r="D858" s="28" t="s">
        <v>21</v>
      </c>
      <c r="E858" s="28" t="s">
        <v>4510</v>
      </c>
      <c r="F858" s="28" t="s">
        <v>4511</v>
      </c>
      <c r="G858" s="28">
        <v>5</v>
      </c>
      <c r="H858" s="28" t="s">
        <v>5</v>
      </c>
      <c r="I858" s="28" t="s">
        <v>2905</v>
      </c>
      <c r="J858" s="28" t="s">
        <v>1025</v>
      </c>
      <c r="K858" s="28" t="s">
        <v>2138</v>
      </c>
      <c r="L858" s="28" t="s">
        <v>1026</v>
      </c>
      <c r="M858" s="28" t="s">
        <v>38</v>
      </c>
      <c r="N858" s="28" t="s">
        <v>39</v>
      </c>
      <c r="O858" s="29">
        <v>41237</v>
      </c>
      <c r="P858" s="28"/>
      <c r="Q858" s="28"/>
      <c r="R858" s="28">
        <v>5</v>
      </c>
      <c r="S858" s="28" t="s">
        <v>29</v>
      </c>
    </row>
    <row r="859" spans="1:19" ht="29.25">
      <c r="A859" s="24">
        <v>31500</v>
      </c>
      <c r="B859" s="24" t="s">
        <v>20</v>
      </c>
      <c r="C859" s="24" t="s">
        <v>21</v>
      </c>
      <c r="D859" s="24" t="s">
        <v>30</v>
      </c>
      <c r="E859" s="24" t="s">
        <v>1283</v>
      </c>
      <c r="F859" s="24" t="s">
        <v>1284</v>
      </c>
      <c r="G859" s="24">
        <v>4.9000000000000004</v>
      </c>
      <c r="H859" s="24" t="s">
        <v>24</v>
      </c>
      <c r="I859" s="24" t="s">
        <v>773</v>
      </c>
      <c r="J859" s="24" t="s">
        <v>25</v>
      </c>
      <c r="K859" s="24" t="s">
        <v>25</v>
      </c>
      <c r="L859" s="24" t="s">
        <v>26</v>
      </c>
      <c r="M859" s="24" t="s">
        <v>27</v>
      </c>
      <c r="N859" s="24" t="s">
        <v>28</v>
      </c>
      <c r="O859" s="25">
        <v>31413</v>
      </c>
      <c r="P859" s="24"/>
      <c r="Q859" s="24"/>
      <c r="R859" s="24">
        <v>4.9000000000000004</v>
      </c>
      <c r="S859" s="24" t="s">
        <v>29</v>
      </c>
    </row>
    <row r="860" spans="1:19">
      <c r="A860" s="26">
        <v>31502</v>
      </c>
      <c r="B860" s="26" t="s">
        <v>20</v>
      </c>
      <c r="C860" s="26" t="s">
        <v>21</v>
      </c>
      <c r="D860" s="26" t="s">
        <v>21</v>
      </c>
      <c r="E860" s="26"/>
      <c r="F860" s="26" t="s">
        <v>1286</v>
      </c>
      <c r="G860" s="26"/>
      <c r="H860" s="26" t="s">
        <v>24</v>
      </c>
      <c r="I860" s="26" t="s">
        <v>773</v>
      </c>
      <c r="J860" s="26" t="s">
        <v>25</v>
      </c>
      <c r="K860" s="26" t="s">
        <v>25</v>
      </c>
      <c r="L860" s="26" t="s">
        <v>26</v>
      </c>
      <c r="M860" s="26" t="s">
        <v>27</v>
      </c>
      <c r="N860" s="26" t="s">
        <v>28</v>
      </c>
      <c r="O860" s="27">
        <v>31413</v>
      </c>
      <c r="P860" s="26"/>
      <c r="Q860" s="26"/>
      <c r="R860" s="26">
        <v>2.4500000000000002</v>
      </c>
      <c r="S860" s="26" t="s">
        <v>29</v>
      </c>
    </row>
    <row r="861" spans="1:19">
      <c r="A861" s="26">
        <v>31501</v>
      </c>
      <c r="B861" s="26" t="s">
        <v>20</v>
      </c>
      <c r="C861" s="26" t="s">
        <v>21</v>
      </c>
      <c r="D861" s="26" t="s">
        <v>21</v>
      </c>
      <c r="E861" s="26"/>
      <c r="F861" s="26" t="s">
        <v>1285</v>
      </c>
      <c r="G861" s="26"/>
      <c r="H861" s="26" t="s">
        <v>24</v>
      </c>
      <c r="I861" s="26" t="s">
        <v>773</v>
      </c>
      <c r="J861" s="26" t="s">
        <v>25</v>
      </c>
      <c r="K861" s="26" t="s">
        <v>25</v>
      </c>
      <c r="L861" s="26" t="s">
        <v>26</v>
      </c>
      <c r="M861" s="26" t="s">
        <v>27</v>
      </c>
      <c r="N861" s="26" t="s">
        <v>28</v>
      </c>
      <c r="O861" s="27">
        <v>31413</v>
      </c>
      <c r="P861" s="26"/>
      <c r="Q861" s="26"/>
      <c r="R861" s="26">
        <v>2.4500000000000002</v>
      </c>
      <c r="S861" s="26" t="s">
        <v>29</v>
      </c>
    </row>
    <row r="862" spans="1:19" ht="43.5">
      <c r="A862" s="24">
        <v>31800</v>
      </c>
      <c r="B862" s="24" t="s">
        <v>20</v>
      </c>
      <c r="C862" s="24" t="s">
        <v>21</v>
      </c>
      <c r="D862" s="24" t="s">
        <v>30</v>
      </c>
      <c r="E862" s="24" t="s">
        <v>2249</v>
      </c>
      <c r="F862" s="24" t="s">
        <v>2250</v>
      </c>
      <c r="G862" s="24">
        <v>0.3</v>
      </c>
      <c r="H862" s="24" t="s">
        <v>24</v>
      </c>
      <c r="I862" s="24" t="s">
        <v>2251</v>
      </c>
      <c r="J862" s="24" t="s">
        <v>788</v>
      </c>
      <c r="K862" s="24" t="s">
        <v>296</v>
      </c>
      <c r="L862" s="24" t="s">
        <v>888</v>
      </c>
      <c r="M862" s="24" t="s">
        <v>27</v>
      </c>
      <c r="N862" s="24" t="s">
        <v>28</v>
      </c>
      <c r="O862" s="25">
        <v>36161</v>
      </c>
      <c r="P862" s="24" t="s">
        <v>2252</v>
      </c>
      <c r="Q862" s="24"/>
      <c r="R862" s="24">
        <v>1.6</v>
      </c>
      <c r="S862" s="24" t="s">
        <v>29</v>
      </c>
    </row>
    <row r="863" spans="1:19" ht="29.25">
      <c r="A863" s="26">
        <v>31801</v>
      </c>
      <c r="B863" s="26" t="s">
        <v>20</v>
      </c>
      <c r="C863" s="26" t="s">
        <v>21</v>
      </c>
      <c r="D863" s="26" t="s">
        <v>21</v>
      </c>
      <c r="E863" s="26"/>
      <c r="F863" s="26" t="s">
        <v>2253</v>
      </c>
      <c r="G863" s="26"/>
      <c r="H863" s="26" t="s">
        <v>24</v>
      </c>
      <c r="I863" s="26" t="s">
        <v>2251</v>
      </c>
      <c r="J863" s="26" t="s">
        <v>788</v>
      </c>
      <c r="K863" s="26" t="s">
        <v>296</v>
      </c>
      <c r="L863" s="26" t="s">
        <v>888</v>
      </c>
      <c r="M863" s="26" t="s">
        <v>27</v>
      </c>
      <c r="N863" s="26" t="s">
        <v>28</v>
      </c>
      <c r="O863" s="27">
        <v>36161</v>
      </c>
      <c r="P863" s="26"/>
      <c r="Q863" s="26"/>
      <c r="R863" s="26">
        <v>0.8</v>
      </c>
      <c r="S863" s="26" t="s">
        <v>29</v>
      </c>
    </row>
    <row r="864" spans="1:19" ht="29.25">
      <c r="A864" s="26">
        <v>31802</v>
      </c>
      <c r="B864" s="26" t="s">
        <v>20</v>
      </c>
      <c r="C864" s="26" t="s">
        <v>21</v>
      </c>
      <c r="D864" s="26" t="s">
        <v>21</v>
      </c>
      <c r="E864" s="26"/>
      <c r="F864" s="26" t="s">
        <v>2254</v>
      </c>
      <c r="G864" s="26"/>
      <c r="H864" s="26" t="s">
        <v>24</v>
      </c>
      <c r="I864" s="26" t="s">
        <v>2251</v>
      </c>
      <c r="J864" s="26" t="s">
        <v>788</v>
      </c>
      <c r="K864" s="26" t="s">
        <v>296</v>
      </c>
      <c r="L864" s="26" t="s">
        <v>888</v>
      </c>
      <c r="M864" s="26" t="s">
        <v>27</v>
      </c>
      <c r="N864" s="26" t="s">
        <v>28</v>
      </c>
      <c r="O864" s="27">
        <v>36161</v>
      </c>
      <c r="P864" s="26"/>
      <c r="Q864" s="26"/>
      <c r="R864" s="26">
        <v>0.8</v>
      </c>
      <c r="S864" s="26" t="s">
        <v>29</v>
      </c>
    </row>
    <row r="865" spans="1:19" ht="29.25">
      <c r="A865" s="24">
        <v>31900</v>
      </c>
      <c r="B865" s="24" t="s">
        <v>20</v>
      </c>
      <c r="C865" s="24" t="s">
        <v>21</v>
      </c>
      <c r="D865" s="24" t="s">
        <v>30</v>
      </c>
      <c r="E865" s="24" t="s">
        <v>2324</v>
      </c>
      <c r="F865" s="24" t="s">
        <v>2325</v>
      </c>
      <c r="G865" s="24">
        <v>590</v>
      </c>
      <c r="H865" s="24" t="s">
        <v>24</v>
      </c>
      <c r="I865" s="24" t="s">
        <v>2326</v>
      </c>
      <c r="J865" s="24" t="s">
        <v>365</v>
      </c>
      <c r="K865" s="24" t="s">
        <v>705</v>
      </c>
      <c r="L865" s="24" t="s">
        <v>240</v>
      </c>
      <c r="M865" s="24" t="s">
        <v>193</v>
      </c>
      <c r="N865" s="24" t="s">
        <v>194</v>
      </c>
      <c r="O865" s="25">
        <v>37049</v>
      </c>
      <c r="P865" s="24"/>
      <c r="Q865" s="24"/>
      <c r="R865" s="24">
        <v>590</v>
      </c>
      <c r="S865" s="24" t="s">
        <v>29</v>
      </c>
    </row>
    <row r="866" spans="1:19">
      <c r="A866" s="26">
        <v>31901</v>
      </c>
      <c r="B866" s="26" t="s">
        <v>20</v>
      </c>
      <c r="C866" s="26" t="s">
        <v>21</v>
      </c>
      <c r="D866" s="26" t="s">
        <v>21</v>
      </c>
      <c r="E866" s="26" t="s">
        <v>2327</v>
      </c>
      <c r="F866" s="26" t="s">
        <v>2328</v>
      </c>
      <c r="G866" s="26">
        <v>164</v>
      </c>
      <c r="H866" s="26" t="s">
        <v>24</v>
      </c>
      <c r="I866" s="26" t="s">
        <v>2326</v>
      </c>
      <c r="J866" s="26" t="s">
        <v>365</v>
      </c>
      <c r="K866" s="26" t="s">
        <v>580</v>
      </c>
      <c r="L866" s="26" t="s">
        <v>240</v>
      </c>
      <c r="M866" s="26" t="s">
        <v>193</v>
      </c>
      <c r="N866" s="26" t="s">
        <v>194</v>
      </c>
      <c r="O866" s="27">
        <v>37049</v>
      </c>
      <c r="P866" s="26"/>
      <c r="Q866" s="26"/>
      <c r="R866" s="26">
        <v>173.33</v>
      </c>
      <c r="S866" s="26" t="s">
        <v>29</v>
      </c>
    </row>
    <row r="867" spans="1:19">
      <c r="A867" s="26">
        <v>31902</v>
      </c>
      <c r="B867" s="26" t="s">
        <v>20</v>
      </c>
      <c r="C867" s="26" t="s">
        <v>21</v>
      </c>
      <c r="D867" s="26" t="s">
        <v>21</v>
      </c>
      <c r="E867" s="26" t="s">
        <v>2329</v>
      </c>
      <c r="F867" s="26" t="s">
        <v>2330</v>
      </c>
      <c r="G867" s="26">
        <v>164</v>
      </c>
      <c r="H867" s="26" t="s">
        <v>24</v>
      </c>
      <c r="I867" s="26" t="s">
        <v>2326</v>
      </c>
      <c r="J867" s="26" t="s">
        <v>365</v>
      </c>
      <c r="K867" s="26" t="s">
        <v>580</v>
      </c>
      <c r="L867" s="26" t="s">
        <v>240</v>
      </c>
      <c r="M867" s="26" t="s">
        <v>193</v>
      </c>
      <c r="N867" s="26" t="s">
        <v>194</v>
      </c>
      <c r="O867" s="27">
        <v>37049</v>
      </c>
      <c r="P867" s="26"/>
      <c r="Q867" s="26"/>
      <c r="R867" s="26">
        <v>173.33</v>
      </c>
      <c r="S867" s="26" t="s">
        <v>29</v>
      </c>
    </row>
    <row r="868" spans="1:19">
      <c r="A868" s="26">
        <v>31903</v>
      </c>
      <c r="B868" s="26" t="s">
        <v>20</v>
      </c>
      <c r="C868" s="26" t="s">
        <v>21</v>
      </c>
      <c r="D868" s="26" t="s">
        <v>21</v>
      </c>
      <c r="E868" s="26" t="s">
        <v>3199</v>
      </c>
      <c r="F868" s="26" t="s">
        <v>3200</v>
      </c>
      <c r="G868" s="26">
        <v>272</v>
      </c>
      <c r="H868" s="26" t="s">
        <v>24</v>
      </c>
      <c r="I868" s="26" t="s">
        <v>2326</v>
      </c>
      <c r="J868" s="26" t="s">
        <v>365</v>
      </c>
      <c r="K868" s="26" t="s">
        <v>366</v>
      </c>
      <c r="L868" s="26" t="s">
        <v>240</v>
      </c>
      <c r="M868" s="26" t="s">
        <v>193</v>
      </c>
      <c r="N868" s="26" t="s">
        <v>194</v>
      </c>
      <c r="O868" s="26" t="s">
        <v>4687</v>
      </c>
      <c r="P868" s="26"/>
      <c r="Q868" s="26"/>
      <c r="R868" s="26">
        <v>266</v>
      </c>
      <c r="S868" s="26" t="s">
        <v>29</v>
      </c>
    </row>
    <row r="869" spans="1:19" ht="57.75">
      <c r="A869" s="24">
        <v>32000</v>
      </c>
      <c r="B869" s="24" t="s">
        <v>20</v>
      </c>
      <c r="C869" s="24" t="s">
        <v>21</v>
      </c>
      <c r="D869" s="24" t="s">
        <v>30</v>
      </c>
      <c r="E869" s="24" t="s">
        <v>2307</v>
      </c>
      <c r="F869" s="24" t="s">
        <v>2308</v>
      </c>
      <c r="G869" s="24">
        <v>525</v>
      </c>
      <c r="H869" s="24" t="s">
        <v>24</v>
      </c>
      <c r="I869" s="24" t="s">
        <v>2309</v>
      </c>
      <c r="J869" s="24" t="s">
        <v>365</v>
      </c>
      <c r="K869" s="24" t="s">
        <v>705</v>
      </c>
      <c r="L869" s="24" t="s">
        <v>240</v>
      </c>
      <c r="M869" s="24" t="s">
        <v>27</v>
      </c>
      <c r="N869" s="24" t="s">
        <v>28</v>
      </c>
      <c r="O869" s="25">
        <v>37015</v>
      </c>
      <c r="P869" s="24" t="s">
        <v>2310</v>
      </c>
      <c r="Q869" s="24"/>
      <c r="R869" s="24">
        <v>572</v>
      </c>
      <c r="S869" s="24" t="s">
        <v>29</v>
      </c>
    </row>
    <row r="870" spans="1:19" ht="29.25">
      <c r="A870" s="26">
        <v>32001</v>
      </c>
      <c r="B870" s="26" t="s">
        <v>20</v>
      </c>
      <c r="C870" s="26" t="s">
        <v>21</v>
      </c>
      <c r="D870" s="26" t="s">
        <v>21</v>
      </c>
      <c r="E870" s="26" t="s">
        <v>2311</v>
      </c>
      <c r="F870" s="26" t="s">
        <v>2312</v>
      </c>
      <c r="G870" s="26">
        <v>186</v>
      </c>
      <c r="H870" s="26" t="s">
        <v>24</v>
      </c>
      <c r="I870" s="26" t="s">
        <v>2309</v>
      </c>
      <c r="J870" s="26" t="s">
        <v>365</v>
      </c>
      <c r="K870" s="26" t="s">
        <v>580</v>
      </c>
      <c r="L870" s="26" t="s">
        <v>240</v>
      </c>
      <c r="M870" s="26" t="s">
        <v>27</v>
      </c>
      <c r="N870" s="26" t="s">
        <v>28</v>
      </c>
      <c r="O870" s="27">
        <v>37015</v>
      </c>
      <c r="P870" s="26" t="s">
        <v>2313</v>
      </c>
      <c r="Q870" s="26"/>
      <c r="R870" s="26">
        <v>186</v>
      </c>
      <c r="S870" s="26" t="s">
        <v>29</v>
      </c>
    </row>
    <row r="871" spans="1:19" ht="29.25">
      <c r="A871" s="26">
        <v>32002</v>
      </c>
      <c r="B871" s="26" t="s">
        <v>20</v>
      </c>
      <c r="C871" s="26" t="s">
        <v>21</v>
      </c>
      <c r="D871" s="26" t="s">
        <v>21</v>
      </c>
      <c r="E871" s="26" t="s">
        <v>2314</v>
      </c>
      <c r="F871" s="26" t="s">
        <v>2315</v>
      </c>
      <c r="G871" s="26">
        <v>186</v>
      </c>
      <c r="H871" s="26" t="s">
        <v>24</v>
      </c>
      <c r="I871" s="26" t="s">
        <v>2309</v>
      </c>
      <c r="J871" s="26" t="s">
        <v>365</v>
      </c>
      <c r="K871" s="26" t="s">
        <v>580</v>
      </c>
      <c r="L871" s="26" t="s">
        <v>240</v>
      </c>
      <c r="M871" s="26" t="s">
        <v>27</v>
      </c>
      <c r="N871" s="26" t="s">
        <v>28</v>
      </c>
      <c r="O871" s="27">
        <v>37015</v>
      </c>
      <c r="P871" s="26" t="s">
        <v>2313</v>
      </c>
      <c r="Q871" s="26"/>
      <c r="R871" s="26">
        <v>186</v>
      </c>
      <c r="S871" s="26" t="s">
        <v>29</v>
      </c>
    </row>
    <row r="872" spans="1:19" ht="29.25">
      <c r="A872" s="26">
        <v>32003</v>
      </c>
      <c r="B872" s="26" t="s">
        <v>20</v>
      </c>
      <c r="C872" s="26" t="s">
        <v>21</v>
      </c>
      <c r="D872" s="26" t="s">
        <v>21</v>
      </c>
      <c r="E872" s="26" t="s">
        <v>2316</v>
      </c>
      <c r="F872" s="26" t="s">
        <v>2317</v>
      </c>
      <c r="G872" s="26">
        <v>200</v>
      </c>
      <c r="H872" s="26" t="s">
        <v>24</v>
      </c>
      <c r="I872" s="26" t="s">
        <v>2309</v>
      </c>
      <c r="J872" s="26" t="s">
        <v>365</v>
      </c>
      <c r="K872" s="26" t="s">
        <v>366</v>
      </c>
      <c r="L872" s="26" t="s">
        <v>712</v>
      </c>
      <c r="M872" s="26" t="s">
        <v>27</v>
      </c>
      <c r="N872" s="26" t="s">
        <v>28</v>
      </c>
      <c r="O872" s="27">
        <v>37015</v>
      </c>
      <c r="P872" s="26" t="s">
        <v>2313</v>
      </c>
      <c r="Q872" s="26"/>
      <c r="R872" s="26">
        <v>200</v>
      </c>
      <c r="S872" s="26" t="s">
        <v>29</v>
      </c>
    </row>
    <row r="873" spans="1:19" ht="29.25">
      <c r="A873" s="28">
        <v>90600</v>
      </c>
      <c r="B873" s="28" t="s">
        <v>20</v>
      </c>
      <c r="C873" s="28" t="s">
        <v>21</v>
      </c>
      <c r="D873" s="28" t="s">
        <v>21</v>
      </c>
      <c r="E873" s="28" t="s">
        <v>2686</v>
      </c>
      <c r="F873" s="28" t="s">
        <v>2687</v>
      </c>
      <c r="G873" s="28">
        <v>2</v>
      </c>
      <c r="H873" s="28" t="s">
        <v>143</v>
      </c>
      <c r="I873" s="28" t="s">
        <v>2688</v>
      </c>
      <c r="J873" s="28" t="s">
        <v>788</v>
      </c>
      <c r="K873" s="28" t="s">
        <v>296</v>
      </c>
      <c r="L873" s="28" t="s">
        <v>888</v>
      </c>
      <c r="M873" s="28" t="s">
        <v>38</v>
      </c>
      <c r="N873" s="28" t="s">
        <v>144</v>
      </c>
      <c r="O873" s="29">
        <v>38182</v>
      </c>
      <c r="P873" s="28"/>
      <c r="Q873" s="28"/>
      <c r="R873" s="28">
        <v>3</v>
      </c>
      <c r="S873" s="28" t="s">
        <v>29</v>
      </c>
    </row>
    <row r="874" spans="1:19" ht="29.25">
      <c r="A874" s="28">
        <v>70401</v>
      </c>
      <c r="B874" s="28" t="s">
        <v>20</v>
      </c>
      <c r="C874" s="28" t="s">
        <v>30</v>
      </c>
      <c r="D874" s="28" t="s">
        <v>21</v>
      </c>
      <c r="E874" s="28" t="s">
        <v>1506</v>
      </c>
      <c r="F874" s="28" t="s">
        <v>1507</v>
      </c>
      <c r="G874" s="28">
        <v>90</v>
      </c>
      <c r="H874" s="28" t="s">
        <v>5</v>
      </c>
      <c r="I874" s="28"/>
      <c r="J874" s="28" t="s">
        <v>694</v>
      </c>
      <c r="K874" s="28" t="s">
        <v>580</v>
      </c>
      <c r="L874" s="28" t="s">
        <v>240</v>
      </c>
      <c r="M874" s="28" t="s">
        <v>38</v>
      </c>
      <c r="N874" s="28" t="s">
        <v>39</v>
      </c>
      <c r="O874" s="29">
        <v>31778</v>
      </c>
      <c r="P874" s="28"/>
      <c r="Q874" s="28"/>
      <c r="R874" s="28">
        <v>75</v>
      </c>
      <c r="S874" s="28" t="s">
        <v>29</v>
      </c>
    </row>
    <row r="875" spans="1:19" ht="29.25">
      <c r="A875" s="28">
        <v>70402</v>
      </c>
      <c r="B875" s="28" t="s">
        <v>20</v>
      </c>
      <c r="C875" s="28" t="s">
        <v>30</v>
      </c>
      <c r="D875" s="28" t="s">
        <v>21</v>
      </c>
      <c r="E875" s="28" t="s">
        <v>1508</v>
      </c>
      <c r="F875" s="28" t="s">
        <v>1509</v>
      </c>
      <c r="G875" s="28">
        <v>90</v>
      </c>
      <c r="H875" s="28" t="s">
        <v>5</v>
      </c>
      <c r="I875" s="28"/>
      <c r="J875" s="28" t="s">
        <v>694</v>
      </c>
      <c r="K875" s="28" t="s">
        <v>580</v>
      </c>
      <c r="L875" s="28" t="s">
        <v>240</v>
      </c>
      <c r="M875" s="28" t="s">
        <v>38</v>
      </c>
      <c r="N875" s="28" t="s">
        <v>39</v>
      </c>
      <c r="O875" s="29">
        <v>31778</v>
      </c>
      <c r="P875" s="28"/>
      <c r="Q875" s="28"/>
      <c r="R875" s="28">
        <v>75</v>
      </c>
      <c r="S875" s="28" t="s">
        <v>29</v>
      </c>
    </row>
    <row r="876" spans="1:19" ht="29.25">
      <c r="A876" s="28">
        <v>70403</v>
      </c>
      <c r="B876" s="28" t="s">
        <v>20</v>
      </c>
      <c r="C876" s="28" t="s">
        <v>30</v>
      </c>
      <c r="D876" s="28" t="s">
        <v>21</v>
      </c>
      <c r="E876" s="28" t="s">
        <v>1510</v>
      </c>
      <c r="F876" s="28" t="s">
        <v>1511</v>
      </c>
      <c r="G876" s="28">
        <v>90</v>
      </c>
      <c r="H876" s="28" t="s">
        <v>5</v>
      </c>
      <c r="I876" s="28"/>
      <c r="J876" s="28" t="s">
        <v>694</v>
      </c>
      <c r="K876" s="28" t="s">
        <v>580</v>
      </c>
      <c r="L876" s="28" t="s">
        <v>240</v>
      </c>
      <c r="M876" s="28" t="s">
        <v>38</v>
      </c>
      <c r="N876" s="28" t="s">
        <v>39</v>
      </c>
      <c r="O876" s="29">
        <v>31778</v>
      </c>
      <c r="P876" s="28"/>
      <c r="Q876" s="28"/>
      <c r="R876" s="28">
        <v>75</v>
      </c>
      <c r="S876" s="28" t="s">
        <v>29</v>
      </c>
    </row>
    <row r="877" spans="1:19" ht="29.25">
      <c r="A877" s="28">
        <v>70404</v>
      </c>
      <c r="B877" s="28" t="s">
        <v>20</v>
      </c>
      <c r="C877" s="28" t="s">
        <v>30</v>
      </c>
      <c r="D877" s="28" t="s">
        <v>21</v>
      </c>
      <c r="E877" s="28" t="s">
        <v>1512</v>
      </c>
      <c r="F877" s="28" t="s">
        <v>1513</v>
      </c>
      <c r="G877" s="28">
        <v>90</v>
      </c>
      <c r="H877" s="28" t="s">
        <v>5</v>
      </c>
      <c r="I877" s="28"/>
      <c r="J877" s="28" t="s">
        <v>694</v>
      </c>
      <c r="K877" s="28" t="s">
        <v>580</v>
      </c>
      <c r="L877" s="28" t="s">
        <v>240</v>
      </c>
      <c r="M877" s="28" t="s">
        <v>38</v>
      </c>
      <c r="N877" s="28" t="s">
        <v>39</v>
      </c>
      <c r="O877" s="29">
        <v>31778</v>
      </c>
      <c r="P877" s="28"/>
      <c r="Q877" s="28"/>
      <c r="R877" s="28">
        <v>75</v>
      </c>
      <c r="S877" s="28" t="s">
        <v>29</v>
      </c>
    </row>
    <row r="878" spans="1:19">
      <c r="A878" s="28">
        <v>113700</v>
      </c>
      <c r="B878" s="28" t="s">
        <v>20</v>
      </c>
      <c r="C878" s="28" t="s">
        <v>21</v>
      </c>
      <c r="D878" s="28" t="s">
        <v>21</v>
      </c>
      <c r="E878" s="28" t="s">
        <v>4653</v>
      </c>
      <c r="F878" s="28" t="s">
        <v>4654</v>
      </c>
      <c r="G878" s="28">
        <v>31</v>
      </c>
      <c r="H878" s="28" t="s">
        <v>5</v>
      </c>
      <c r="I878" s="28" t="s">
        <v>2905</v>
      </c>
      <c r="J878" s="28" t="s">
        <v>781</v>
      </c>
      <c r="K878" s="28" t="s">
        <v>781</v>
      </c>
      <c r="L878" s="28" t="s">
        <v>781</v>
      </c>
      <c r="M878" s="28" t="s">
        <v>38</v>
      </c>
      <c r="N878" s="28" t="s">
        <v>39</v>
      </c>
      <c r="O878" s="29">
        <v>40995</v>
      </c>
      <c r="P878" s="28"/>
      <c r="Q878" s="28"/>
      <c r="R878" s="28">
        <v>31</v>
      </c>
      <c r="S878" s="28" t="s">
        <v>29</v>
      </c>
    </row>
    <row r="879" spans="1:19">
      <c r="A879" s="28">
        <v>28800</v>
      </c>
      <c r="B879" s="28" t="s">
        <v>20</v>
      </c>
      <c r="C879" s="28" t="s">
        <v>21</v>
      </c>
      <c r="D879" s="28" t="s">
        <v>21</v>
      </c>
      <c r="E879" s="28" t="s">
        <v>155</v>
      </c>
      <c r="F879" s="28" t="s">
        <v>156</v>
      </c>
      <c r="G879" s="28">
        <v>3.2</v>
      </c>
      <c r="H879" s="28" t="s">
        <v>24</v>
      </c>
      <c r="I879" s="28" t="s">
        <v>24</v>
      </c>
      <c r="J879" s="28" t="s">
        <v>25</v>
      </c>
      <c r="K879" s="28" t="s">
        <v>25</v>
      </c>
      <c r="L879" s="28" t="s">
        <v>26</v>
      </c>
      <c r="M879" s="28" t="s">
        <v>27</v>
      </c>
      <c r="N879" s="28" t="s">
        <v>28</v>
      </c>
      <c r="O879" s="29">
        <v>6211</v>
      </c>
      <c r="P879" s="28"/>
      <c r="Q879" s="28"/>
      <c r="R879" s="28">
        <v>3.2</v>
      </c>
      <c r="S879" s="28" t="s">
        <v>29</v>
      </c>
    </row>
    <row r="880" spans="1:19">
      <c r="A880" s="28">
        <v>28900</v>
      </c>
      <c r="B880" s="28" t="s">
        <v>20</v>
      </c>
      <c r="C880" s="28" t="s">
        <v>21</v>
      </c>
      <c r="D880" s="28" t="s">
        <v>21</v>
      </c>
      <c r="E880" s="28" t="s">
        <v>220</v>
      </c>
      <c r="F880" s="28" t="s">
        <v>221</v>
      </c>
      <c r="G880" s="28">
        <v>4.2</v>
      </c>
      <c r="H880" s="28" t="s">
        <v>24</v>
      </c>
      <c r="I880" s="28" t="s">
        <v>24</v>
      </c>
      <c r="J880" s="28" t="s">
        <v>25</v>
      </c>
      <c r="K880" s="28" t="s">
        <v>25</v>
      </c>
      <c r="L880" s="28" t="s">
        <v>26</v>
      </c>
      <c r="M880" s="28" t="s">
        <v>27</v>
      </c>
      <c r="N880" s="28" t="s">
        <v>28</v>
      </c>
      <c r="O880" s="29">
        <v>8402</v>
      </c>
      <c r="P880" s="28"/>
      <c r="Q880" s="28"/>
      <c r="R880" s="28">
        <v>4.2</v>
      </c>
      <c r="S880" s="28" t="s">
        <v>29</v>
      </c>
    </row>
    <row r="881" spans="1:19">
      <c r="A881" s="28">
        <v>101500</v>
      </c>
      <c r="B881" s="28" t="s">
        <v>20</v>
      </c>
      <c r="C881" s="28" t="s">
        <v>21</v>
      </c>
      <c r="D881" s="28" t="s">
        <v>21</v>
      </c>
      <c r="E881" s="28" t="s">
        <v>3003</v>
      </c>
      <c r="F881" s="28" t="s">
        <v>3004</v>
      </c>
      <c r="G881" s="28">
        <v>1.5</v>
      </c>
      <c r="H881" s="28" t="s">
        <v>143</v>
      </c>
      <c r="I881" s="28" t="s">
        <v>3005</v>
      </c>
      <c r="J881" s="28" t="s">
        <v>788</v>
      </c>
      <c r="K881" s="28" t="s">
        <v>296</v>
      </c>
      <c r="L881" s="28" t="s">
        <v>888</v>
      </c>
      <c r="M881" s="28" t="s">
        <v>38</v>
      </c>
      <c r="N881" s="28" t="s">
        <v>144</v>
      </c>
      <c r="O881" s="29">
        <v>40683</v>
      </c>
      <c r="P881" s="28"/>
      <c r="Q881" s="28"/>
      <c r="R881" s="28">
        <v>1.6</v>
      </c>
      <c r="S881" s="28" t="s">
        <v>29</v>
      </c>
    </row>
    <row r="882" spans="1:19">
      <c r="A882" s="28">
        <v>101800</v>
      </c>
      <c r="B882" s="28" t="s">
        <v>20</v>
      </c>
      <c r="C882" s="28" t="s">
        <v>21</v>
      </c>
      <c r="D882" s="28" t="s">
        <v>21</v>
      </c>
      <c r="E882" s="28" t="s">
        <v>3014</v>
      </c>
      <c r="F882" s="28" t="s">
        <v>3015</v>
      </c>
      <c r="G882" s="28">
        <v>19</v>
      </c>
      <c r="H882" s="28" t="s">
        <v>24</v>
      </c>
      <c r="I882" s="28" t="s">
        <v>3015</v>
      </c>
      <c r="J882" s="28" t="s">
        <v>1025</v>
      </c>
      <c r="K882" s="28" t="s">
        <v>2138</v>
      </c>
      <c r="L882" s="28" t="s">
        <v>1026</v>
      </c>
      <c r="M882" s="28" t="s">
        <v>27</v>
      </c>
      <c r="N882" s="28" t="s">
        <v>1420</v>
      </c>
      <c r="O882" s="29">
        <v>40760</v>
      </c>
      <c r="P882" s="28"/>
      <c r="Q882" s="28"/>
      <c r="R882" s="28">
        <v>19</v>
      </c>
      <c r="S882" s="28" t="s">
        <v>29</v>
      </c>
    </row>
    <row r="883" spans="1:19" ht="29.25">
      <c r="A883" s="28">
        <v>76000</v>
      </c>
      <c r="B883" s="28" t="s">
        <v>20</v>
      </c>
      <c r="C883" s="28" t="s">
        <v>21</v>
      </c>
      <c r="D883" s="28" t="s">
        <v>21</v>
      </c>
      <c r="E883" s="28" t="s">
        <v>1255</v>
      </c>
      <c r="F883" s="28" t="s">
        <v>1256</v>
      </c>
      <c r="G883" s="28">
        <v>17.100000000000001</v>
      </c>
      <c r="H883" s="28" t="s">
        <v>24</v>
      </c>
      <c r="I883" s="28" t="s">
        <v>1257</v>
      </c>
      <c r="J883" s="28" t="s">
        <v>781</v>
      </c>
      <c r="K883" s="28" t="s">
        <v>781</v>
      </c>
      <c r="L883" s="28" t="s">
        <v>781</v>
      </c>
      <c r="M883" s="28" t="s">
        <v>27</v>
      </c>
      <c r="N883" s="28" t="s">
        <v>28</v>
      </c>
      <c r="O883" s="29">
        <v>31411</v>
      </c>
      <c r="P883" s="28" t="s">
        <v>1258</v>
      </c>
      <c r="Q883" s="28"/>
      <c r="R883" s="28">
        <v>24.1</v>
      </c>
      <c r="S883" s="28" t="s">
        <v>29</v>
      </c>
    </row>
    <row r="884" spans="1:19">
      <c r="A884" s="28">
        <v>99900</v>
      </c>
      <c r="B884" s="28" t="s">
        <v>20</v>
      </c>
      <c r="C884" s="28" t="s">
        <v>21</v>
      </c>
      <c r="D884" s="28" t="s">
        <v>21</v>
      </c>
      <c r="E884" s="28" t="s">
        <v>2924</v>
      </c>
      <c r="F884" s="28" t="s">
        <v>2925</v>
      </c>
      <c r="G884" s="28">
        <v>1.6</v>
      </c>
      <c r="H884" s="28" t="s">
        <v>24</v>
      </c>
      <c r="I884" s="28" t="s">
        <v>2925</v>
      </c>
      <c r="J884" s="28" t="s">
        <v>788</v>
      </c>
      <c r="K884" s="28" t="s">
        <v>296</v>
      </c>
      <c r="L884" s="28" t="s">
        <v>888</v>
      </c>
      <c r="M884" s="28" t="s">
        <v>27</v>
      </c>
      <c r="N884" s="28" t="s">
        <v>28</v>
      </c>
      <c r="O884" s="29">
        <v>40215</v>
      </c>
      <c r="P884" s="28"/>
      <c r="Q884" s="28"/>
      <c r="R884" s="28">
        <v>1.6</v>
      </c>
      <c r="S884" s="28" t="s">
        <v>29</v>
      </c>
    </row>
    <row r="885" spans="1:19">
      <c r="A885" s="28">
        <v>99800</v>
      </c>
      <c r="B885" s="28" t="s">
        <v>20</v>
      </c>
      <c r="C885" s="28" t="s">
        <v>21</v>
      </c>
      <c r="D885" s="28" t="s">
        <v>21</v>
      </c>
      <c r="E885" s="28" t="s">
        <v>2952</v>
      </c>
      <c r="F885" s="28" t="s">
        <v>2953</v>
      </c>
      <c r="G885" s="28">
        <v>1.42</v>
      </c>
      <c r="H885" s="28" t="s">
        <v>24</v>
      </c>
      <c r="I885" s="28" t="s">
        <v>2954</v>
      </c>
      <c r="J885" s="28" t="s">
        <v>788</v>
      </c>
      <c r="K885" s="28" t="s">
        <v>296</v>
      </c>
      <c r="L885" s="28" t="s">
        <v>888</v>
      </c>
      <c r="M885" s="28" t="s">
        <v>27</v>
      </c>
      <c r="N885" s="28" t="s">
        <v>159</v>
      </c>
      <c r="O885" s="29">
        <v>40448</v>
      </c>
      <c r="P885" s="28"/>
      <c r="Q885" s="28"/>
      <c r="R885" s="28">
        <v>1.48</v>
      </c>
      <c r="S885" s="28" t="s">
        <v>29</v>
      </c>
    </row>
    <row r="886" spans="1:19" ht="100.5">
      <c r="A886" s="28">
        <v>103300</v>
      </c>
      <c r="B886" s="28" t="s">
        <v>20</v>
      </c>
      <c r="C886" s="28" t="s">
        <v>21</v>
      </c>
      <c r="D886" s="28" t="s">
        <v>21</v>
      </c>
      <c r="E886" s="28" t="s">
        <v>3056</v>
      </c>
      <c r="F886" s="28" t="s">
        <v>3057</v>
      </c>
      <c r="G886" s="28">
        <v>102.5</v>
      </c>
      <c r="H886" s="28" t="s">
        <v>24</v>
      </c>
      <c r="I886" s="28" t="s">
        <v>3058</v>
      </c>
      <c r="J886" s="28" t="s">
        <v>781</v>
      </c>
      <c r="K886" s="28" t="s">
        <v>781</v>
      </c>
      <c r="L886" s="28" t="s">
        <v>781</v>
      </c>
      <c r="M886" s="28" t="s">
        <v>27</v>
      </c>
      <c r="N886" s="28" t="s">
        <v>28</v>
      </c>
      <c r="O886" s="29">
        <v>40899</v>
      </c>
      <c r="P886" s="28" t="s">
        <v>3059</v>
      </c>
      <c r="Q886" s="28"/>
      <c r="R886" s="28">
        <v>100</v>
      </c>
      <c r="S886" s="28" t="s">
        <v>29</v>
      </c>
    </row>
    <row r="887" spans="1:19">
      <c r="A887" s="28">
        <v>106400</v>
      </c>
      <c r="B887" s="28" t="s">
        <v>20</v>
      </c>
      <c r="C887" s="28" t="s">
        <v>21</v>
      </c>
      <c r="D887" s="28" t="s">
        <v>21</v>
      </c>
      <c r="E887" s="28" t="s">
        <v>4512</v>
      </c>
      <c r="F887" s="28" t="s">
        <v>4513</v>
      </c>
      <c r="G887" s="28">
        <v>100</v>
      </c>
      <c r="H887" s="28" t="s">
        <v>24</v>
      </c>
      <c r="I887" s="28" t="s">
        <v>4514</v>
      </c>
      <c r="J887" s="28" t="s">
        <v>781</v>
      </c>
      <c r="K887" s="28" t="s">
        <v>781</v>
      </c>
      <c r="L887" s="28" t="s">
        <v>781</v>
      </c>
      <c r="M887" s="28" t="s">
        <v>27</v>
      </c>
      <c r="N887" s="28" t="s">
        <v>28</v>
      </c>
      <c r="O887" s="29">
        <v>41251</v>
      </c>
      <c r="P887" s="28"/>
      <c r="Q887" s="28"/>
      <c r="R887" s="28">
        <v>100</v>
      </c>
      <c r="S887" s="28" t="s">
        <v>29</v>
      </c>
    </row>
    <row r="888" spans="1:19">
      <c r="A888" s="28">
        <v>97300</v>
      </c>
      <c r="B888" s="28" t="s">
        <v>20</v>
      </c>
      <c r="C888" s="28" t="s">
        <v>21</v>
      </c>
      <c r="D888" s="28" t="s">
        <v>21</v>
      </c>
      <c r="E888" s="28" t="s">
        <v>2882</v>
      </c>
      <c r="F888" s="28" t="s">
        <v>2883</v>
      </c>
      <c r="G888" s="28">
        <v>150</v>
      </c>
      <c r="H888" s="28" t="s">
        <v>24</v>
      </c>
      <c r="I888" s="28" t="s">
        <v>2884</v>
      </c>
      <c r="J888" s="28" t="s">
        <v>781</v>
      </c>
      <c r="K888" s="28" t="s">
        <v>781</v>
      </c>
      <c r="L888" s="28" t="s">
        <v>781</v>
      </c>
      <c r="M888" s="28" t="s">
        <v>27</v>
      </c>
      <c r="N888" s="28" t="s">
        <v>28</v>
      </c>
      <c r="O888" s="29">
        <v>39840</v>
      </c>
      <c r="P888" s="28"/>
      <c r="Q888" s="28"/>
      <c r="R888" s="28">
        <v>150</v>
      </c>
      <c r="S888" s="28" t="s">
        <v>29</v>
      </c>
    </row>
    <row r="889" spans="1:19">
      <c r="A889" s="28">
        <v>98500</v>
      </c>
      <c r="B889" s="28" t="s">
        <v>20</v>
      </c>
      <c r="C889" s="28" t="s">
        <v>21</v>
      </c>
      <c r="D889" s="28" t="s">
        <v>21</v>
      </c>
      <c r="E889" s="28" t="s">
        <v>3825</v>
      </c>
      <c r="F889" s="28" t="s">
        <v>3826</v>
      </c>
      <c r="G889" s="28">
        <v>7.5</v>
      </c>
      <c r="H889" s="28" t="s">
        <v>5</v>
      </c>
      <c r="I889" s="28" t="s">
        <v>3827</v>
      </c>
      <c r="J889" s="28" t="s">
        <v>1025</v>
      </c>
      <c r="K889" s="28" t="s">
        <v>366</v>
      </c>
      <c r="L889" s="28" t="s">
        <v>1026</v>
      </c>
      <c r="M889" s="28" t="s">
        <v>38</v>
      </c>
      <c r="N889" s="28" t="s">
        <v>39</v>
      </c>
      <c r="O889" s="28" t="s">
        <v>4687</v>
      </c>
      <c r="P889" s="28"/>
      <c r="Q889" s="28"/>
      <c r="R889" s="28">
        <v>7.5</v>
      </c>
      <c r="S889" s="28" t="s">
        <v>29</v>
      </c>
    </row>
    <row r="890" spans="1:19">
      <c r="A890" s="28">
        <v>110200</v>
      </c>
      <c r="B890" s="28" t="s">
        <v>20</v>
      </c>
      <c r="C890" s="28" t="s">
        <v>21</v>
      </c>
      <c r="D890" s="28" t="s">
        <v>21</v>
      </c>
      <c r="E890" s="28" t="s">
        <v>4515</v>
      </c>
      <c r="F890" s="28" t="s">
        <v>4516</v>
      </c>
      <c r="G890" s="28">
        <v>69</v>
      </c>
      <c r="H890" s="28" t="s">
        <v>143</v>
      </c>
      <c r="I890" s="28" t="s">
        <v>4516</v>
      </c>
      <c r="J890" s="28" t="s">
        <v>1025</v>
      </c>
      <c r="K890" s="28" t="s">
        <v>2138</v>
      </c>
      <c r="L890" s="28" t="s">
        <v>1026</v>
      </c>
      <c r="M890" s="28" t="s">
        <v>38</v>
      </c>
      <c r="N890" s="28" t="s">
        <v>144</v>
      </c>
      <c r="O890" s="29">
        <v>41639</v>
      </c>
      <c r="P890" s="28"/>
      <c r="Q890" s="28"/>
      <c r="R890" s="28">
        <v>200</v>
      </c>
      <c r="S890" s="28" t="s">
        <v>29</v>
      </c>
    </row>
    <row r="891" spans="1:19">
      <c r="A891" s="28">
        <v>30000</v>
      </c>
      <c r="B891" s="28" t="s">
        <v>20</v>
      </c>
      <c r="C891" s="28" t="s">
        <v>21</v>
      </c>
      <c r="D891" s="28" t="s">
        <v>21</v>
      </c>
      <c r="E891" s="28" t="s">
        <v>870</v>
      </c>
      <c r="F891" s="28" t="s">
        <v>871</v>
      </c>
      <c r="G891" s="28">
        <v>13</v>
      </c>
      <c r="H891" s="28" t="s">
        <v>24</v>
      </c>
      <c r="I891" s="28" t="s">
        <v>460</v>
      </c>
      <c r="J891" s="28" t="s">
        <v>25</v>
      </c>
      <c r="K891" s="28" t="s">
        <v>25</v>
      </c>
      <c r="L891" s="28" t="s">
        <v>26</v>
      </c>
      <c r="M891" s="28" t="s">
        <v>27</v>
      </c>
      <c r="N891" s="28" t="s">
        <v>28</v>
      </c>
      <c r="O891" s="29">
        <v>30317</v>
      </c>
      <c r="P891" s="28"/>
      <c r="Q891" s="28" t="s">
        <v>461</v>
      </c>
      <c r="R891" s="28">
        <v>13</v>
      </c>
      <c r="S891" s="28" t="s">
        <v>29</v>
      </c>
    </row>
    <row r="892" spans="1:19" ht="29.25">
      <c r="A892" s="28">
        <v>113800</v>
      </c>
      <c r="B892" s="28" t="s">
        <v>20</v>
      </c>
      <c r="C892" s="28" t="s">
        <v>21</v>
      </c>
      <c r="D892" s="28" t="s">
        <v>21</v>
      </c>
      <c r="E892" s="28" t="s">
        <v>4679</v>
      </c>
      <c r="F892" s="28" t="s">
        <v>4680</v>
      </c>
      <c r="G892" s="28">
        <v>127.8</v>
      </c>
      <c r="H892" s="28" t="s">
        <v>24</v>
      </c>
      <c r="I892" s="28" t="s">
        <v>4772</v>
      </c>
      <c r="J892" s="28" t="s">
        <v>781</v>
      </c>
      <c r="K892" s="28" t="s">
        <v>781</v>
      </c>
      <c r="L892" s="28"/>
      <c r="M892" s="28" t="s">
        <v>27</v>
      </c>
      <c r="N892" s="28" t="s">
        <v>28</v>
      </c>
      <c r="O892" s="29">
        <v>41017</v>
      </c>
      <c r="P892" s="28"/>
      <c r="Q892" s="28"/>
      <c r="R892" s="28">
        <v>128</v>
      </c>
      <c r="S892" s="28" t="s">
        <v>29</v>
      </c>
    </row>
    <row r="893" spans="1:19">
      <c r="A893" s="28">
        <v>31000</v>
      </c>
      <c r="B893" s="28" t="s">
        <v>20</v>
      </c>
      <c r="C893" s="28" t="s">
        <v>21</v>
      </c>
      <c r="D893" s="28" t="s">
        <v>21</v>
      </c>
      <c r="E893" s="28" t="s">
        <v>256</v>
      </c>
      <c r="F893" s="28" t="s">
        <v>257</v>
      </c>
      <c r="G893" s="28">
        <v>6.5</v>
      </c>
      <c r="H893" s="28" t="s">
        <v>24</v>
      </c>
      <c r="I893" s="28" t="s">
        <v>4</v>
      </c>
      <c r="J893" s="28" t="s">
        <v>25</v>
      </c>
      <c r="K893" s="28" t="s">
        <v>25</v>
      </c>
      <c r="L893" s="28" t="s">
        <v>26</v>
      </c>
      <c r="M893" s="28" t="s">
        <v>27</v>
      </c>
      <c r="N893" s="28" t="s">
        <v>28</v>
      </c>
      <c r="O893" s="29">
        <v>10228</v>
      </c>
      <c r="P893" s="28"/>
      <c r="Q893" s="28" t="s">
        <v>129</v>
      </c>
      <c r="R893" s="28">
        <v>6.5</v>
      </c>
      <c r="S893" s="28" t="s">
        <v>29</v>
      </c>
    </row>
    <row r="894" spans="1:19">
      <c r="A894" s="28">
        <v>31300</v>
      </c>
      <c r="B894" s="28" t="s">
        <v>20</v>
      </c>
      <c r="C894" s="28" t="s">
        <v>21</v>
      </c>
      <c r="D894" s="28" t="s">
        <v>21</v>
      </c>
      <c r="E894" s="28" t="s">
        <v>200</v>
      </c>
      <c r="F894" s="28" t="s">
        <v>201</v>
      </c>
      <c r="G894" s="28">
        <v>7</v>
      </c>
      <c r="H894" s="28" t="s">
        <v>24</v>
      </c>
      <c r="I894" s="28" t="s">
        <v>4</v>
      </c>
      <c r="J894" s="28" t="s">
        <v>25</v>
      </c>
      <c r="K894" s="28" t="s">
        <v>25</v>
      </c>
      <c r="L894" s="28" t="s">
        <v>26</v>
      </c>
      <c r="M894" s="28" t="s">
        <v>27</v>
      </c>
      <c r="N894" s="28" t="s">
        <v>28</v>
      </c>
      <c r="O894" s="29">
        <v>7672</v>
      </c>
      <c r="P894" s="28"/>
      <c r="Q894" s="28"/>
      <c r="R894" s="28">
        <v>7</v>
      </c>
      <c r="S894" s="28" t="s">
        <v>29</v>
      </c>
    </row>
    <row r="895" spans="1:19">
      <c r="A895" s="28">
        <v>31400</v>
      </c>
      <c r="B895" s="28" t="s">
        <v>20</v>
      </c>
      <c r="C895" s="28" t="s">
        <v>21</v>
      </c>
      <c r="D895" s="28" t="s">
        <v>21</v>
      </c>
      <c r="E895" s="28" t="s">
        <v>467</v>
      </c>
      <c r="F895" s="28" t="s">
        <v>468</v>
      </c>
      <c r="G895" s="28">
        <v>91</v>
      </c>
      <c r="H895" s="28" t="s">
        <v>24</v>
      </c>
      <c r="I895" s="28" t="s">
        <v>4</v>
      </c>
      <c r="J895" s="28" t="s">
        <v>25</v>
      </c>
      <c r="K895" s="28" t="s">
        <v>25</v>
      </c>
      <c r="L895" s="28" t="s">
        <v>26</v>
      </c>
      <c r="M895" s="28" t="s">
        <v>27</v>
      </c>
      <c r="N895" s="28" t="s">
        <v>28</v>
      </c>
      <c r="O895" s="29">
        <v>23012</v>
      </c>
      <c r="P895" s="28"/>
      <c r="Q895" s="28" t="s">
        <v>312</v>
      </c>
      <c r="R895" s="28">
        <v>91</v>
      </c>
      <c r="S895" s="28" t="s">
        <v>29</v>
      </c>
    </row>
    <row r="896" spans="1:19" ht="43.5">
      <c r="A896" s="28">
        <v>97100</v>
      </c>
      <c r="B896" s="28" t="s">
        <v>20</v>
      </c>
      <c r="C896" s="28" t="s">
        <v>21</v>
      </c>
      <c r="D896" s="28" t="s">
        <v>21</v>
      </c>
      <c r="E896" s="28" t="s">
        <v>2889</v>
      </c>
      <c r="F896" s="28" t="s">
        <v>2890</v>
      </c>
      <c r="G896" s="28">
        <v>119.91</v>
      </c>
      <c r="H896" s="28" t="s">
        <v>24</v>
      </c>
      <c r="I896" s="28" t="s">
        <v>2891</v>
      </c>
      <c r="J896" s="28" t="s">
        <v>295</v>
      </c>
      <c r="K896" s="28" t="s">
        <v>580</v>
      </c>
      <c r="L896" s="28" t="s">
        <v>240</v>
      </c>
      <c r="M896" s="28" t="s">
        <v>27</v>
      </c>
      <c r="N896" s="28" t="s">
        <v>28</v>
      </c>
      <c r="O896" s="29">
        <v>39937</v>
      </c>
      <c r="P896" s="28" t="s">
        <v>2892</v>
      </c>
      <c r="Q896" s="28"/>
      <c r="R896" s="28">
        <v>120</v>
      </c>
      <c r="S896" s="28" t="s">
        <v>29</v>
      </c>
    </row>
    <row r="897" spans="1:19" ht="29.25">
      <c r="A897" s="28">
        <v>103000</v>
      </c>
      <c r="B897" s="28" t="s">
        <v>20</v>
      </c>
      <c r="C897" s="28" t="s">
        <v>21</v>
      </c>
      <c r="D897" s="28" t="s">
        <v>21</v>
      </c>
      <c r="E897" s="28" t="s">
        <v>3046</v>
      </c>
      <c r="F897" s="28" t="s">
        <v>3047</v>
      </c>
      <c r="G897" s="28">
        <v>20</v>
      </c>
      <c r="H897" s="28" t="s">
        <v>24</v>
      </c>
      <c r="I897" s="28" t="s">
        <v>3037</v>
      </c>
      <c r="J897" s="28" t="s">
        <v>1025</v>
      </c>
      <c r="K897" s="28" t="s">
        <v>2138</v>
      </c>
      <c r="L897" s="28" t="s">
        <v>1026</v>
      </c>
      <c r="M897" s="28" t="s">
        <v>27</v>
      </c>
      <c r="N897" s="28" t="s">
        <v>1420</v>
      </c>
      <c r="O897" s="29">
        <v>40820</v>
      </c>
      <c r="P897" s="28" t="s">
        <v>3048</v>
      </c>
      <c r="Q897" s="28"/>
      <c r="R897" s="28">
        <v>20</v>
      </c>
      <c r="S897" s="28" t="s">
        <v>29</v>
      </c>
    </row>
    <row r="898" spans="1:19">
      <c r="A898" s="28">
        <v>101700</v>
      </c>
      <c r="B898" s="28" t="s">
        <v>20</v>
      </c>
      <c r="C898" s="28" t="s">
        <v>21</v>
      </c>
      <c r="D898" s="28" t="s">
        <v>21</v>
      </c>
      <c r="E898" s="28" t="s">
        <v>3016</v>
      </c>
      <c r="F898" s="28" t="s">
        <v>3017</v>
      </c>
      <c r="G898" s="28">
        <v>20</v>
      </c>
      <c r="H898" s="28" t="s">
        <v>24</v>
      </c>
      <c r="I898" s="28" t="s">
        <v>3018</v>
      </c>
      <c r="J898" s="28" t="s">
        <v>1025</v>
      </c>
      <c r="K898" s="28" t="s">
        <v>2138</v>
      </c>
      <c r="L898" s="28" t="s">
        <v>1026</v>
      </c>
      <c r="M898" s="28" t="s">
        <v>27</v>
      </c>
      <c r="N898" s="28" t="s">
        <v>1420</v>
      </c>
      <c r="O898" s="29">
        <v>40760</v>
      </c>
      <c r="P898" s="28"/>
      <c r="Q898" s="28"/>
      <c r="R898" s="28">
        <v>20</v>
      </c>
      <c r="S898" s="28" t="s">
        <v>29</v>
      </c>
    </row>
    <row r="899" spans="1:19">
      <c r="A899" s="28">
        <v>109100</v>
      </c>
      <c r="B899" s="28" t="s">
        <v>20</v>
      </c>
      <c r="C899" s="28" t="s">
        <v>21</v>
      </c>
      <c r="D899" s="28" t="s">
        <v>21</v>
      </c>
      <c r="E899" s="28" t="s">
        <v>4517</v>
      </c>
      <c r="F899" s="28" t="s">
        <v>4518</v>
      </c>
      <c r="G899" s="28">
        <v>1</v>
      </c>
      <c r="H899" s="28" t="s">
        <v>5</v>
      </c>
      <c r="I899" s="28" t="s">
        <v>5</v>
      </c>
      <c r="J899" s="28" t="s">
        <v>1025</v>
      </c>
      <c r="K899" s="28" t="s">
        <v>2138</v>
      </c>
      <c r="L899" s="28" t="s">
        <v>1026</v>
      </c>
      <c r="M899" s="28" t="s">
        <v>38</v>
      </c>
      <c r="N899" s="28" t="s">
        <v>39</v>
      </c>
      <c r="O899" s="29">
        <v>41388</v>
      </c>
      <c r="P899" s="28"/>
      <c r="Q899" s="28"/>
      <c r="R899" s="28">
        <v>1</v>
      </c>
      <c r="S899" s="28" t="s">
        <v>29</v>
      </c>
    </row>
    <row r="900" spans="1:19">
      <c r="A900" s="28">
        <v>100000</v>
      </c>
      <c r="B900" s="28" t="s">
        <v>20</v>
      </c>
      <c r="C900" s="28" t="s">
        <v>21</v>
      </c>
      <c r="D900" s="28" t="s">
        <v>21</v>
      </c>
      <c r="E900" s="28" t="s">
        <v>2961</v>
      </c>
      <c r="F900" s="28" t="s">
        <v>2962</v>
      </c>
      <c r="G900" s="28">
        <v>4.5</v>
      </c>
      <c r="H900" s="28" t="s">
        <v>24</v>
      </c>
      <c r="I900" s="28" t="s">
        <v>2963</v>
      </c>
      <c r="J900" s="28" t="s">
        <v>1025</v>
      </c>
      <c r="K900" s="28" t="s">
        <v>2138</v>
      </c>
      <c r="L900" s="28" t="s">
        <v>1026</v>
      </c>
      <c r="M900" s="28" t="s">
        <v>27</v>
      </c>
      <c r="N900" s="28" t="s">
        <v>28</v>
      </c>
      <c r="O900" s="29">
        <v>40480</v>
      </c>
      <c r="P900" s="28"/>
      <c r="Q900" s="28"/>
      <c r="R900" s="28">
        <v>4.5</v>
      </c>
      <c r="S900" s="28" t="s">
        <v>29</v>
      </c>
    </row>
    <row r="901" spans="1:19">
      <c r="A901" s="28">
        <v>101400</v>
      </c>
      <c r="B901" s="28" t="s">
        <v>20</v>
      </c>
      <c r="C901" s="28" t="s">
        <v>21</v>
      </c>
      <c r="D901" s="28" t="s">
        <v>21</v>
      </c>
      <c r="E901" s="28" t="s">
        <v>3000</v>
      </c>
      <c r="F901" s="28" t="s">
        <v>3001</v>
      </c>
      <c r="G901" s="28">
        <v>1.5</v>
      </c>
      <c r="H901" s="28" t="s">
        <v>143</v>
      </c>
      <c r="I901" s="28" t="s">
        <v>3002</v>
      </c>
      <c r="J901" s="28" t="s">
        <v>788</v>
      </c>
      <c r="K901" s="28" t="s">
        <v>580</v>
      </c>
      <c r="L901" s="28" t="s">
        <v>888</v>
      </c>
      <c r="M901" s="28" t="s">
        <v>38</v>
      </c>
      <c r="N901" s="28" t="s">
        <v>144</v>
      </c>
      <c r="O901" s="29">
        <v>40682</v>
      </c>
      <c r="P901" s="28"/>
      <c r="Q901" s="28"/>
      <c r="R901" s="28">
        <v>1.9</v>
      </c>
      <c r="S901" s="28" t="s">
        <v>29</v>
      </c>
    </row>
    <row r="902" spans="1:19" ht="29.25">
      <c r="A902" s="24">
        <v>84300</v>
      </c>
      <c r="B902" s="24" t="s">
        <v>20</v>
      </c>
      <c r="C902" s="24" t="s">
        <v>21</v>
      </c>
      <c r="D902" s="24" t="s">
        <v>30</v>
      </c>
      <c r="E902" s="24" t="s">
        <v>2655</v>
      </c>
      <c r="F902" s="24" t="s">
        <v>2656</v>
      </c>
      <c r="G902" s="24">
        <v>625</v>
      </c>
      <c r="H902" s="24" t="s">
        <v>143</v>
      </c>
      <c r="I902" s="24" t="s">
        <v>2657</v>
      </c>
      <c r="J902" s="24" t="s">
        <v>365</v>
      </c>
      <c r="K902" s="24" t="s">
        <v>705</v>
      </c>
      <c r="L902" s="24" t="s">
        <v>240</v>
      </c>
      <c r="M902" s="24" t="s">
        <v>38</v>
      </c>
      <c r="N902" s="24" t="s">
        <v>144</v>
      </c>
      <c r="O902" s="25">
        <v>37832</v>
      </c>
      <c r="P902" s="24"/>
      <c r="Q902" s="24"/>
      <c r="R902" s="24">
        <v>668</v>
      </c>
      <c r="S902" s="24" t="s">
        <v>29</v>
      </c>
    </row>
    <row r="903" spans="1:19" ht="29.25">
      <c r="A903" s="26">
        <v>84301</v>
      </c>
      <c r="B903" s="26" t="s">
        <v>20</v>
      </c>
      <c r="C903" s="26" t="s">
        <v>21</v>
      </c>
      <c r="D903" s="26" t="s">
        <v>21</v>
      </c>
      <c r="E903" s="26"/>
      <c r="F903" s="26" t="s">
        <v>2658</v>
      </c>
      <c r="G903" s="26"/>
      <c r="H903" s="26" t="s">
        <v>143</v>
      </c>
      <c r="I903" s="26" t="s">
        <v>2657</v>
      </c>
      <c r="J903" s="26" t="s">
        <v>365</v>
      </c>
      <c r="K903" s="26" t="s">
        <v>580</v>
      </c>
      <c r="L903" s="26" t="s">
        <v>240</v>
      </c>
      <c r="M903" s="26" t="s">
        <v>38</v>
      </c>
      <c r="N903" s="26" t="s">
        <v>144</v>
      </c>
      <c r="O903" s="27">
        <v>37832</v>
      </c>
      <c r="P903" s="26"/>
      <c r="Q903" s="26"/>
      <c r="R903" s="26">
        <v>180</v>
      </c>
      <c r="S903" s="26" t="s">
        <v>29</v>
      </c>
    </row>
    <row r="904" spans="1:19" ht="29.25">
      <c r="A904" s="26">
        <v>84303</v>
      </c>
      <c r="B904" s="26" t="s">
        <v>20</v>
      </c>
      <c r="C904" s="26" t="s">
        <v>21</v>
      </c>
      <c r="D904" s="26" t="s">
        <v>21</v>
      </c>
      <c r="E904" s="26"/>
      <c r="F904" s="26" t="s">
        <v>2660</v>
      </c>
      <c r="G904" s="26"/>
      <c r="H904" s="26" t="s">
        <v>143</v>
      </c>
      <c r="I904" s="26" t="s">
        <v>2657</v>
      </c>
      <c r="J904" s="26" t="s">
        <v>365</v>
      </c>
      <c r="K904" s="26" t="s">
        <v>366</v>
      </c>
      <c r="L904" s="26" t="s">
        <v>712</v>
      </c>
      <c r="M904" s="26" t="s">
        <v>38</v>
      </c>
      <c r="N904" s="26" t="s">
        <v>144</v>
      </c>
      <c r="O904" s="27">
        <v>37832</v>
      </c>
      <c r="P904" s="26"/>
      <c r="Q904" s="26"/>
      <c r="R904" s="26">
        <v>308</v>
      </c>
      <c r="S904" s="26" t="s">
        <v>29</v>
      </c>
    </row>
    <row r="905" spans="1:19" ht="29.25">
      <c r="A905" s="26">
        <v>84302</v>
      </c>
      <c r="B905" s="26" t="s">
        <v>20</v>
      </c>
      <c r="C905" s="26" t="s">
        <v>21</v>
      </c>
      <c r="D905" s="26" t="s">
        <v>21</v>
      </c>
      <c r="E905" s="26"/>
      <c r="F905" s="26" t="s">
        <v>2659</v>
      </c>
      <c r="G905" s="26"/>
      <c r="H905" s="26" t="s">
        <v>143</v>
      </c>
      <c r="I905" s="26" t="s">
        <v>2657</v>
      </c>
      <c r="J905" s="26" t="s">
        <v>365</v>
      </c>
      <c r="K905" s="26" t="s">
        <v>580</v>
      </c>
      <c r="L905" s="26" t="s">
        <v>240</v>
      </c>
      <c r="M905" s="26" t="s">
        <v>38</v>
      </c>
      <c r="N905" s="26" t="s">
        <v>144</v>
      </c>
      <c r="O905" s="27">
        <v>37832</v>
      </c>
      <c r="P905" s="26"/>
      <c r="Q905" s="26"/>
      <c r="R905" s="26">
        <v>180</v>
      </c>
      <c r="S905" s="26" t="s">
        <v>29</v>
      </c>
    </row>
    <row r="906" spans="1:19">
      <c r="A906" s="28">
        <v>71400</v>
      </c>
      <c r="B906" s="28" t="s">
        <v>20</v>
      </c>
      <c r="C906" s="28" t="s">
        <v>30</v>
      </c>
      <c r="D906" s="28" t="s">
        <v>21</v>
      </c>
      <c r="E906" s="28" t="s">
        <v>2170</v>
      </c>
      <c r="F906" s="28" t="s">
        <v>2171</v>
      </c>
      <c r="G906" s="28">
        <v>11.2</v>
      </c>
      <c r="H906" s="28" t="s">
        <v>24</v>
      </c>
      <c r="I906" s="28" t="s">
        <v>2172</v>
      </c>
      <c r="J906" s="28" t="s">
        <v>694</v>
      </c>
      <c r="K906" s="28" t="s">
        <v>580</v>
      </c>
      <c r="L906" s="28" t="s">
        <v>240</v>
      </c>
      <c r="M906" s="28" t="s">
        <v>193</v>
      </c>
      <c r="N906" s="28" t="s">
        <v>194</v>
      </c>
      <c r="O906" s="29">
        <v>34608</v>
      </c>
      <c r="P906" s="28"/>
      <c r="Q906" s="28"/>
      <c r="R906" s="28">
        <v>11.5</v>
      </c>
      <c r="S906" s="28" t="s">
        <v>29</v>
      </c>
    </row>
    <row r="907" spans="1:19" ht="29.25">
      <c r="A907" s="24">
        <v>32200</v>
      </c>
      <c r="B907" s="24" t="s">
        <v>20</v>
      </c>
      <c r="C907" s="24" t="s">
        <v>21</v>
      </c>
      <c r="D907" s="24" t="s">
        <v>30</v>
      </c>
      <c r="E907" s="24" t="s">
        <v>285</v>
      </c>
      <c r="F907" s="24" t="s">
        <v>286</v>
      </c>
      <c r="G907" s="24">
        <v>62</v>
      </c>
      <c r="H907" s="24" t="s">
        <v>24</v>
      </c>
      <c r="I907" s="24" t="s">
        <v>4</v>
      </c>
      <c r="J907" s="24" t="s">
        <v>25</v>
      </c>
      <c r="K907" s="24" t="s">
        <v>25</v>
      </c>
      <c r="L907" s="24" t="s">
        <v>26</v>
      </c>
      <c r="M907" s="24" t="s">
        <v>27</v>
      </c>
      <c r="N907" s="24" t="s">
        <v>28</v>
      </c>
      <c r="O907" s="25">
        <v>11324</v>
      </c>
      <c r="P907" s="24"/>
      <c r="Q907" s="24" t="s">
        <v>274</v>
      </c>
      <c r="R907" s="24">
        <v>56</v>
      </c>
      <c r="S907" s="24" t="s">
        <v>29</v>
      </c>
    </row>
    <row r="908" spans="1:19">
      <c r="A908" s="26">
        <v>32201</v>
      </c>
      <c r="B908" s="26" t="s">
        <v>20</v>
      </c>
      <c r="C908" s="26" t="s">
        <v>21</v>
      </c>
      <c r="D908" s="26" t="s">
        <v>21</v>
      </c>
      <c r="E908" s="26" t="s">
        <v>287</v>
      </c>
      <c r="F908" s="26" t="s">
        <v>288</v>
      </c>
      <c r="G908" s="26">
        <v>31</v>
      </c>
      <c r="H908" s="26" t="s">
        <v>24</v>
      </c>
      <c r="I908" s="26" t="s">
        <v>4</v>
      </c>
      <c r="J908" s="26" t="s">
        <v>25</v>
      </c>
      <c r="K908" s="26" t="s">
        <v>25</v>
      </c>
      <c r="L908" s="26" t="s">
        <v>26</v>
      </c>
      <c r="M908" s="26" t="s">
        <v>27</v>
      </c>
      <c r="N908" s="26" t="s">
        <v>28</v>
      </c>
      <c r="O908" s="27">
        <v>11324</v>
      </c>
      <c r="P908" s="26"/>
      <c r="Q908" s="26" t="s">
        <v>274</v>
      </c>
      <c r="R908" s="26">
        <v>28</v>
      </c>
      <c r="S908" s="26" t="s">
        <v>29</v>
      </c>
    </row>
    <row r="909" spans="1:19">
      <c r="A909" s="26">
        <v>32202</v>
      </c>
      <c r="B909" s="26" t="s">
        <v>20</v>
      </c>
      <c r="C909" s="26" t="s">
        <v>21</v>
      </c>
      <c r="D909" s="26" t="s">
        <v>21</v>
      </c>
      <c r="E909" s="26" t="s">
        <v>289</v>
      </c>
      <c r="F909" s="26" t="s">
        <v>290</v>
      </c>
      <c r="G909" s="26">
        <v>31</v>
      </c>
      <c r="H909" s="26" t="s">
        <v>24</v>
      </c>
      <c r="I909" s="26" t="s">
        <v>4</v>
      </c>
      <c r="J909" s="26" t="s">
        <v>25</v>
      </c>
      <c r="K909" s="26" t="s">
        <v>25</v>
      </c>
      <c r="L909" s="26" t="s">
        <v>26</v>
      </c>
      <c r="M909" s="26" t="s">
        <v>27</v>
      </c>
      <c r="N909" s="26" t="s">
        <v>28</v>
      </c>
      <c r="O909" s="27">
        <v>11324</v>
      </c>
      <c r="P909" s="26"/>
      <c r="Q909" s="26" t="s">
        <v>274</v>
      </c>
      <c r="R909" s="26">
        <v>28</v>
      </c>
      <c r="S909" s="26" t="s">
        <v>29</v>
      </c>
    </row>
    <row r="910" spans="1:19">
      <c r="A910" s="28">
        <v>32300</v>
      </c>
      <c r="B910" s="28" t="s">
        <v>20</v>
      </c>
      <c r="C910" s="28" t="s">
        <v>21</v>
      </c>
      <c r="D910" s="28" t="s">
        <v>21</v>
      </c>
      <c r="E910" s="28" t="s">
        <v>1287</v>
      </c>
      <c r="F910" s="28" t="s">
        <v>1288</v>
      </c>
      <c r="G910" s="28">
        <v>1.5</v>
      </c>
      <c r="H910" s="28" t="s">
        <v>24</v>
      </c>
      <c r="I910" s="28" t="s">
        <v>4</v>
      </c>
      <c r="J910" s="28" t="s">
        <v>25</v>
      </c>
      <c r="K910" s="28" t="s">
        <v>25</v>
      </c>
      <c r="L910" s="28" t="s">
        <v>26</v>
      </c>
      <c r="M910" s="28" t="s">
        <v>27</v>
      </c>
      <c r="N910" s="28" t="s">
        <v>28</v>
      </c>
      <c r="O910" s="29">
        <v>31413</v>
      </c>
      <c r="P910" s="28"/>
      <c r="Q910" s="28"/>
      <c r="R910" s="28">
        <v>1.5</v>
      </c>
      <c r="S910" s="28" t="s">
        <v>29</v>
      </c>
    </row>
    <row r="911" spans="1:19">
      <c r="A911" s="28">
        <v>83200</v>
      </c>
      <c r="B911" s="28" t="s">
        <v>20</v>
      </c>
      <c r="C911" s="28" t="s">
        <v>21</v>
      </c>
      <c r="D911" s="28" t="s">
        <v>21</v>
      </c>
      <c r="E911" s="28" t="s">
        <v>2617</v>
      </c>
      <c r="F911" s="28" t="s">
        <v>2618</v>
      </c>
      <c r="G911" s="28">
        <v>86</v>
      </c>
      <c r="H911" s="28" t="s">
        <v>24</v>
      </c>
      <c r="I911" s="28" t="s">
        <v>2619</v>
      </c>
      <c r="J911" s="28" t="s">
        <v>295</v>
      </c>
      <c r="K911" s="28" t="s">
        <v>580</v>
      </c>
      <c r="L911" s="28" t="s">
        <v>240</v>
      </c>
      <c r="M911" s="28" t="s">
        <v>27</v>
      </c>
      <c r="N911" s="28" t="s">
        <v>28</v>
      </c>
      <c r="O911" s="29">
        <v>37771</v>
      </c>
      <c r="P911" s="28"/>
      <c r="Q911" s="28"/>
      <c r="R911" s="28">
        <v>85</v>
      </c>
      <c r="S911" s="28" t="s">
        <v>29</v>
      </c>
    </row>
    <row r="912" spans="1:19">
      <c r="A912" s="28">
        <v>83300</v>
      </c>
      <c r="B912" s="28" t="s">
        <v>20</v>
      </c>
      <c r="C912" s="28" t="s">
        <v>21</v>
      </c>
      <c r="D912" s="28" t="s">
        <v>21</v>
      </c>
      <c r="E912" s="28" t="s">
        <v>2620</v>
      </c>
      <c r="F912" s="28" t="s">
        <v>2621</v>
      </c>
      <c r="G912" s="28">
        <v>86</v>
      </c>
      <c r="H912" s="28" t="s">
        <v>24</v>
      </c>
      <c r="I912" s="28" t="s">
        <v>2619</v>
      </c>
      <c r="J912" s="28" t="s">
        <v>295</v>
      </c>
      <c r="K912" s="28" t="s">
        <v>580</v>
      </c>
      <c r="L912" s="28" t="s">
        <v>240</v>
      </c>
      <c r="M912" s="28" t="s">
        <v>27</v>
      </c>
      <c r="N912" s="28" t="s">
        <v>28</v>
      </c>
      <c r="O912" s="29">
        <v>37771</v>
      </c>
      <c r="P912" s="28"/>
      <c r="Q912" s="28"/>
      <c r="R912" s="28">
        <v>85</v>
      </c>
      <c r="S912" s="28" t="s">
        <v>29</v>
      </c>
    </row>
    <row r="913" spans="1:19">
      <c r="A913" s="28">
        <v>32500</v>
      </c>
      <c r="B913" s="28" t="s">
        <v>20</v>
      </c>
      <c r="C913" s="28" t="s">
        <v>21</v>
      </c>
      <c r="D913" s="28" t="s">
        <v>21</v>
      </c>
      <c r="E913" s="28" t="s">
        <v>140</v>
      </c>
      <c r="F913" s="28" t="s">
        <v>141</v>
      </c>
      <c r="G913" s="28">
        <v>6.4</v>
      </c>
      <c r="H913" s="28" t="s">
        <v>5</v>
      </c>
      <c r="I913" s="28" t="s">
        <v>4</v>
      </c>
      <c r="J913" s="28" t="s">
        <v>25</v>
      </c>
      <c r="K913" s="28" t="s">
        <v>25</v>
      </c>
      <c r="L913" s="28" t="s">
        <v>26</v>
      </c>
      <c r="M913" s="28" t="s">
        <v>38</v>
      </c>
      <c r="N913" s="28" t="s">
        <v>39</v>
      </c>
      <c r="O913" s="29">
        <v>5115</v>
      </c>
      <c r="P913" s="28"/>
      <c r="Q913" s="28"/>
      <c r="R913" s="28">
        <v>6.4</v>
      </c>
      <c r="S913" s="28" t="s">
        <v>29</v>
      </c>
    </row>
    <row r="914" spans="1:19" ht="43.5">
      <c r="A914" s="28">
        <v>32600</v>
      </c>
      <c r="B914" s="28" t="s">
        <v>20</v>
      </c>
      <c r="C914" s="28" t="s">
        <v>21</v>
      </c>
      <c r="D914" s="28" t="s">
        <v>21</v>
      </c>
      <c r="E914" s="28" t="s">
        <v>85</v>
      </c>
      <c r="F914" s="28" t="s">
        <v>86</v>
      </c>
      <c r="G914" s="28">
        <v>2.5</v>
      </c>
      <c r="H914" s="28" t="s">
        <v>5</v>
      </c>
      <c r="I914" s="28" t="s">
        <v>5</v>
      </c>
      <c r="J914" s="28" t="s">
        <v>25</v>
      </c>
      <c r="K914" s="28" t="s">
        <v>25</v>
      </c>
      <c r="L914" s="28" t="s">
        <v>26</v>
      </c>
      <c r="M914" s="28" t="s">
        <v>38</v>
      </c>
      <c r="N914" s="28" t="s">
        <v>39</v>
      </c>
      <c r="O914" s="29">
        <v>3289</v>
      </c>
      <c r="P914" s="28" t="s">
        <v>40</v>
      </c>
      <c r="Q914" s="28"/>
      <c r="R914" s="28">
        <v>2.52</v>
      </c>
      <c r="S914" s="28" t="s">
        <v>29</v>
      </c>
    </row>
    <row r="915" spans="1:19">
      <c r="A915" s="24">
        <v>32700</v>
      </c>
      <c r="B915" s="24" t="s">
        <v>20</v>
      </c>
      <c r="C915" s="24" t="s">
        <v>21</v>
      </c>
      <c r="D915" s="24" t="s">
        <v>30</v>
      </c>
      <c r="E915" s="24" t="s">
        <v>418</v>
      </c>
      <c r="F915" s="24" t="s">
        <v>419</v>
      </c>
      <c r="G915" s="24">
        <v>18.7</v>
      </c>
      <c r="H915" s="24" t="s">
        <v>24</v>
      </c>
      <c r="I915" s="24" t="s">
        <v>389</v>
      </c>
      <c r="J915" s="24" t="s">
        <v>25</v>
      </c>
      <c r="K915" s="24" t="s">
        <v>25</v>
      </c>
      <c r="L915" s="24" t="s">
        <v>26</v>
      </c>
      <c r="M915" s="24" t="s">
        <v>27</v>
      </c>
      <c r="N915" s="24" t="s">
        <v>28</v>
      </c>
      <c r="O915" s="25">
        <v>21186</v>
      </c>
      <c r="P915" s="24"/>
      <c r="Q915" s="24" t="s">
        <v>312</v>
      </c>
      <c r="R915" s="24">
        <v>18.7</v>
      </c>
      <c r="S915" s="24" t="s">
        <v>29</v>
      </c>
    </row>
    <row r="916" spans="1:19">
      <c r="A916" s="26">
        <v>32701</v>
      </c>
      <c r="B916" s="26" t="s">
        <v>20</v>
      </c>
      <c r="C916" s="26" t="s">
        <v>21</v>
      </c>
      <c r="D916" s="26" t="s">
        <v>21</v>
      </c>
      <c r="E916" s="26" t="s">
        <v>420</v>
      </c>
      <c r="F916" s="26" t="s">
        <v>421</v>
      </c>
      <c r="G916" s="26">
        <v>9.9</v>
      </c>
      <c r="H916" s="26" t="s">
        <v>24</v>
      </c>
      <c r="I916" s="26" t="s">
        <v>389</v>
      </c>
      <c r="J916" s="26" t="s">
        <v>25</v>
      </c>
      <c r="K916" s="26" t="s">
        <v>25</v>
      </c>
      <c r="L916" s="26" t="s">
        <v>26</v>
      </c>
      <c r="M916" s="26" t="s">
        <v>27</v>
      </c>
      <c r="N916" s="26" t="s">
        <v>28</v>
      </c>
      <c r="O916" s="27">
        <v>21186</v>
      </c>
      <c r="P916" s="26"/>
      <c r="Q916" s="26" t="s">
        <v>312</v>
      </c>
      <c r="R916" s="26">
        <v>9.85</v>
      </c>
      <c r="S916" s="26" t="s">
        <v>29</v>
      </c>
    </row>
    <row r="917" spans="1:19">
      <c r="A917" s="26">
        <v>32702</v>
      </c>
      <c r="B917" s="26" t="s">
        <v>20</v>
      </c>
      <c r="C917" s="26" t="s">
        <v>21</v>
      </c>
      <c r="D917" s="26" t="s">
        <v>21</v>
      </c>
      <c r="E917" s="26" t="s">
        <v>422</v>
      </c>
      <c r="F917" s="26" t="s">
        <v>423</v>
      </c>
      <c r="G917" s="26">
        <v>9.9</v>
      </c>
      <c r="H917" s="26" t="s">
        <v>24</v>
      </c>
      <c r="I917" s="26" t="s">
        <v>389</v>
      </c>
      <c r="J917" s="26" t="s">
        <v>25</v>
      </c>
      <c r="K917" s="26" t="s">
        <v>25</v>
      </c>
      <c r="L917" s="26" t="s">
        <v>26</v>
      </c>
      <c r="M917" s="26" t="s">
        <v>27</v>
      </c>
      <c r="N917" s="26" t="s">
        <v>28</v>
      </c>
      <c r="O917" s="27">
        <v>21186</v>
      </c>
      <c r="P917" s="26"/>
      <c r="Q917" s="26" t="s">
        <v>312</v>
      </c>
      <c r="R917" s="26">
        <v>9.85</v>
      </c>
      <c r="S917" s="26" t="s">
        <v>29</v>
      </c>
    </row>
    <row r="918" spans="1:19" ht="86.25">
      <c r="A918" s="28">
        <v>103400</v>
      </c>
      <c r="B918" s="28" t="s">
        <v>20</v>
      </c>
      <c r="C918" s="28" t="s">
        <v>21</v>
      </c>
      <c r="D918" s="28" t="s">
        <v>21</v>
      </c>
      <c r="E918" s="28" t="s">
        <v>3052</v>
      </c>
      <c r="F918" s="28" t="s">
        <v>3053</v>
      </c>
      <c r="G918" s="28">
        <v>1.63</v>
      </c>
      <c r="H918" s="28" t="s">
        <v>24</v>
      </c>
      <c r="I918" s="28" t="s">
        <v>3054</v>
      </c>
      <c r="J918" s="28" t="s">
        <v>25</v>
      </c>
      <c r="K918" s="28" t="s">
        <v>25</v>
      </c>
      <c r="L918" s="28" t="s">
        <v>26</v>
      </c>
      <c r="M918" s="28" t="s">
        <v>27</v>
      </c>
      <c r="N918" s="28" t="s">
        <v>28</v>
      </c>
      <c r="O918" s="29">
        <v>40848</v>
      </c>
      <c r="P918" s="28" t="s">
        <v>3055</v>
      </c>
      <c r="Q918" s="28"/>
      <c r="R918" s="28">
        <v>1.8</v>
      </c>
      <c r="S918" s="28" t="s">
        <v>29</v>
      </c>
    </row>
    <row r="919" spans="1:19" ht="29.25">
      <c r="A919" s="28">
        <v>97900</v>
      </c>
      <c r="B919" s="28" t="s">
        <v>20</v>
      </c>
      <c r="C919" s="28" t="s">
        <v>30</v>
      </c>
      <c r="D919" s="28" t="s">
        <v>21</v>
      </c>
      <c r="E919" s="28" t="s">
        <v>2911</v>
      </c>
      <c r="F919" s="28" t="s">
        <v>2912</v>
      </c>
      <c r="G919" s="28">
        <v>1.57</v>
      </c>
      <c r="H919" s="28" t="s">
        <v>5</v>
      </c>
      <c r="I919" s="28" t="s">
        <v>2913</v>
      </c>
      <c r="J919" s="28" t="s">
        <v>788</v>
      </c>
      <c r="K919" s="28" t="s">
        <v>580</v>
      </c>
      <c r="L919" s="28" t="s">
        <v>888</v>
      </c>
      <c r="M919" s="28" t="s">
        <v>38</v>
      </c>
      <c r="N919" s="28" t="s">
        <v>39</v>
      </c>
      <c r="O919" s="29">
        <v>40050</v>
      </c>
      <c r="P919" s="28"/>
      <c r="Q919" s="28"/>
      <c r="R919" s="28">
        <v>2.8</v>
      </c>
      <c r="S919" s="28" t="s">
        <v>29</v>
      </c>
    </row>
    <row r="920" spans="1:19">
      <c r="A920" s="28">
        <v>113200</v>
      </c>
      <c r="B920" s="28" t="s">
        <v>20</v>
      </c>
      <c r="C920" s="28" t="s">
        <v>21</v>
      </c>
      <c r="D920" s="28" t="s">
        <v>21</v>
      </c>
      <c r="E920" s="28" t="s">
        <v>4676</v>
      </c>
      <c r="F920" s="28" t="s">
        <v>4773</v>
      </c>
      <c r="G920" s="28">
        <v>237</v>
      </c>
      <c r="H920" s="28" t="s">
        <v>24</v>
      </c>
      <c r="I920" s="28" t="s">
        <v>4774</v>
      </c>
      <c r="J920" s="28" t="s">
        <v>1025</v>
      </c>
      <c r="K920" s="28" t="s">
        <v>2138</v>
      </c>
      <c r="L920" s="28" t="s">
        <v>1026</v>
      </c>
      <c r="M920" s="28" t="s">
        <v>27</v>
      </c>
      <c r="N920" s="28" t="s">
        <v>1420</v>
      </c>
      <c r="O920" s="29">
        <v>41526</v>
      </c>
      <c r="P920" s="28"/>
      <c r="Q920" s="28"/>
      <c r="R920" s="28">
        <v>550</v>
      </c>
      <c r="S920" s="28" t="s">
        <v>29</v>
      </c>
    </row>
    <row r="921" spans="1:19" ht="114.75">
      <c r="A921" s="24">
        <v>105600</v>
      </c>
      <c r="B921" s="24" t="s">
        <v>20</v>
      </c>
      <c r="C921" s="24" t="s">
        <v>21</v>
      </c>
      <c r="D921" s="24" t="s">
        <v>30</v>
      </c>
      <c r="E921" s="24" t="s">
        <v>4519</v>
      </c>
      <c r="F921" s="24" t="s">
        <v>4520</v>
      </c>
      <c r="G921" s="24">
        <v>332.28</v>
      </c>
      <c r="H921" s="24" t="s">
        <v>24</v>
      </c>
      <c r="I921" s="24" t="s">
        <v>2619</v>
      </c>
      <c r="J921" s="24" t="s">
        <v>295</v>
      </c>
      <c r="K921" s="24" t="s">
        <v>705</v>
      </c>
      <c r="L921" s="24" t="s">
        <v>240</v>
      </c>
      <c r="M921" s="24" t="s">
        <v>27</v>
      </c>
      <c r="N921" s="24" t="s">
        <v>28</v>
      </c>
      <c r="O921" s="25">
        <v>41214</v>
      </c>
      <c r="P921" s="24" t="s">
        <v>4521</v>
      </c>
      <c r="Q921" s="24"/>
      <c r="R921" s="24">
        <v>332.28</v>
      </c>
      <c r="S921" s="24" t="s">
        <v>29</v>
      </c>
    </row>
    <row r="922" spans="1:19" ht="29.25">
      <c r="A922" s="24">
        <v>93400</v>
      </c>
      <c r="B922" s="24" t="s">
        <v>20</v>
      </c>
      <c r="C922" s="24" t="s">
        <v>21</v>
      </c>
      <c r="D922" s="24" t="s">
        <v>30</v>
      </c>
      <c r="E922" s="24" t="s">
        <v>3201</v>
      </c>
      <c r="F922" s="24" t="s">
        <v>3202</v>
      </c>
      <c r="G922" s="24">
        <v>6.2</v>
      </c>
      <c r="H922" s="24" t="s">
        <v>24</v>
      </c>
      <c r="I922" s="24" t="s">
        <v>310</v>
      </c>
      <c r="J922" s="24" t="s">
        <v>25</v>
      </c>
      <c r="K922" s="24" t="s">
        <v>1022</v>
      </c>
      <c r="L922" s="24" t="s">
        <v>26</v>
      </c>
      <c r="M922" s="24" t="s">
        <v>27</v>
      </c>
      <c r="N922" s="24" t="s">
        <v>28</v>
      </c>
      <c r="O922" s="263">
        <v>14611</v>
      </c>
      <c r="P922" s="24" t="s">
        <v>3203</v>
      </c>
      <c r="Q922" s="24" t="s">
        <v>312</v>
      </c>
      <c r="R922" s="24">
        <v>5.5</v>
      </c>
      <c r="S922" s="24" t="s">
        <v>29</v>
      </c>
    </row>
    <row r="923" spans="1:19" ht="29.25">
      <c r="A923" s="26">
        <v>23100</v>
      </c>
      <c r="B923" s="26" t="s">
        <v>20</v>
      </c>
      <c r="C923" s="26" t="s">
        <v>21</v>
      </c>
      <c r="D923" s="26" t="s">
        <v>21</v>
      </c>
      <c r="E923" s="26"/>
      <c r="F923" s="26" t="s">
        <v>370</v>
      </c>
      <c r="G923" s="26">
        <v>3</v>
      </c>
      <c r="H923" s="26" t="s">
        <v>24</v>
      </c>
      <c r="I923" s="26" t="s">
        <v>310</v>
      </c>
      <c r="J923" s="26" t="s">
        <v>25</v>
      </c>
      <c r="K923" s="26" t="s">
        <v>25</v>
      </c>
      <c r="L923" s="26" t="s">
        <v>26</v>
      </c>
      <c r="M923" s="26" t="s">
        <v>27</v>
      </c>
      <c r="N923" s="26" t="s">
        <v>28</v>
      </c>
      <c r="O923" s="27">
        <v>19725</v>
      </c>
      <c r="P923" s="26" t="s">
        <v>311</v>
      </c>
      <c r="Q923" s="26" t="s">
        <v>312</v>
      </c>
      <c r="R923" s="26">
        <v>4.5</v>
      </c>
      <c r="S923" s="26" t="s">
        <v>29</v>
      </c>
    </row>
    <row r="924" spans="1:19" ht="29.25">
      <c r="A924" s="26">
        <v>1600</v>
      </c>
      <c r="B924" s="26" t="s">
        <v>20</v>
      </c>
      <c r="C924" s="26" t="s">
        <v>21</v>
      </c>
      <c r="D924" s="26" t="s">
        <v>21</v>
      </c>
      <c r="E924" s="26"/>
      <c r="F924" s="26" t="s">
        <v>309</v>
      </c>
      <c r="G924" s="26">
        <v>1</v>
      </c>
      <c r="H924" s="26" t="s">
        <v>24</v>
      </c>
      <c r="I924" s="26" t="s">
        <v>310</v>
      </c>
      <c r="J924" s="26" t="s">
        <v>25</v>
      </c>
      <c r="K924" s="26" t="s">
        <v>25</v>
      </c>
      <c r="L924" s="26" t="s">
        <v>26</v>
      </c>
      <c r="M924" s="26" t="s">
        <v>27</v>
      </c>
      <c r="N924" s="26" t="s">
        <v>28</v>
      </c>
      <c r="O924" s="27">
        <v>14611</v>
      </c>
      <c r="P924" s="26" t="s">
        <v>311</v>
      </c>
      <c r="Q924" s="26" t="s">
        <v>312</v>
      </c>
      <c r="R924" s="26">
        <v>1</v>
      </c>
      <c r="S924" s="26" t="s">
        <v>29</v>
      </c>
    </row>
    <row r="925" spans="1:19">
      <c r="A925" s="28">
        <v>32900</v>
      </c>
      <c r="B925" s="28" t="s">
        <v>20</v>
      </c>
      <c r="C925" s="28" t="s">
        <v>21</v>
      </c>
      <c r="D925" s="28" t="s">
        <v>21</v>
      </c>
      <c r="E925" s="28" t="s">
        <v>761</v>
      </c>
      <c r="F925" s="28" t="s">
        <v>762</v>
      </c>
      <c r="G925" s="28">
        <v>9.1</v>
      </c>
      <c r="H925" s="28" t="s">
        <v>24</v>
      </c>
      <c r="I925" s="28" t="s">
        <v>4</v>
      </c>
      <c r="J925" s="28" t="s">
        <v>25</v>
      </c>
      <c r="K925" s="28" t="s">
        <v>25</v>
      </c>
      <c r="L925" s="28" t="s">
        <v>26</v>
      </c>
      <c r="M925" s="28" t="s">
        <v>27</v>
      </c>
      <c r="N925" s="28" t="s">
        <v>28</v>
      </c>
      <c r="O925" s="29">
        <v>29221</v>
      </c>
      <c r="P925" s="28"/>
      <c r="Q925" s="28"/>
      <c r="R925" s="28">
        <v>9.1</v>
      </c>
      <c r="S925" s="28" t="s">
        <v>29</v>
      </c>
    </row>
    <row r="926" spans="1:19">
      <c r="A926" s="28">
        <v>33000</v>
      </c>
      <c r="B926" s="28" t="s">
        <v>20</v>
      </c>
      <c r="C926" s="28" t="s">
        <v>21</v>
      </c>
      <c r="D926" s="28" t="s">
        <v>21</v>
      </c>
      <c r="E926" s="28" t="s">
        <v>775</v>
      </c>
      <c r="F926" s="28" t="s">
        <v>776</v>
      </c>
      <c r="G926" s="28">
        <v>1</v>
      </c>
      <c r="H926" s="28" t="s">
        <v>24</v>
      </c>
      <c r="I926" s="28" t="s">
        <v>4</v>
      </c>
      <c r="J926" s="28" t="s">
        <v>25</v>
      </c>
      <c r="K926" s="28" t="s">
        <v>25</v>
      </c>
      <c r="L926" s="28" t="s">
        <v>26</v>
      </c>
      <c r="M926" s="28" t="s">
        <v>27</v>
      </c>
      <c r="N926" s="28" t="s">
        <v>28</v>
      </c>
      <c r="O926" s="29">
        <v>29587</v>
      </c>
      <c r="P926" s="28"/>
      <c r="Q926" s="28"/>
      <c r="R926" s="28">
        <v>1</v>
      </c>
      <c r="S926" s="28" t="s">
        <v>29</v>
      </c>
    </row>
    <row r="927" spans="1:19">
      <c r="A927" s="28">
        <v>113300</v>
      </c>
      <c r="B927" s="28" t="s">
        <v>20</v>
      </c>
      <c r="C927" s="28" t="s">
        <v>21</v>
      </c>
      <c r="D927" s="28" t="s">
        <v>21</v>
      </c>
      <c r="E927" s="28" t="s">
        <v>4775</v>
      </c>
      <c r="F927" s="28" t="s">
        <v>4776</v>
      </c>
      <c r="G927" s="28">
        <v>1.85</v>
      </c>
      <c r="H927" s="28" t="s">
        <v>24</v>
      </c>
      <c r="I927" s="28" t="s">
        <v>4741</v>
      </c>
      <c r="J927" s="28" t="s">
        <v>4777</v>
      </c>
      <c r="K927" s="28" t="s">
        <v>4778</v>
      </c>
      <c r="L927" s="28" t="s">
        <v>90</v>
      </c>
      <c r="M927" s="28" t="s">
        <v>27</v>
      </c>
      <c r="N927" s="28" t="s">
        <v>1420</v>
      </c>
      <c r="O927" s="29">
        <v>41523</v>
      </c>
      <c r="P927" s="28"/>
      <c r="Q927" s="28"/>
      <c r="R927" s="28">
        <v>2.4</v>
      </c>
      <c r="S927" s="28" t="s">
        <v>29</v>
      </c>
    </row>
    <row r="928" spans="1:19" ht="29.25">
      <c r="A928" s="28">
        <v>32800</v>
      </c>
      <c r="B928" s="28" t="s">
        <v>20</v>
      </c>
      <c r="C928" s="28" t="s">
        <v>21</v>
      </c>
      <c r="D928" s="28" t="s">
        <v>21</v>
      </c>
      <c r="E928" s="28" t="s">
        <v>2522</v>
      </c>
      <c r="F928" s="28" t="s">
        <v>2523</v>
      </c>
      <c r="G928" s="28">
        <v>50.61</v>
      </c>
      <c r="H928" s="28" t="s">
        <v>24</v>
      </c>
      <c r="I928" s="28" t="s">
        <v>2524</v>
      </c>
      <c r="J928" s="28" t="s">
        <v>295</v>
      </c>
      <c r="K928" s="28" t="s">
        <v>580</v>
      </c>
      <c r="L928" s="28" t="s">
        <v>240</v>
      </c>
      <c r="M928" s="28" t="s">
        <v>27</v>
      </c>
      <c r="N928" s="28" t="s">
        <v>28</v>
      </c>
      <c r="O928" s="29">
        <v>37428</v>
      </c>
      <c r="P928" s="28"/>
      <c r="Q928" s="28"/>
      <c r="R928" s="28">
        <v>48.49</v>
      </c>
      <c r="S928" s="28" t="s">
        <v>29</v>
      </c>
    </row>
    <row r="929" spans="1:19">
      <c r="A929" s="28">
        <v>98300</v>
      </c>
      <c r="B929" s="28" t="s">
        <v>20</v>
      </c>
      <c r="C929" s="28" t="s">
        <v>21</v>
      </c>
      <c r="D929" s="28" t="s">
        <v>21</v>
      </c>
      <c r="E929" s="28" t="s">
        <v>2922</v>
      </c>
      <c r="F929" s="28" t="s">
        <v>2923</v>
      </c>
      <c r="G929" s="28">
        <v>2.5</v>
      </c>
      <c r="H929" s="28" t="s">
        <v>24</v>
      </c>
      <c r="I929" s="28" t="s">
        <v>4</v>
      </c>
      <c r="J929" s="28" t="s">
        <v>1025</v>
      </c>
      <c r="K929" s="28" t="s">
        <v>2138</v>
      </c>
      <c r="L929" s="28" t="s">
        <v>1026</v>
      </c>
      <c r="M929" s="28" t="s">
        <v>27</v>
      </c>
      <c r="N929" s="28" t="s">
        <v>1420</v>
      </c>
      <c r="O929" s="29">
        <v>40170</v>
      </c>
      <c r="P929" s="28"/>
      <c r="Q929" s="28"/>
      <c r="R929" s="28">
        <v>2</v>
      </c>
      <c r="S929" s="28" t="s">
        <v>29</v>
      </c>
    </row>
    <row r="930" spans="1:19">
      <c r="A930" s="24">
        <v>33100</v>
      </c>
      <c r="B930" s="24" t="s">
        <v>20</v>
      </c>
      <c r="C930" s="24" t="s">
        <v>21</v>
      </c>
      <c r="D930" s="24" t="s">
        <v>30</v>
      </c>
      <c r="E930" s="24" t="s">
        <v>800</v>
      </c>
      <c r="F930" s="24" t="s">
        <v>801</v>
      </c>
      <c r="G930" s="24">
        <v>76</v>
      </c>
      <c r="H930" s="24" t="s">
        <v>5</v>
      </c>
      <c r="I930" s="24" t="s">
        <v>541</v>
      </c>
      <c r="J930" s="24" t="s">
        <v>25</v>
      </c>
      <c r="K930" s="24" t="s">
        <v>25</v>
      </c>
      <c r="L930" s="24" t="s">
        <v>26</v>
      </c>
      <c r="M930" s="24" t="s">
        <v>38</v>
      </c>
      <c r="N930" s="24" t="s">
        <v>39</v>
      </c>
      <c r="O930" s="25">
        <v>29952</v>
      </c>
      <c r="P930" s="24"/>
      <c r="Q930" s="24"/>
      <c r="R930" s="24">
        <v>78.2</v>
      </c>
      <c r="S930" s="24" t="s">
        <v>29</v>
      </c>
    </row>
    <row r="931" spans="1:19">
      <c r="A931" s="26">
        <v>33101</v>
      </c>
      <c r="B931" s="26" t="s">
        <v>20</v>
      </c>
      <c r="C931" s="26" t="s">
        <v>21</v>
      </c>
      <c r="D931" s="26" t="s">
        <v>21</v>
      </c>
      <c r="E931" s="26" t="s">
        <v>802</v>
      </c>
      <c r="F931" s="26" t="s">
        <v>803</v>
      </c>
      <c r="G931" s="26">
        <v>39.1</v>
      </c>
      <c r="H931" s="26" t="s">
        <v>5</v>
      </c>
      <c r="I931" s="26" t="s">
        <v>541</v>
      </c>
      <c r="J931" s="26" t="s">
        <v>25</v>
      </c>
      <c r="K931" s="26" t="s">
        <v>25</v>
      </c>
      <c r="L931" s="26" t="s">
        <v>26</v>
      </c>
      <c r="M931" s="26" t="s">
        <v>38</v>
      </c>
      <c r="N931" s="26" t="s">
        <v>39</v>
      </c>
      <c r="O931" s="27">
        <v>29952</v>
      </c>
      <c r="P931" s="26"/>
      <c r="Q931" s="26"/>
      <c r="R931" s="26">
        <v>39.1</v>
      </c>
      <c r="S931" s="26" t="s">
        <v>29</v>
      </c>
    </row>
    <row r="932" spans="1:19">
      <c r="A932" s="26">
        <v>33102</v>
      </c>
      <c r="B932" s="26" t="s">
        <v>20</v>
      </c>
      <c r="C932" s="26" t="s">
        <v>21</v>
      </c>
      <c r="D932" s="26" t="s">
        <v>21</v>
      </c>
      <c r="E932" s="26" t="s">
        <v>872</v>
      </c>
      <c r="F932" s="26" t="s">
        <v>873</v>
      </c>
      <c r="G932" s="26">
        <v>39.1</v>
      </c>
      <c r="H932" s="26" t="s">
        <v>5</v>
      </c>
      <c r="I932" s="26" t="s">
        <v>541</v>
      </c>
      <c r="J932" s="26" t="s">
        <v>25</v>
      </c>
      <c r="K932" s="26" t="s">
        <v>25</v>
      </c>
      <c r="L932" s="26" t="s">
        <v>26</v>
      </c>
      <c r="M932" s="26" t="s">
        <v>38</v>
      </c>
      <c r="N932" s="26" t="s">
        <v>39</v>
      </c>
      <c r="O932" s="27">
        <v>30317</v>
      </c>
      <c r="P932" s="26"/>
      <c r="Q932" s="26"/>
      <c r="R932" s="26">
        <v>39.1</v>
      </c>
      <c r="S932" s="26" t="s">
        <v>29</v>
      </c>
    </row>
    <row r="933" spans="1:19" ht="29.25">
      <c r="A933" s="24">
        <v>24600</v>
      </c>
      <c r="B933" s="24" t="s">
        <v>20</v>
      </c>
      <c r="C933" s="24" t="s">
        <v>21</v>
      </c>
      <c r="D933" s="24" t="s">
        <v>30</v>
      </c>
      <c r="E933" s="24" t="s">
        <v>2735</v>
      </c>
      <c r="F933" s="24" t="s">
        <v>2736</v>
      </c>
      <c r="G933" s="24">
        <v>49.97</v>
      </c>
      <c r="H933" s="24" t="s">
        <v>24</v>
      </c>
      <c r="I933" s="24" t="s">
        <v>2475</v>
      </c>
      <c r="J933" s="24" t="s">
        <v>295</v>
      </c>
      <c r="K933" s="24" t="s">
        <v>1022</v>
      </c>
      <c r="L933" s="24" t="s">
        <v>240</v>
      </c>
      <c r="M933" s="24" t="s">
        <v>27</v>
      </c>
      <c r="N933" s="24" t="s">
        <v>28</v>
      </c>
      <c r="O933" s="25">
        <v>38517</v>
      </c>
      <c r="P933" s="24"/>
      <c r="Q933" s="24"/>
      <c r="R933" s="24">
        <v>49.35</v>
      </c>
      <c r="S933" s="24" t="s">
        <v>29</v>
      </c>
    </row>
    <row r="934" spans="1:19" ht="29.25">
      <c r="A934" s="26">
        <v>24601</v>
      </c>
      <c r="B934" s="26" t="s">
        <v>20</v>
      </c>
      <c r="C934" s="26" t="s">
        <v>21</v>
      </c>
      <c r="D934" s="26" t="s">
        <v>21</v>
      </c>
      <c r="E934" s="26" t="s">
        <v>2473</v>
      </c>
      <c r="F934" s="26" t="s">
        <v>2474</v>
      </c>
      <c r="G934" s="26">
        <v>49</v>
      </c>
      <c r="H934" s="26" t="s">
        <v>24</v>
      </c>
      <c r="I934" s="26" t="s">
        <v>2475</v>
      </c>
      <c r="J934" s="26" t="s">
        <v>295</v>
      </c>
      <c r="K934" s="26" t="s">
        <v>580</v>
      </c>
      <c r="L934" s="26" t="s">
        <v>240</v>
      </c>
      <c r="M934" s="26" t="s">
        <v>27</v>
      </c>
      <c r="N934" s="26" t="s">
        <v>28</v>
      </c>
      <c r="O934" s="27">
        <v>37239</v>
      </c>
      <c r="P934" s="26"/>
      <c r="Q934" s="26"/>
      <c r="R934" s="26">
        <v>49</v>
      </c>
      <c r="S934" s="26" t="s">
        <v>29</v>
      </c>
    </row>
    <row r="935" spans="1:19" ht="29.25">
      <c r="A935" s="26">
        <v>24602</v>
      </c>
      <c r="B935" s="26" t="s">
        <v>20</v>
      </c>
      <c r="C935" s="26" t="s">
        <v>21</v>
      </c>
      <c r="D935" s="26" t="s">
        <v>21</v>
      </c>
      <c r="E935" s="26" t="s">
        <v>2737</v>
      </c>
      <c r="F935" s="26" t="s">
        <v>2738</v>
      </c>
      <c r="G935" s="26">
        <v>0.3</v>
      </c>
      <c r="H935" s="26" t="s">
        <v>24</v>
      </c>
      <c r="I935" s="26" t="s">
        <v>2475</v>
      </c>
      <c r="J935" s="26" t="s">
        <v>295</v>
      </c>
      <c r="K935" s="26" t="s">
        <v>2258</v>
      </c>
      <c r="L935" s="26" t="s">
        <v>240</v>
      </c>
      <c r="M935" s="26" t="s">
        <v>27</v>
      </c>
      <c r="N935" s="26" t="s">
        <v>28</v>
      </c>
      <c r="O935" s="27">
        <v>38517</v>
      </c>
      <c r="P935" s="26"/>
      <c r="Q935" s="26"/>
      <c r="R935" s="26">
        <v>0.35</v>
      </c>
      <c r="S935" s="26" t="s">
        <v>29</v>
      </c>
    </row>
    <row r="936" spans="1:19">
      <c r="A936" s="28">
        <v>89200</v>
      </c>
      <c r="B936" s="28" t="s">
        <v>20</v>
      </c>
      <c r="C936" s="28" t="s">
        <v>21</v>
      </c>
      <c r="D936" s="28" t="s">
        <v>21</v>
      </c>
      <c r="E936" s="28" t="s">
        <v>2669</v>
      </c>
      <c r="F936" s="28" t="s">
        <v>2670</v>
      </c>
      <c r="G936" s="28">
        <v>1.32</v>
      </c>
      <c r="H936" s="28" t="s">
        <v>5</v>
      </c>
      <c r="I936" s="28" t="s">
        <v>2671</v>
      </c>
      <c r="J936" s="28" t="s">
        <v>781</v>
      </c>
      <c r="K936" s="28" t="s">
        <v>781</v>
      </c>
      <c r="L936" s="28" t="s">
        <v>781</v>
      </c>
      <c r="M936" s="28" t="s">
        <v>38</v>
      </c>
      <c r="N936" s="28" t="s">
        <v>39</v>
      </c>
      <c r="O936" s="29">
        <v>37985</v>
      </c>
      <c r="P936" s="28"/>
      <c r="Q936" s="28"/>
      <c r="R936" s="28">
        <v>1.32</v>
      </c>
      <c r="S936" s="28" t="s">
        <v>29</v>
      </c>
    </row>
    <row r="937" spans="1:19" ht="29.25">
      <c r="A937" s="24">
        <v>33800</v>
      </c>
      <c r="B937" s="24" t="s">
        <v>20</v>
      </c>
      <c r="C937" s="24" t="s">
        <v>21</v>
      </c>
      <c r="D937" s="24" t="s">
        <v>30</v>
      </c>
      <c r="E937" s="24" t="s">
        <v>96</v>
      </c>
      <c r="F937" s="24" t="s">
        <v>97</v>
      </c>
      <c r="G937" s="24">
        <v>18.399999999999999</v>
      </c>
      <c r="H937" s="24" t="s">
        <v>24</v>
      </c>
      <c r="I937" s="24" t="s">
        <v>4</v>
      </c>
      <c r="J937" s="24" t="s">
        <v>25</v>
      </c>
      <c r="K937" s="24" t="s">
        <v>25</v>
      </c>
      <c r="L937" s="24" t="s">
        <v>26</v>
      </c>
      <c r="M937" s="24" t="s">
        <v>27</v>
      </c>
      <c r="N937" s="24" t="s">
        <v>28</v>
      </c>
      <c r="O937" s="25">
        <v>3654</v>
      </c>
      <c r="P937" s="24"/>
      <c r="Q937" s="24" t="s">
        <v>98</v>
      </c>
      <c r="R937" s="24">
        <v>18.399999999999999</v>
      </c>
      <c r="S937" s="24" t="s">
        <v>29</v>
      </c>
    </row>
    <row r="938" spans="1:19">
      <c r="A938" s="26">
        <v>33805</v>
      </c>
      <c r="B938" s="26" t="s">
        <v>20</v>
      </c>
      <c r="C938" s="26" t="s">
        <v>21</v>
      </c>
      <c r="D938" s="26" t="s">
        <v>21</v>
      </c>
      <c r="E938" s="26" t="s">
        <v>99</v>
      </c>
      <c r="F938" s="26" t="s">
        <v>100</v>
      </c>
      <c r="G938" s="26">
        <v>0.4</v>
      </c>
      <c r="H938" s="26" t="s">
        <v>24</v>
      </c>
      <c r="I938" s="26" t="s">
        <v>4</v>
      </c>
      <c r="J938" s="26" t="s">
        <v>25</v>
      </c>
      <c r="K938" s="26" t="s">
        <v>25</v>
      </c>
      <c r="L938" s="26" t="s">
        <v>26</v>
      </c>
      <c r="M938" s="26" t="s">
        <v>27</v>
      </c>
      <c r="N938" s="26" t="s">
        <v>28</v>
      </c>
      <c r="O938" s="27">
        <v>3654</v>
      </c>
      <c r="P938" s="26"/>
      <c r="Q938" s="26" t="s">
        <v>98</v>
      </c>
      <c r="R938" s="26">
        <v>0.4</v>
      </c>
      <c r="S938" s="26" t="s">
        <v>29</v>
      </c>
    </row>
    <row r="939" spans="1:19">
      <c r="A939" s="26">
        <v>33801</v>
      </c>
      <c r="B939" s="26" t="s">
        <v>20</v>
      </c>
      <c r="C939" s="26" t="s">
        <v>21</v>
      </c>
      <c r="D939" s="26" t="s">
        <v>21</v>
      </c>
      <c r="E939" s="26" t="s">
        <v>101</v>
      </c>
      <c r="F939" s="26" t="s">
        <v>102</v>
      </c>
      <c r="G939" s="26">
        <v>5.6</v>
      </c>
      <c r="H939" s="26" t="s">
        <v>24</v>
      </c>
      <c r="I939" s="26" t="s">
        <v>4</v>
      </c>
      <c r="J939" s="26" t="s">
        <v>25</v>
      </c>
      <c r="K939" s="26" t="s">
        <v>25</v>
      </c>
      <c r="L939" s="26" t="s">
        <v>26</v>
      </c>
      <c r="M939" s="26" t="s">
        <v>27</v>
      </c>
      <c r="N939" s="26" t="s">
        <v>28</v>
      </c>
      <c r="O939" s="27">
        <v>3654</v>
      </c>
      <c r="P939" s="26"/>
      <c r="Q939" s="26" t="s">
        <v>98</v>
      </c>
      <c r="R939" s="26">
        <v>5.6</v>
      </c>
      <c r="S939" s="26" t="s">
        <v>29</v>
      </c>
    </row>
    <row r="940" spans="1:19">
      <c r="A940" s="26">
        <v>33802</v>
      </c>
      <c r="B940" s="26" t="s">
        <v>20</v>
      </c>
      <c r="C940" s="26" t="s">
        <v>21</v>
      </c>
      <c r="D940" s="26" t="s">
        <v>21</v>
      </c>
      <c r="E940" s="26" t="s">
        <v>103</v>
      </c>
      <c r="F940" s="26" t="s">
        <v>104</v>
      </c>
      <c r="G940" s="26">
        <v>5.6</v>
      </c>
      <c r="H940" s="26" t="s">
        <v>24</v>
      </c>
      <c r="I940" s="26" t="s">
        <v>4</v>
      </c>
      <c r="J940" s="26" t="s">
        <v>25</v>
      </c>
      <c r="K940" s="26" t="s">
        <v>25</v>
      </c>
      <c r="L940" s="26" t="s">
        <v>26</v>
      </c>
      <c r="M940" s="26" t="s">
        <v>27</v>
      </c>
      <c r="N940" s="26" t="s">
        <v>28</v>
      </c>
      <c r="O940" s="27">
        <v>3654</v>
      </c>
      <c r="P940" s="26"/>
      <c r="Q940" s="26" t="s">
        <v>98</v>
      </c>
      <c r="R940" s="26">
        <v>5.6</v>
      </c>
      <c r="S940" s="26" t="s">
        <v>29</v>
      </c>
    </row>
    <row r="941" spans="1:19">
      <c r="A941" s="26">
        <v>33803</v>
      </c>
      <c r="B941" s="26" t="s">
        <v>20</v>
      </c>
      <c r="C941" s="26" t="s">
        <v>21</v>
      </c>
      <c r="D941" s="26" t="s">
        <v>21</v>
      </c>
      <c r="E941" s="26" t="s">
        <v>105</v>
      </c>
      <c r="F941" s="26" t="s">
        <v>106</v>
      </c>
      <c r="G941" s="26">
        <v>5.6</v>
      </c>
      <c r="H941" s="26" t="s">
        <v>24</v>
      </c>
      <c r="I941" s="26" t="s">
        <v>4</v>
      </c>
      <c r="J941" s="26" t="s">
        <v>25</v>
      </c>
      <c r="K941" s="26" t="s">
        <v>25</v>
      </c>
      <c r="L941" s="26" t="s">
        <v>26</v>
      </c>
      <c r="M941" s="26" t="s">
        <v>27</v>
      </c>
      <c r="N941" s="26" t="s">
        <v>28</v>
      </c>
      <c r="O941" s="27">
        <v>3654</v>
      </c>
      <c r="P941" s="26"/>
      <c r="Q941" s="26" t="s">
        <v>98</v>
      </c>
      <c r="R941" s="26">
        <v>5.6</v>
      </c>
      <c r="S941" s="26" t="s">
        <v>29</v>
      </c>
    </row>
    <row r="942" spans="1:19">
      <c r="A942" s="26">
        <v>33804</v>
      </c>
      <c r="B942" s="26" t="s">
        <v>20</v>
      </c>
      <c r="C942" s="26" t="s">
        <v>21</v>
      </c>
      <c r="D942" s="26" t="s">
        <v>21</v>
      </c>
      <c r="E942" s="26" t="s">
        <v>107</v>
      </c>
      <c r="F942" s="26" t="s">
        <v>108</v>
      </c>
      <c r="G942" s="26">
        <v>5.6</v>
      </c>
      <c r="H942" s="26" t="s">
        <v>24</v>
      </c>
      <c r="I942" s="26" t="s">
        <v>4</v>
      </c>
      <c r="J942" s="26" t="s">
        <v>25</v>
      </c>
      <c r="K942" s="26" t="s">
        <v>25</v>
      </c>
      <c r="L942" s="26" t="s">
        <v>26</v>
      </c>
      <c r="M942" s="26" t="s">
        <v>27</v>
      </c>
      <c r="N942" s="26" t="s">
        <v>28</v>
      </c>
      <c r="O942" s="27">
        <v>3654</v>
      </c>
      <c r="P942" s="26"/>
      <c r="Q942" s="26" t="s">
        <v>98</v>
      </c>
      <c r="R942" s="26">
        <v>5.6</v>
      </c>
      <c r="S942" s="26" t="s">
        <v>29</v>
      </c>
    </row>
    <row r="943" spans="1:19">
      <c r="A943" s="28">
        <v>107100</v>
      </c>
      <c r="B943" s="28" t="s">
        <v>20</v>
      </c>
      <c r="C943" s="28" t="s">
        <v>21</v>
      </c>
      <c r="D943" s="28" t="s">
        <v>21</v>
      </c>
      <c r="E943" s="28" t="s">
        <v>4522</v>
      </c>
      <c r="F943" s="28" t="s">
        <v>4523</v>
      </c>
      <c r="G943" s="28">
        <v>6</v>
      </c>
      <c r="H943" s="28" t="s">
        <v>5</v>
      </c>
      <c r="I943" s="28" t="s">
        <v>4523</v>
      </c>
      <c r="J943" s="28" t="s">
        <v>781</v>
      </c>
      <c r="K943" s="28" t="s">
        <v>781</v>
      </c>
      <c r="L943" s="28" t="s">
        <v>781</v>
      </c>
      <c r="M943" s="28" t="s">
        <v>38</v>
      </c>
      <c r="N943" s="28" t="s">
        <v>39</v>
      </c>
      <c r="O943" s="29">
        <v>41264</v>
      </c>
      <c r="P943" s="28"/>
      <c r="Q943" s="28"/>
      <c r="R943" s="28">
        <v>6</v>
      </c>
      <c r="S943" s="28" t="s">
        <v>29</v>
      </c>
    </row>
    <row r="944" spans="1:19" ht="29.25">
      <c r="A944" s="28">
        <v>82600</v>
      </c>
      <c r="B944" s="28" t="s">
        <v>20</v>
      </c>
      <c r="C944" s="28" t="s">
        <v>21</v>
      </c>
      <c r="D944" s="28" t="s">
        <v>21</v>
      </c>
      <c r="E944" s="28" t="s">
        <v>2593</v>
      </c>
      <c r="F944" s="28" t="s">
        <v>2594</v>
      </c>
      <c r="G944" s="28">
        <v>46.9</v>
      </c>
      <c r="H944" s="28" t="s">
        <v>24</v>
      </c>
      <c r="I944" s="28" t="s">
        <v>2595</v>
      </c>
      <c r="J944" s="28" t="s">
        <v>295</v>
      </c>
      <c r="K944" s="28" t="s">
        <v>580</v>
      </c>
      <c r="L944" s="28" t="s">
        <v>240</v>
      </c>
      <c r="M944" s="28" t="s">
        <v>27</v>
      </c>
      <c r="N944" s="28" t="s">
        <v>28</v>
      </c>
      <c r="O944" s="29">
        <v>37702</v>
      </c>
      <c r="P944" s="28"/>
      <c r="Q944" s="28"/>
      <c r="R944" s="28">
        <v>49.9</v>
      </c>
      <c r="S944" s="28" t="s">
        <v>29</v>
      </c>
    </row>
    <row r="945" spans="1:19" ht="29.25">
      <c r="A945" s="28">
        <v>75300</v>
      </c>
      <c r="B945" s="28" t="s">
        <v>20</v>
      </c>
      <c r="C945" s="28" t="s">
        <v>30</v>
      </c>
      <c r="D945" s="28" t="s">
        <v>21</v>
      </c>
      <c r="E945" s="28" t="s">
        <v>1865</v>
      </c>
      <c r="F945" s="28" t="s">
        <v>1866</v>
      </c>
      <c r="G945" s="28">
        <v>28.8</v>
      </c>
      <c r="H945" s="28" t="s">
        <v>24</v>
      </c>
      <c r="I945" s="28" t="s">
        <v>1867</v>
      </c>
      <c r="J945" s="28" t="s">
        <v>788</v>
      </c>
      <c r="K945" s="28" t="s">
        <v>366</v>
      </c>
      <c r="L945" s="28" t="s">
        <v>789</v>
      </c>
      <c r="M945" s="28" t="s">
        <v>27</v>
      </c>
      <c r="N945" s="28" t="s">
        <v>28</v>
      </c>
      <c r="O945" s="29">
        <v>32751</v>
      </c>
      <c r="P945" s="28"/>
      <c r="Q945" s="28"/>
      <c r="R945" s="28">
        <v>28</v>
      </c>
      <c r="S945" s="28" t="s">
        <v>29</v>
      </c>
    </row>
    <row r="946" spans="1:19" ht="29.25">
      <c r="A946" s="28">
        <v>108600</v>
      </c>
      <c r="B946" s="28" t="s">
        <v>20</v>
      </c>
      <c r="C946" s="28" t="s">
        <v>21</v>
      </c>
      <c r="D946" s="28" t="s">
        <v>21</v>
      </c>
      <c r="E946" s="28" t="s">
        <v>4524</v>
      </c>
      <c r="F946" s="28" t="s">
        <v>4525</v>
      </c>
      <c r="G946" s="28">
        <v>96</v>
      </c>
      <c r="H946" s="28" t="s">
        <v>5</v>
      </c>
      <c r="I946" s="28" t="s">
        <v>4526</v>
      </c>
      <c r="J946" s="28" t="s">
        <v>365</v>
      </c>
      <c r="K946" s="28" t="s">
        <v>580</v>
      </c>
      <c r="L946" s="28" t="s">
        <v>240</v>
      </c>
      <c r="M946" s="28" t="s">
        <v>38</v>
      </c>
      <c r="N946" s="28" t="s">
        <v>39</v>
      </c>
      <c r="O946" s="29">
        <v>41354</v>
      </c>
      <c r="P946" s="28"/>
      <c r="Q946" s="28"/>
      <c r="R946" s="28">
        <v>100.1</v>
      </c>
      <c r="S946" s="28" t="s">
        <v>29</v>
      </c>
    </row>
    <row r="947" spans="1:19" ht="29.25">
      <c r="A947" s="28">
        <v>108700</v>
      </c>
      <c r="B947" s="28" t="s">
        <v>20</v>
      </c>
      <c r="C947" s="28" t="s">
        <v>21</v>
      </c>
      <c r="D947" s="28" t="s">
        <v>21</v>
      </c>
      <c r="E947" s="28" t="s">
        <v>4527</v>
      </c>
      <c r="F947" s="28" t="s">
        <v>4528</v>
      </c>
      <c r="G947" s="28">
        <v>96</v>
      </c>
      <c r="H947" s="28" t="s">
        <v>5</v>
      </c>
      <c r="I947" s="28" t="s">
        <v>4526</v>
      </c>
      <c r="J947" s="28" t="s">
        <v>365</v>
      </c>
      <c r="K947" s="28" t="s">
        <v>580</v>
      </c>
      <c r="L947" s="28" t="s">
        <v>240</v>
      </c>
      <c r="M947" s="28" t="s">
        <v>38</v>
      </c>
      <c r="N947" s="28" t="s">
        <v>39</v>
      </c>
      <c r="O947" s="29">
        <v>41354</v>
      </c>
      <c r="P947" s="28"/>
      <c r="Q947" s="28"/>
      <c r="R947" s="28">
        <v>100.1</v>
      </c>
      <c r="S947" s="28" t="s">
        <v>29</v>
      </c>
    </row>
    <row r="948" spans="1:19" ht="29.25">
      <c r="A948" s="28">
        <v>108800</v>
      </c>
      <c r="B948" s="28" t="s">
        <v>20</v>
      </c>
      <c r="C948" s="28" t="s">
        <v>21</v>
      </c>
      <c r="D948" s="28" t="s">
        <v>21</v>
      </c>
      <c r="E948" s="28" t="s">
        <v>4529</v>
      </c>
      <c r="F948" s="28" t="s">
        <v>4530</v>
      </c>
      <c r="G948" s="28">
        <v>96</v>
      </c>
      <c r="H948" s="28" t="s">
        <v>5</v>
      </c>
      <c r="I948" s="28" t="s">
        <v>4526</v>
      </c>
      <c r="J948" s="28" t="s">
        <v>365</v>
      </c>
      <c r="K948" s="28" t="s">
        <v>580</v>
      </c>
      <c r="L948" s="28" t="s">
        <v>240</v>
      </c>
      <c r="M948" s="28" t="s">
        <v>38</v>
      </c>
      <c r="N948" s="28" t="s">
        <v>39</v>
      </c>
      <c r="O948" s="29">
        <v>41354</v>
      </c>
      <c r="P948" s="28"/>
      <c r="Q948" s="28"/>
      <c r="R948" s="28">
        <v>100.1</v>
      </c>
      <c r="S948" s="28" t="s">
        <v>29</v>
      </c>
    </row>
    <row r="949" spans="1:19" ht="29.25">
      <c r="A949" s="28">
        <v>108500</v>
      </c>
      <c r="B949" s="28" t="s">
        <v>20</v>
      </c>
      <c r="C949" s="28" t="s">
        <v>21</v>
      </c>
      <c r="D949" s="28" t="s">
        <v>21</v>
      </c>
      <c r="E949" s="28" t="s">
        <v>4531</v>
      </c>
      <c r="F949" s="28" t="s">
        <v>4532</v>
      </c>
      <c r="G949" s="28">
        <v>96</v>
      </c>
      <c r="H949" s="28" t="s">
        <v>5</v>
      </c>
      <c r="I949" s="28" t="s">
        <v>4526</v>
      </c>
      <c r="J949" s="28" t="s">
        <v>365</v>
      </c>
      <c r="K949" s="28" t="s">
        <v>580</v>
      </c>
      <c r="L949" s="28" t="s">
        <v>240</v>
      </c>
      <c r="M949" s="28" t="s">
        <v>38</v>
      </c>
      <c r="N949" s="28" t="s">
        <v>39</v>
      </c>
      <c r="O949" s="29">
        <v>41362</v>
      </c>
      <c r="P949" s="28"/>
      <c r="Q949" s="28"/>
      <c r="R949" s="28">
        <v>100.1</v>
      </c>
      <c r="S949" s="28" t="s">
        <v>29</v>
      </c>
    </row>
    <row r="950" spans="1:19" ht="29.25">
      <c r="A950" s="28">
        <v>109300</v>
      </c>
      <c r="B950" s="28" t="s">
        <v>20</v>
      </c>
      <c r="C950" s="28" t="s">
        <v>21</v>
      </c>
      <c r="D950" s="28" t="s">
        <v>21</v>
      </c>
      <c r="E950" s="28" t="s">
        <v>4533</v>
      </c>
      <c r="F950" s="28" t="s">
        <v>4534</v>
      </c>
      <c r="G950" s="28">
        <v>100</v>
      </c>
      <c r="H950" s="28" t="s">
        <v>5</v>
      </c>
      <c r="I950" s="28" t="s">
        <v>4526</v>
      </c>
      <c r="J950" s="28" t="s">
        <v>365</v>
      </c>
      <c r="K950" s="28" t="s">
        <v>580</v>
      </c>
      <c r="L950" s="28" t="s">
        <v>240</v>
      </c>
      <c r="M950" s="28" t="s">
        <v>38</v>
      </c>
      <c r="N950" s="28" t="s">
        <v>39</v>
      </c>
      <c r="O950" s="29">
        <v>41394</v>
      </c>
      <c r="P950" s="28"/>
      <c r="Q950" s="28"/>
      <c r="R950" s="28">
        <v>100</v>
      </c>
      <c r="S950" s="28" t="s">
        <v>29</v>
      </c>
    </row>
    <row r="951" spans="1:19">
      <c r="A951" s="28">
        <v>107600</v>
      </c>
      <c r="B951" s="28" t="s">
        <v>20</v>
      </c>
      <c r="C951" s="28" t="s">
        <v>21</v>
      </c>
      <c r="D951" s="28" t="s">
        <v>21</v>
      </c>
      <c r="E951" s="28" t="s">
        <v>4535</v>
      </c>
      <c r="F951" s="28" t="s">
        <v>4536</v>
      </c>
      <c r="G951" s="28">
        <v>49</v>
      </c>
      <c r="H951" s="28" t="s">
        <v>5</v>
      </c>
      <c r="I951" s="28" t="s">
        <v>4537</v>
      </c>
      <c r="J951" s="28" t="s">
        <v>365</v>
      </c>
      <c r="K951" s="28" t="s">
        <v>580</v>
      </c>
      <c r="L951" s="28" t="s">
        <v>240</v>
      </c>
      <c r="M951" s="28" t="s">
        <v>38</v>
      </c>
      <c r="N951" s="28" t="s">
        <v>39</v>
      </c>
      <c r="O951" s="29">
        <v>41290</v>
      </c>
      <c r="P951" s="28"/>
      <c r="Q951" s="28"/>
      <c r="R951" s="28">
        <v>49</v>
      </c>
      <c r="S951" s="28" t="s">
        <v>29</v>
      </c>
    </row>
    <row r="952" spans="1:19" ht="29.25">
      <c r="A952" s="28">
        <v>112000</v>
      </c>
      <c r="B952" s="28" t="s">
        <v>20</v>
      </c>
      <c r="C952" s="28" t="s">
        <v>21</v>
      </c>
      <c r="D952" s="28" t="s">
        <v>21</v>
      </c>
      <c r="E952" s="28" t="s">
        <v>4779</v>
      </c>
      <c r="F952" s="28" t="s">
        <v>4780</v>
      </c>
      <c r="G952" s="28">
        <v>10</v>
      </c>
      <c r="H952" s="28" t="s">
        <v>24</v>
      </c>
      <c r="I952" s="28" t="s">
        <v>3037</v>
      </c>
      <c r="J952" s="28" t="s">
        <v>1025</v>
      </c>
      <c r="K952" s="28" t="s">
        <v>2138</v>
      </c>
      <c r="L952" s="28" t="s">
        <v>1026</v>
      </c>
      <c r="M952" s="28" t="s">
        <v>3325</v>
      </c>
      <c r="N952" s="28" t="s">
        <v>28</v>
      </c>
      <c r="O952" s="29">
        <v>41449</v>
      </c>
      <c r="P952" s="28"/>
      <c r="Q952" s="28"/>
      <c r="R952" s="28">
        <v>10</v>
      </c>
      <c r="S952" s="28" t="s">
        <v>29</v>
      </c>
    </row>
    <row r="953" spans="1:19">
      <c r="A953" s="28">
        <v>33200</v>
      </c>
      <c r="B953" s="28" t="s">
        <v>20</v>
      </c>
      <c r="C953" s="28" t="s">
        <v>21</v>
      </c>
      <c r="D953" s="28" t="s">
        <v>21</v>
      </c>
      <c r="E953" s="28" t="s">
        <v>341</v>
      </c>
      <c r="F953" s="28" t="s">
        <v>342</v>
      </c>
      <c r="G953" s="28">
        <v>14</v>
      </c>
      <c r="H953" s="28" t="s">
        <v>24</v>
      </c>
      <c r="I953" s="28" t="s">
        <v>4</v>
      </c>
      <c r="J953" s="28" t="s">
        <v>25</v>
      </c>
      <c r="K953" s="28" t="s">
        <v>25</v>
      </c>
      <c r="L953" s="28" t="s">
        <v>26</v>
      </c>
      <c r="M953" s="28" t="s">
        <v>27</v>
      </c>
      <c r="N953" s="28" t="s">
        <v>28</v>
      </c>
      <c r="O953" s="29">
        <v>17533</v>
      </c>
      <c r="P953" s="28"/>
      <c r="Q953" s="28" t="s">
        <v>274</v>
      </c>
      <c r="R953" s="28">
        <v>14</v>
      </c>
      <c r="S953" s="28" t="s">
        <v>29</v>
      </c>
    </row>
    <row r="954" spans="1:19" ht="43.5">
      <c r="A954" s="28">
        <v>102400</v>
      </c>
      <c r="B954" s="28" t="s">
        <v>20</v>
      </c>
      <c r="C954" s="28" t="s">
        <v>21</v>
      </c>
      <c r="D954" s="28" t="s">
        <v>21</v>
      </c>
      <c r="E954" s="28" t="s">
        <v>3026</v>
      </c>
      <c r="F954" s="28" t="s">
        <v>3027</v>
      </c>
      <c r="G954" s="28">
        <v>15</v>
      </c>
      <c r="H954" s="28" t="s">
        <v>24</v>
      </c>
      <c r="I954" s="28" t="s">
        <v>3028</v>
      </c>
      <c r="J954" s="28" t="s">
        <v>1025</v>
      </c>
      <c r="K954" s="28" t="s">
        <v>2138</v>
      </c>
      <c r="L954" s="28" t="s">
        <v>1026</v>
      </c>
      <c r="M954" s="28" t="s">
        <v>27</v>
      </c>
      <c r="N954" s="28" t="s">
        <v>1420</v>
      </c>
      <c r="O954" s="29">
        <v>40799</v>
      </c>
      <c r="P954" s="28" t="s">
        <v>3029</v>
      </c>
      <c r="Q954" s="28"/>
      <c r="R954" s="28">
        <v>15</v>
      </c>
      <c r="S954" s="28" t="s">
        <v>29</v>
      </c>
    </row>
    <row r="955" spans="1:19">
      <c r="A955" s="28">
        <v>112100</v>
      </c>
      <c r="B955" s="28" t="s">
        <v>20</v>
      </c>
      <c r="C955" s="28" t="s">
        <v>21</v>
      </c>
      <c r="D955" s="28" t="s">
        <v>21</v>
      </c>
      <c r="E955" s="28" t="s">
        <v>4642</v>
      </c>
      <c r="F955" s="28" t="s">
        <v>4643</v>
      </c>
      <c r="G955" s="28">
        <v>20</v>
      </c>
      <c r="H955" s="28" t="s">
        <v>24</v>
      </c>
      <c r="I955" s="28" t="s">
        <v>4781</v>
      </c>
      <c r="J955" s="28" t="s">
        <v>1025</v>
      </c>
      <c r="K955" s="28" t="s">
        <v>2138</v>
      </c>
      <c r="L955" s="28" t="s">
        <v>1026</v>
      </c>
      <c r="M955" s="28" t="s">
        <v>3325</v>
      </c>
      <c r="N955" s="28" t="s">
        <v>1420</v>
      </c>
      <c r="O955" s="29">
        <v>41447</v>
      </c>
      <c r="P955" s="28"/>
      <c r="Q955" s="28"/>
      <c r="R955" s="28">
        <v>20</v>
      </c>
      <c r="S955" s="28" t="s">
        <v>29</v>
      </c>
    </row>
    <row r="956" spans="1:19" ht="29.25">
      <c r="A956" s="28">
        <v>33500</v>
      </c>
      <c r="B956" s="28" t="s">
        <v>20</v>
      </c>
      <c r="C956" s="28" t="s">
        <v>21</v>
      </c>
      <c r="D956" s="28" t="s">
        <v>21</v>
      </c>
      <c r="E956" s="28" t="s">
        <v>2553</v>
      </c>
      <c r="F956" s="28" t="s">
        <v>2554</v>
      </c>
      <c r="G956" s="28">
        <v>61.5</v>
      </c>
      <c r="H956" s="28" t="s">
        <v>5</v>
      </c>
      <c r="I956" s="28" t="s">
        <v>2555</v>
      </c>
      <c r="J956" s="28" t="s">
        <v>781</v>
      </c>
      <c r="K956" s="28" t="s">
        <v>781</v>
      </c>
      <c r="L956" s="28" t="s">
        <v>781</v>
      </c>
      <c r="M956" s="28" t="s">
        <v>38</v>
      </c>
      <c r="N956" s="28" t="s">
        <v>39</v>
      </c>
      <c r="O956" s="29">
        <v>37499</v>
      </c>
      <c r="P956" s="28"/>
      <c r="Q956" s="28"/>
      <c r="R956" s="28">
        <v>61.5</v>
      </c>
      <c r="S956" s="28" t="s">
        <v>29</v>
      </c>
    </row>
    <row r="957" spans="1:19" ht="29.25">
      <c r="A957" s="28">
        <v>110800</v>
      </c>
      <c r="B957" s="28" t="s">
        <v>20</v>
      </c>
      <c r="C957" s="28" t="s">
        <v>21</v>
      </c>
      <c r="D957" s="28" t="s">
        <v>21</v>
      </c>
      <c r="E957" s="28" t="s">
        <v>4574</v>
      </c>
      <c r="F957" s="28" t="s">
        <v>4782</v>
      </c>
      <c r="G957" s="28">
        <v>19.95</v>
      </c>
      <c r="H957" s="28" t="s">
        <v>5</v>
      </c>
      <c r="I957" s="28" t="s">
        <v>4783</v>
      </c>
      <c r="J957" s="28" t="s">
        <v>781</v>
      </c>
      <c r="K957" s="28" t="s">
        <v>781</v>
      </c>
      <c r="L957" s="28" t="s">
        <v>781</v>
      </c>
      <c r="M957" s="28" t="s">
        <v>38</v>
      </c>
      <c r="N957" s="28" t="s">
        <v>39</v>
      </c>
      <c r="O957" s="29">
        <v>41414</v>
      </c>
      <c r="P957" s="28"/>
      <c r="Q957" s="28"/>
      <c r="R957" s="28">
        <v>19.95</v>
      </c>
      <c r="S957" s="28" t="s">
        <v>29</v>
      </c>
    </row>
    <row r="958" spans="1:19" ht="57.75">
      <c r="A958" s="24">
        <v>104000</v>
      </c>
      <c r="B958" s="24" t="s">
        <v>20</v>
      </c>
      <c r="C958" s="24" t="s">
        <v>21</v>
      </c>
      <c r="D958" s="24" t="s">
        <v>30</v>
      </c>
      <c r="E958" s="24" t="s">
        <v>3064</v>
      </c>
      <c r="F958" s="24" t="s">
        <v>3065</v>
      </c>
      <c r="G958" s="24">
        <v>120</v>
      </c>
      <c r="H958" s="24" t="s">
        <v>5</v>
      </c>
      <c r="I958" s="24" t="s">
        <v>3066</v>
      </c>
      <c r="J958" s="24" t="s">
        <v>781</v>
      </c>
      <c r="K958" s="24" t="s">
        <v>781</v>
      </c>
      <c r="L958" s="24" t="s">
        <v>781</v>
      </c>
      <c r="M958" s="24" t="s">
        <v>38</v>
      </c>
      <c r="N958" s="24" t="s">
        <v>39</v>
      </c>
      <c r="O958" s="25">
        <v>40936</v>
      </c>
      <c r="P958" s="24" t="s">
        <v>3067</v>
      </c>
      <c r="Q958" s="24"/>
      <c r="R958" s="24">
        <v>120</v>
      </c>
      <c r="S958" s="24" t="s">
        <v>29</v>
      </c>
    </row>
    <row r="959" spans="1:19" ht="57.75">
      <c r="A959" s="26">
        <v>104001</v>
      </c>
      <c r="B959" s="26" t="s">
        <v>87</v>
      </c>
      <c r="C959" s="26" t="s">
        <v>21</v>
      </c>
      <c r="D959" s="26" t="s">
        <v>21</v>
      </c>
      <c r="E959" s="26" t="s">
        <v>3068</v>
      </c>
      <c r="F959" s="26" t="s">
        <v>3069</v>
      </c>
      <c r="G959" s="26">
        <v>60</v>
      </c>
      <c r="H959" s="26" t="s">
        <v>5</v>
      </c>
      <c r="I959" s="26" t="s">
        <v>3066</v>
      </c>
      <c r="J959" s="26" t="s">
        <v>781</v>
      </c>
      <c r="K959" s="26" t="s">
        <v>781</v>
      </c>
      <c r="L959" s="26" t="s">
        <v>781</v>
      </c>
      <c r="M959" s="26" t="s">
        <v>38</v>
      </c>
      <c r="N959" s="26" t="s">
        <v>39</v>
      </c>
      <c r="O959" s="27">
        <v>40936</v>
      </c>
      <c r="P959" s="26" t="s">
        <v>3067</v>
      </c>
      <c r="Q959" s="26"/>
      <c r="R959" s="26">
        <v>60</v>
      </c>
      <c r="S959" s="26" t="s">
        <v>29</v>
      </c>
    </row>
    <row r="960" spans="1:19" ht="57.75">
      <c r="A960" s="26">
        <v>104002</v>
      </c>
      <c r="B960" s="26" t="s">
        <v>87</v>
      </c>
      <c r="C960" s="26" t="s">
        <v>21</v>
      </c>
      <c r="D960" s="26" t="s">
        <v>21</v>
      </c>
      <c r="E960" s="26" t="s">
        <v>3070</v>
      </c>
      <c r="F960" s="26" t="s">
        <v>3069</v>
      </c>
      <c r="G960" s="26">
        <v>60</v>
      </c>
      <c r="H960" s="26" t="s">
        <v>5</v>
      </c>
      <c r="I960" s="26" t="s">
        <v>3066</v>
      </c>
      <c r="J960" s="26" t="s">
        <v>781</v>
      </c>
      <c r="K960" s="26" t="s">
        <v>781</v>
      </c>
      <c r="L960" s="26" t="s">
        <v>781</v>
      </c>
      <c r="M960" s="26" t="s">
        <v>38</v>
      </c>
      <c r="N960" s="26" t="s">
        <v>39</v>
      </c>
      <c r="O960" s="27">
        <v>40936</v>
      </c>
      <c r="P960" s="26" t="s">
        <v>3067</v>
      </c>
      <c r="Q960" s="26"/>
      <c r="R960" s="26">
        <v>60</v>
      </c>
      <c r="S960" s="26" t="s">
        <v>29</v>
      </c>
    </row>
    <row r="961" spans="1:19">
      <c r="A961" s="28">
        <v>33600</v>
      </c>
      <c r="B961" s="28" t="s">
        <v>20</v>
      </c>
      <c r="C961" s="28" t="s">
        <v>21</v>
      </c>
      <c r="D961" s="28" t="s">
        <v>21</v>
      </c>
      <c r="E961" s="28" t="s">
        <v>157</v>
      </c>
      <c r="F961" s="28" t="s">
        <v>158</v>
      </c>
      <c r="G961" s="28">
        <v>14.5</v>
      </c>
      <c r="H961" s="28" t="s">
        <v>24</v>
      </c>
      <c r="I961" s="28" t="s">
        <v>4</v>
      </c>
      <c r="J961" s="28" t="s">
        <v>25</v>
      </c>
      <c r="K961" s="28" t="s">
        <v>25</v>
      </c>
      <c r="L961" s="28" t="s">
        <v>26</v>
      </c>
      <c r="M961" s="28" t="s">
        <v>27</v>
      </c>
      <c r="N961" s="28" t="s">
        <v>159</v>
      </c>
      <c r="O961" s="29">
        <v>6211</v>
      </c>
      <c r="P961" s="28"/>
      <c r="Q961" s="28" t="s">
        <v>129</v>
      </c>
      <c r="R961" s="28">
        <v>14.5</v>
      </c>
      <c r="S961" s="28" t="s">
        <v>29</v>
      </c>
    </row>
    <row r="962" spans="1:19">
      <c r="A962" s="28">
        <v>33700</v>
      </c>
      <c r="B962" s="28" t="s">
        <v>20</v>
      </c>
      <c r="C962" s="28" t="s">
        <v>21</v>
      </c>
      <c r="D962" s="28" t="s">
        <v>21</v>
      </c>
      <c r="E962" s="28" t="s">
        <v>1289</v>
      </c>
      <c r="F962" s="28" t="s">
        <v>1290</v>
      </c>
      <c r="G962" s="28">
        <v>3.2</v>
      </c>
      <c r="H962" s="28" t="s">
        <v>24</v>
      </c>
      <c r="I962" s="28" t="s">
        <v>4</v>
      </c>
      <c r="J962" s="28" t="s">
        <v>25</v>
      </c>
      <c r="K962" s="28" t="s">
        <v>25</v>
      </c>
      <c r="L962" s="28" t="s">
        <v>26</v>
      </c>
      <c r="M962" s="28" t="s">
        <v>27</v>
      </c>
      <c r="N962" s="28" t="s">
        <v>159</v>
      </c>
      <c r="O962" s="29">
        <v>31413</v>
      </c>
      <c r="P962" s="28"/>
      <c r="Q962" s="28" t="s">
        <v>129</v>
      </c>
      <c r="R962" s="28">
        <v>3.2</v>
      </c>
      <c r="S962" s="28" t="s">
        <v>29</v>
      </c>
    </row>
    <row r="963" spans="1:19">
      <c r="A963" s="28">
        <v>33900</v>
      </c>
      <c r="B963" s="28" t="s">
        <v>20</v>
      </c>
      <c r="C963" s="28" t="s">
        <v>21</v>
      </c>
      <c r="D963" s="28" t="s">
        <v>21</v>
      </c>
      <c r="E963" s="28" t="s">
        <v>469</v>
      </c>
      <c r="F963" s="28" t="s">
        <v>470</v>
      </c>
      <c r="G963" s="28">
        <v>60</v>
      </c>
      <c r="H963" s="28" t="s">
        <v>24</v>
      </c>
      <c r="I963" s="28" t="s">
        <v>460</v>
      </c>
      <c r="J963" s="28" t="s">
        <v>25</v>
      </c>
      <c r="K963" s="28" t="s">
        <v>25</v>
      </c>
      <c r="L963" s="28" t="s">
        <v>26</v>
      </c>
      <c r="M963" s="28" t="s">
        <v>27</v>
      </c>
      <c r="N963" s="28" t="s">
        <v>28</v>
      </c>
      <c r="O963" s="29">
        <v>23012</v>
      </c>
      <c r="P963" s="28"/>
      <c r="Q963" s="28" t="s">
        <v>461</v>
      </c>
      <c r="R963" s="28">
        <v>60</v>
      </c>
      <c r="S963" s="28" t="s">
        <v>29</v>
      </c>
    </row>
    <row r="964" spans="1:19" ht="57.75">
      <c r="A964" s="28">
        <v>58705</v>
      </c>
      <c r="B964" s="28" t="s">
        <v>20</v>
      </c>
      <c r="C964" s="28" t="s">
        <v>21</v>
      </c>
      <c r="D964" s="28" t="s">
        <v>21</v>
      </c>
      <c r="E964" s="28" t="s">
        <v>777</v>
      </c>
      <c r="F964" s="28" t="s">
        <v>778</v>
      </c>
      <c r="G964" s="28">
        <v>5.0999999999999996</v>
      </c>
      <c r="H964" s="28" t="s">
        <v>5</v>
      </c>
      <c r="I964" s="28" t="s">
        <v>768</v>
      </c>
      <c r="J964" s="28" t="s">
        <v>25</v>
      </c>
      <c r="K964" s="28" t="s">
        <v>25</v>
      </c>
      <c r="L964" s="28" t="s">
        <v>26</v>
      </c>
      <c r="M964" s="28" t="s">
        <v>38</v>
      </c>
      <c r="N964" s="28" t="s">
        <v>39</v>
      </c>
      <c r="O964" s="29">
        <v>29587</v>
      </c>
      <c r="P964" s="28" t="s">
        <v>758</v>
      </c>
      <c r="Q964" s="28"/>
      <c r="R964" s="28">
        <v>5.0999999999999996</v>
      </c>
      <c r="S964" s="28" t="s">
        <v>29</v>
      </c>
    </row>
    <row r="965" spans="1:19">
      <c r="A965" s="28">
        <v>34000</v>
      </c>
      <c r="B965" s="28" t="s">
        <v>20</v>
      </c>
      <c r="C965" s="28" t="s">
        <v>21</v>
      </c>
      <c r="D965" s="28" t="s">
        <v>21</v>
      </c>
      <c r="E965" s="28" t="s">
        <v>2545</v>
      </c>
      <c r="F965" s="28" t="s">
        <v>2546</v>
      </c>
      <c r="G965" s="28">
        <v>46</v>
      </c>
      <c r="H965" s="28" t="s">
        <v>24</v>
      </c>
      <c r="I965" s="28" t="s">
        <v>2547</v>
      </c>
      <c r="J965" s="28" t="s">
        <v>295</v>
      </c>
      <c r="K965" s="28" t="s">
        <v>580</v>
      </c>
      <c r="L965" s="28" t="s">
        <v>240</v>
      </c>
      <c r="M965" s="28" t="s">
        <v>27</v>
      </c>
      <c r="N965" s="28" t="s">
        <v>28</v>
      </c>
      <c r="O965" s="29">
        <v>37463</v>
      </c>
      <c r="P965" s="28"/>
      <c r="Q965" s="28"/>
      <c r="R965" s="28">
        <v>49.9</v>
      </c>
      <c r="S965" s="28" t="s">
        <v>29</v>
      </c>
    </row>
    <row r="966" spans="1:19">
      <c r="A966" s="28">
        <v>34100</v>
      </c>
      <c r="B966" s="28" t="s">
        <v>87</v>
      </c>
      <c r="C966" s="28" t="s">
        <v>30</v>
      </c>
      <c r="D966" s="28" t="s">
        <v>21</v>
      </c>
      <c r="E966" s="28" t="s">
        <v>2027</v>
      </c>
      <c r="F966" s="28" t="s">
        <v>2028</v>
      </c>
      <c r="G966" s="28">
        <v>118.32</v>
      </c>
      <c r="H966" s="28" t="s">
        <v>5</v>
      </c>
      <c r="I966" s="28">
        <v>2071</v>
      </c>
      <c r="J966" s="28" t="s">
        <v>694</v>
      </c>
      <c r="K966" s="28" t="s">
        <v>366</v>
      </c>
      <c r="L966" s="28" t="s">
        <v>928</v>
      </c>
      <c r="M966" s="28" t="s">
        <v>38</v>
      </c>
      <c r="N966" s="28" t="s">
        <v>39</v>
      </c>
      <c r="O966" s="29">
        <v>33136</v>
      </c>
      <c r="P966" s="28"/>
      <c r="Q966" s="28"/>
      <c r="R966" s="28">
        <v>96</v>
      </c>
      <c r="S966" s="28" t="s">
        <v>29</v>
      </c>
    </row>
    <row r="967" spans="1:19">
      <c r="A967" s="28">
        <v>60600</v>
      </c>
      <c r="B967" s="28" t="s">
        <v>87</v>
      </c>
      <c r="C967" s="28" t="s">
        <v>30</v>
      </c>
      <c r="D967" s="28" t="s">
        <v>21</v>
      </c>
      <c r="E967" s="28" t="s">
        <v>1767</v>
      </c>
      <c r="F967" s="28" t="s">
        <v>1768</v>
      </c>
      <c r="G967" s="28">
        <v>2.58</v>
      </c>
      <c r="H967" s="28" t="s">
        <v>143</v>
      </c>
      <c r="I967" s="28">
        <v>162</v>
      </c>
      <c r="J967" s="28" t="s">
        <v>694</v>
      </c>
      <c r="K967" s="28" t="s">
        <v>366</v>
      </c>
      <c r="L967" s="28" t="s">
        <v>712</v>
      </c>
      <c r="M967" s="28" t="s">
        <v>38</v>
      </c>
      <c r="N967" s="28" t="s">
        <v>144</v>
      </c>
      <c r="O967" s="29">
        <v>32509</v>
      </c>
      <c r="P967" s="28"/>
      <c r="Q967" s="28"/>
      <c r="R967" s="28">
        <v>2.58</v>
      </c>
      <c r="S967" s="28" t="s">
        <v>29</v>
      </c>
    </row>
    <row r="968" spans="1:19">
      <c r="A968" s="28">
        <v>34200</v>
      </c>
      <c r="B968" s="28" t="s">
        <v>87</v>
      </c>
      <c r="C968" s="28" t="s">
        <v>30</v>
      </c>
      <c r="D968" s="28" t="s">
        <v>21</v>
      </c>
      <c r="E968" s="28" t="s">
        <v>1690</v>
      </c>
      <c r="F968" s="28" t="s">
        <v>1691</v>
      </c>
      <c r="G968" s="28">
        <v>12.5</v>
      </c>
      <c r="H968" s="28" t="s">
        <v>24</v>
      </c>
      <c r="I968" s="28" t="s">
        <v>1692</v>
      </c>
      <c r="J968" s="28" t="s">
        <v>694</v>
      </c>
      <c r="K968" s="28"/>
      <c r="L968" s="28" t="s">
        <v>240</v>
      </c>
      <c r="M968" s="28" t="s">
        <v>27</v>
      </c>
      <c r="N968" s="28" t="s">
        <v>28</v>
      </c>
      <c r="O968" s="29">
        <v>32297</v>
      </c>
      <c r="P968" s="28"/>
      <c r="Q968" s="28"/>
      <c r="R968" s="28">
        <v>12.5</v>
      </c>
      <c r="S968" s="28" t="s">
        <v>29</v>
      </c>
    </row>
    <row r="969" spans="1:19" ht="29.25">
      <c r="A969" s="28">
        <v>83400</v>
      </c>
      <c r="B969" s="28" t="s">
        <v>87</v>
      </c>
      <c r="C969" s="28" t="s">
        <v>21</v>
      </c>
      <c r="D969" s="28" t="s">
        <v>21</v>
      </c>
      <c r="E969" s="28" t="s">
        <v>2622</v>
      </c>
      <c r="F969" s="28" t="s">
        <v>2623</v>
      </c>
      <c r="G969" s="28">
        <v>43</v>
      </c>
      <c r="H969" s="28" t="s">
        <v>5</v>
      </c>
      <c r="I969" s="28" t="s">
        <v>2624</v>
      </c>
      <c r="J969" s="28" t="s">
        <v>295</v>
      </c>
      <c r="K969" s="28" t="s">
        <v>580</v>
      </c>
      <c r="L969" s="28" t="s">
        <v>240</v>
      </c>
      <c r="M969" s="28" t="s">
        <v>38</v>
      </c>
      <c r="N969" s="28" t="s">
        <v>39</v>
      </c>
      <c r="O969" s="29">
        <v>37799</v>
      </c>
      <c r="P969" s="28"/>
      <c r="Q969" s="28"/>
      <c r="R969" s="28">
        <v>43</v>
      </c>
      <c r="S969" s="28" t="s">
        <v>29</v>
      </c>
    </row>
    <row r="970" spans="1:19" ht="29.25">
      <c r="A970" s="28">
        <v>34400</v>
      </c>
      <c r="B970" s="28" t="s">
        <v>87</v>
      </c>
      <c r="C970" s="28" t="s">
        <v>30</v>
      </c>
      <c r="D970" s="28" t="s">
        <v>21</v>
      </c>
      <c r="E970" s="28" t="s">
        <v>2006</v>
      </c>
      <c r="F970" s="28" t="s">
        <v>2007</v>
      </c>
      <c r="G970" s="28">
        <v>7.48</v>
      </c>
      <c r="H970" s="28" t="s">
        <v>24</v>
      </c>
      <c r="I970" s="28" t="s">
        <v>2008</v>
      </c>
      <c r="J970" s="28" t="s">
        <v>694</v>
      </c>
      <c r="K970" s="28"/>
      <c r="L970" s="28" t="s">
        <v>240</v>
      </c>
      <c r="M970" s="28" t="s">
        <v>27</v>
      </c>
      <c r="N970" s="28" t="s">
        <v>28</v>
      </c>
      <c r="O970" s="29">
        <v>32976</v>
      </c>
      <c r="P970" s="28"/>
      <c r="Q970" s="28"/>
      <c r="R970" s="28">
        <v>7.48</v>
      </c>
      <c r="S970" s="28" t="s">
        <v>29</v>
      </c>
    </row>
    <row r="971" spans="1:19">
      <c r="A971" s="28">
        <v>34500</v>
      </c>
      <c r="B971" s="28" t="s">
        <v>87</v>
      </c>
      <c r="C971" s="28" t="s">
        <v>30</v>
      </c>
      <c r="D971" s="28" t="s">
        <v>21</v>
      </c>
      <c r="E971" s="28" t="s">
        <v>1194</v>
      </c>
      <c r="F971" s="28" t="s">
        <v>1195</v>
      </c>
      <c r="G971" s="28">
        <v>12.5</v>
      </c>
      <c r="H971" s="28" t="s">
        <v>24</v>
      </c>
      <c r="I971" s="28" t="s">
        <v>1196</v>
      </c>
      <c r="J971" s="28" t="s">
        <v>781</v>
      </c>
      <c r="K971" s="28" t="s">
        <v>781</v>
      </c>
      <c r="L971" s="28" t="s">
        <v>781</v>
      </c>
      <c r="M971" s="28" t="s">
        <v>27</v>
      </c>
      <c r="N971" s="28" t="s">
        <v>28</v>
      </c>
      <c r="O971" s="29">
        <v>31153</v>
      </c>
      <c r="P971" s="28"/>
      <c r="Q971" s="28"/>
      <c r="R971" s="28">
        <v>56.2</v>
      </c>
      <c r="S971" s="28" t="s">
        <v>29</v>
      </c>
    </row>
    <row r="972" spans="1:19" ht="29.25">
      <c r="A972" s="24">
        <v>34600</v>
      </c>
      <c r="B972" s="24" t="s">
        <v>87</v>
      </c>
      <c r="C972" s="24" t="s">
        <v>30</v>
      </c>
      <c r="D972" s="24" t="s">
        <v>30</v>
      </c>
      <c r="E972" s="24" t="s">
        <v>1156</v>
      </c>
      <c r="F972" s="24" t="s">
        <v>1157</v>
      </c>
      <c r="G972" s="24">
        <v>55</v>
      </c>
      <c r="H972" s="24" t="s">
        <v>24</v>
      </c>
      <c r="I972" s="24" t="s">
        <v>1158</v>
      </c>
      <c r="J972" s="24" t="s">
        <v>781</v>
      </c>
      <c r="K972" s="24" t="s">
        <v>781</v>
      </c>
      <c r="L972" s="24" t="s">
        <v>781</v>
      </c>
      <c r="M972" s="24" t="s">
        <v>27</v>
      </c>
      <c r="N972" s="24" t="s">
        <v>28</v>
      </c>
      <c r="O972" s="25">
        <v>31048</v>
      </c>
      <c r="P972" s="24"/>
      <c r="Q972" s="24"/>
      <c r="R972" s="24">
        <v>55</v>
      </c>
      <c r="S972" s="24" t="s">
        <v>29</v>
      </c>
    </row>
    <row r="973" spans="1:19">
      <c r="A973" s="26">
        <v>34602</v>
      </c>
      <c r="B973" s="26" t="s">
        <v>87</v>
      </c>
      <c r="C973" s="26" t="s">
        <v>30</v>
      </c>
      <c r="D973" s="26" t="s">
        <v>21</v>
      </c>
      <c r="E973" s="26"/>
      <c r="F973" s="26" t="s">
        <v>1473</v>
      </c>
      <c r="G973" s="26">
        <v>18.96</v>
      </c>
      <c r="H973" s="26" t="s">
        <v>24</v>
      </c>
      <c r="I973" s="26" t="s">
        <v>1474</v>
      </c>
      <c r="J973" s="26" t="s">
        <v>781</v>
      </c>
      <c r="K973" s="26" t="s">
        <v>781</v>
      </c>
      <c r="L973" s="26" t="s">
        <v>781</v>
      </c>
      <c r="M973" s="26" t="s">
        <v>27</v>
      </c>
      <c r="N973" s="26" t="s">
        <v>28</v>
      </c>
      <c r="O973" s="27">
        <v>31778</v>
      </c>
      <c r="P973" s="26"/>
      <c r="Q973" s="26"/>
      <c r="R973" s="26">
        <v>18.96</v>
      </c>
      <c r="S973" s="26" t="s">
        <v>29</v>
      </c>
    </row>
    <row r="974" spans="1:19" ht="29.25">
      <c r="A974" s="26">
        <v>34605</v>
      </c>
      <c r="B974" s="26" t="s">
        <v>87</v>
      </c>
      <c r="C974" s="26" t="s">
        <v>30</v>
      </c>
      <c r="D974" s="26" t="s">
        <v>21</v>
      </c>
      <c r="E974" s="26"/>
      <c r="F974" s="26" t="s">
        <v>3204</v>
      </c>
      <c r="G974" s="26">
        <v>4</v>
      </c>
      <c r="H974" s="26" t="s">
        <v>24</v>
      </c>
      <c r="I974" s="26" t="s">
        <v>3205</v>
      </c>
      <c r="J974" s="26" t="s">
        <v>781</v>
      </c>
      <c r="K974" s="26" t="s">
        <v>781</v>
      </c>
      <c r="L974" s="26" t="s">
        <v>781</v>
      </c>
      <c r="M974" s="26" t="s">
        <v>27</v>
      </c>
      <c r="N974" s="26" t="s">
        <v>28</v>
      </c>
      <c r="O974" s="26" t="s">
        <v>4687</v>
      </c>
      <c r="P974" s="26"/>
      <c r="Q974" s="26"/>
      <c r="R974" s="26">
        <v>4</v>
      </c>
      <c r="S974" s="26" t="s">
        <v>29</v>
      </c>
    </row>
    <row r="975" spans="1:19">
      <c r="A975" s="26">
        <v>34604</v>
      </c>
      <c r="B975" s="26" t="s">
        <v>87</v>
      </c>
      <c r="C975" s="26" t="s">
        <v>30</v>
      </c>
      <c r="D975" s="26" t="s">
        <v>21</v>
      </c>
      <c r="E975" s="26"/>
      <c r="F975" s="26" t="s">
        <v>1475</v>
      </c>
      <c r="G975" s="26">
        <v>18.989999999999998</v>
      </c>
      <c r="H975" s="26" t="s">
        <v>24</v>
      </c>
      <c r="I975" s="26" t="s">
        <v>1476</v>
      </c>
      <c r="J975" s="26" t="s">
        <v>781</v>
      </c>
      <c r="K975" s="26" t="s">
        <v>781</v>
      </c>
      <c r="L975" s="26" t="s">
        <v>781</v>
      </c>
      <c r="M975" s="26" t="s">
        <v>27</v>
      </c>
      <c r="N975" s="26" t="s">
        <v>28</v>
      </c>
      <c r="O975" s="27">
        <v>31778</v>
      </c>
      <c r="P975" s="26"/>
      <c r="Q975" s="26"/>
      <c r="R975" s="26">
        <v>18.989999999999998</v>
      </c>
      <c r="S975" s="26" t="s">
        <v>29</v>
      </c>
    </row>
    <row r="976" spans="1:19">
      <c r="A976" s="26">
        <v>34603</v>
      </c>
      <c r="B976" s="26" t="s">
        <v>87</v>
      </c>
      <c r="C976" s="26" t="s">
        <v>30</v>
      </c>
      <c r="D976" s="26" t="s">
        <v>21</v>
      </c>
      <c r="E976" s="26"/>
      <c r="F976" s="26" t="s">
        <v>1192</v>
      </c>
      <c r="G976" s="26">
        <v>12.97</v>
      </c>
      <c r="H976" s="26" t="s">
        <v>24</v>
      </c>
      <c r="I976" s="26" t="s">
        <v>1193</v>
      </c>
      <c r="J976" s="26" t="s">
        <v>781</v>
      </c>
      <c r="K976" s="26" t="s">
        <v>781</v>
      </c>
      <c r="L976" s="26" t="s">
        <v>781</v>
      </c>
      <c r="M976" s="26" t="s">
        <v>27</v>
      </c>
      <c r="N976" s="26" t="s">
        <v>28</v>
      </c>
      <c r="O976" s="27">
        <v>31148</v>
      </c>
      <c r="P976" s="26"/>
      <c r="Q976" s="26"/>
      <c r="R976" s="26">
        <v>12.97</v>
      </c>
      <c r="S976" s="26" t="s">
        <v>29</v>
      </c>
    </row>
    <row r="977" spans="1:19" ht="29.25">
      <c r="A977" s="28">
        <v>34700</v>
      </c>
      <c r="B977" s="28" t="s">
        <v>87</v>
      </c>
      <c r="C977" s="28" t="s">
        <v>30</v>
      </c>
      <c r="D977" s="28" t="s">
        <v>21</v>
      </c>
      <c r="E977" s="28" t="s">
        <v>999</v>
      </c>
      <c r="F977" s="28" t="s">
        <v>1000</v>
      </c>
      <c r="G977" s="28">
        <v>11.5</v>
      </c>
      <c r="H977" s="28" t="s">
        <v>24</v>
      </c>
      <c r="I977" s="28" t="s">
        <v>1001</v>
      </c>
      <c r="J977" s="28" t="s">
        <v>781</v>
      </c>
      <c r="K977" s="28" t="s">
        <v>781</v>
      </c>
      <c r="L977" s="28" t="s">
        <v>781</v>
      </c>
      <c r="M977" s="28" t="s">
        <v>27</v>
      </c>
      <c r="N977" s="28" t="s">
        <v>28</v>
      </c>
      <c r="O977" s="29">
        <v>30682</v>
      </c>
      <c r="P977" s="28"/>
      <c r="Q977" s="28"/>
      <c r="R977" s="28">
        <v>11.5</v>
      </c>
      <c r="S977" s="28" t="s">
        <v>29</v>
      </c>
    </row>
    <row r="978" spans="1:19" ht="29.25">
      <c r="A978" s="24">
        <v>35300</v>
      </c>
      <c r="B978" s="24" t="s">
        <v>87</v>
      </c>
      <c r="C978" s="24" t="s">
        <v>30</v>
      </c>
      <c r="D978" s="24" t="s">
        <v>30</v>
      </c>
      <c r="E978" s="24" t="s">
        <v>804</v>
      </c>
      <c r="F978" s="24" t="s">
        <v>805</v>
      </c>
      <c r="G978" s="24">
        <v>346.03</v>
      </c>
      <c r="H978" s="24" t="s">
        <v>5</v>
      </c>
      <c r="I978" s="24" t="s">
        <v>90</v>
      </c>
      <c r="J978" s="24" t="s">
        <v>781</v>
      </c>
      <c r="K978" s="24" t="s">
        <v>781</v>
      </c>
      <c r="L978" s="24" t="s">
        <v>781</v>
      </c>
      <c r="M978" s="24" t="s">
        <v>38</v>
      </c>
      <c r="N978" s="24" t="s">
        <v>39</v>
      </c>
      <c r="O978" s="25">
        <v>29952</v>
      </c>
      <c r="P978" s="24"/>
      <c r="Q978" s="24"/>
      <c r="R978" s="24">
        <v>346.03</v>
      </c>
      <c r="S978" s="24" t="s">
        <v>29</v>
      </c>
    </row>
    <row r="979" spans="1:19" ht="29.25">
      <c r="A979" s="26">
        <v>35301</v>
      </c>
      <c r="B979" s="26" t="s">
        <v>87</v>
      </c>
      <c r="C979" s="26" t="s">
        <v>30</v>
      </c>
      <c r="D979" s="26" t="s">
        <v>21</v>
      </c>
      <c r="E979" s="26"/>
      <c r="F979" s="26" t="s">
        <v>841</v>
      </c>
      <c r="G979" s="26"/>
      <c r="H979" s="26" t="s">
        <v>5</v>
      </c>
      <c r="I979" s="26">
        <v>6011</v>
      </c>
      <c r="J979" s="26" t="s">
        <v>781</v>
      </c>
      <c r="K979" s="26" t="s">
        <v>781</v>
      </c>
      <c r="L979" s="26" t="s">
        <v>781</v>
      </c>
      <c r="M979" s="26" t="s">
        <v>38</v>
      </c>
      <c r="N979" s="26" t="s">
        <v>39</v>
      </c>
      <c r="O979" s="27">
        <v>30306</v>
      </c>
      <c r="P979" s="26"/>
      <c r="Q979" s="26"/>
      <c r="R979" s="26">
        <v>5.22</v>
      </c>
      <c r="S979" s="26" t="s">
        <v>29</v>
      </c>
    </row>
    <row r="980" spans="1:19" ht="29.25">
      <c r="A980" s="26">
        <v>35328</v>
      </c>
      <c r="B980" s="26" t="s">
        <v>87</v>
      </c>
      <c r="C980" s="26" t="s">
        <v>30</v>
      </c>
      <c r="D980" s="26" t="s">
        <v>21</v>
      </c>
      <c r="E980" s="26"/>
      <c r="F980" s="26" t="s">
        <v>1231</v>
      </c>
      <c r="G980" s="26"/>
      <c r="H980" s="26" t="s">
        <v>5</v>
      </c>
      <c r="I980" s="26">
        <v>6042</v>
      </c>
      <c r="J980" s="26" t="s">
        <v>781</v>
      </c>
      <c r="K980" s="26" t="s">
        <v>781</v>
      </c>
      <c r="L980" s="26" t="s">
        <v>781</v>
      </c>
      <c r="M980" s="26" t="s">
        <v>38</v>
      </c>
      <c r="N980" s="26" t="s">
        <v>39</v>
      </c>
      <c r="O980" s="27">
        <v>31337</v>
      </c>
      <c r="P980" s="26"/>
      <c r="Q980" s="26"/>
      <c r="R980" s="26">
        <v>6.02</v>
      </c>
      <c r="S980" s="26" t="s">
        <v>29</v>
      </c>
    </row>
    <row r="981" spans="1:19" ht="29.25">
      <c r="A981" s="26">
        <v>35303</v>
      </c>
      <c r="B981" s="26" t="s">
        <v>87</v>
      </c>
      <c r="C981" s="26" t="s">
        <v>30</v>
      </c>
      <c r="D981" s="26" t="s">
        <v>21</v>
      </c>
      <c r="E981" s="26"/>
      <c r="F981" s="26" t="s">
        <v>2073</v>
      </c>
      <c r="G981" s="26"/>
      <c r="H981" s="26" t="s">
        <v>5</v>
      </c>
      <c r="I981" s="26">
        <v>6236</v>
      </c>
      <c r="J981" s="26" t="s">
        <v>781</v>
      </c>
      <c r="K981" s="26" t="s">
        <v>781</v>
      </c>
      <c r="L981" s="26" t="s">
        <v>781</v>
      </c>
      <c r="M981" s="26" t="s">
        <v>38</v>
      </c>
      <c r="N981" s="26" t="s">
        <v>39</v>
      </c>
      <c r="O981" s="27">
        <v>33326</v>
      </c>
      <c r="P981" s="26"/>
      <c r="Q981" s="26"/>
      <c r="R981" s="26">
        <v>21.78</v>
      </c>
      <c r="S981" s="26" t="s">
        <v>29</v>
      </c>
    </row>
    <row r="982" spans="1:19">
      <c r="A982" s="26">
        <v>35304</v>
      </c>
      <c r="B982" s="26" t="s">
        <v>87</v>
      </c>
      <c r="C982" s="26" t="s">
        <v>30</v>
      </c>
      <c r="D982" s="26" t="s">
        <v>21</v>
      </c>
      <c r="E982" s="26"/>
      <c r="F982" s="26" t="s">
        <v>1109</v>
      </c>
      <c r="G982" s="26"/>
      <c r="H982" s="26" t="s">
        <v>5</v>
      </c>
      <c r="I982" s="26">
        <v>6060</v>
      </c>
      <c r="J982" s="26" t="s">
        <v>781</v>
      </c>
      <c r="K982" s="26" t="s">
        <v>781</v>
      </c>
      <c r="L982" s="26" t="s">
        <v>781</v>
      </c>
      <c r="M982" s="26" t="s">
        <v>38</v>
      </c>
      <c r="N982" s="26" t="s">
        <v>39</v>
      </c>
      <c r="O982" s="27">
        <v>31046</v>
      </c>
      <c r="P982" s="26"/>
      <c r="Q982" s="26"/>
      <c r="R982" s="26">
        <v>8.7100000000000009</v>
      </c>
      <c r="S982" s="26" t="s">
        <v>29</v>
      </c>
    </row>
    <row r="983" spans="1:19">
      <c r="A983" s="26">
        <v>35306</v>
      </c>
      <c r="B983" s="26" t="s">
        <v>87</v>
      </c>
      <c r="C983" s="26" t="s">
        <v>30</v>
      </c>
      <c r="D983" s="26" t="s">
        <v>21</v>
      </c>
      <c r="E983" s="26"/>
      <c r="F983" s="26" t="s">
        <v>1089</v>
      </c>
      <c r="G983" s="26"/>
      <c r="H983" s="26" t="s">
        <v>5</v>
      </c>
      <c r="I983" s="26">
        <v>6057</v>
      </c>
      <c r="J983" s="26" t="s">
        <v>781</v>
      </c>
      <c r="K983" s="26" t="s">
        <v>781</v>
      </c>
      <c r="L983" s="26" t="s">
        <v>781</v>
      </c>
      <c r="M983" s="26" t="s">
        <v>38</v>
      </c>
      <c r="N983" s="26" t="s">
        <v>39</v>
      </c>
      <c r="O983" s="27">
        <v>31003</v>
      </c>
      <c r="P983" s="26"/>
      <c r="Q983" s="26"/>
      <c r="R983" s="26">
        <v>47.02</v>
      </c>
      <c r="S983" s="26" t="s">
        <v>29</v>
      </c>
    </row>
    <row r="984" spans="1:19">
      <c r="A984" s="26">
        <v>35307</v>
      </c>
      <c r="B984" s="26" t="s">
        <v>87</v>
      </c>
      <c r="C984" s="26" t="s">
        <v>30</v>
      </c>
      <c r="D984" s="26" t="s">
        <v>21</v>
      </c>
      <c r="E984" s="26"/>
      <c r="F984" s="26" t="s">
        <v>1259</v>
      </c>
      <c r="G984" s="26"/>
      <c r="H984" s="26" t="s">
        <v>5</v>
      </c>
      <c r="I984" s="26">
        <v>6091</v>
      </c>
      <c r="J984" s="26" t="s">
        <v>781</v>
      </c>
      <c r="K984" s="26" t="s">
        <v>781</v>
      </c>
      <c r="L984" s="26" t="s">
        <v>781</v>
      </c>
      <c r="M984" s="26" t="s">
        <v>38</v>
      </c>
      <c r="N984" s="26" t="s">
        <v>39</v>
      </c>
      <c r="O984" s="27">
        <v>31412</v>
      </c>
      <c r="P984" s="26"/>
      <c r="Q984" s="26"/>
      <c r="R984" s="26">
        <v>12.66</v>
      </c>
      <c r="S984" s="26" t="s">
        <v>29</v>
      </c>
    </row>
    <row r="985" spans="1:19" ht="29.25">
      <c r="A985" s="26">
        <v>35302</v>
      </c>
      <c r="B985" s="26" t="s">
        <v>87</v>
      </c>
      <c r="C985" s="26" t="s">
        <v>30</v>
      </c>
      <c r="D985" s="26" t="s">
        <v>21</v>
      </c>
      <c r="E985" s="26"/>
      <c r="F985" s="26" t="s">
        <v>1250</v>
      </c>
      <c r="G985" s="26"/>
      <c r="H985" s="26" t="s">
        <v>5</v>
      </c>
      <c r="I985" s="26">
        <v>6097</v>
      </c>
      <c r="J985" s="26" t="s">
        <v>781</v>
      </c>
      <c r="K985" s="26" t="s">
        <v>781</v>
      </c>
      <c r="L985" s="26" t="s">
        <v>781</v>
      </c>
      <c r="M985" s="26" t="s">
        <v>38</v>
      </c>
      <c r="N985" s="26" t="s">
        <v>39</v>
      </c>
      <c r="O985" s="27">
        <v>31408</v>
      </c>
      <c r="P985" s="26"/>
      <c r="Q985" s="26"/>
      <c r="R985" s="26">
        <v>7.78</v>
      </c>
      <c r="S985" s="26" t="s">
        <v>29</v>
      </c>
    </row>
    <row r="986" spans="1:19" ht="29.25">
      <c r="A986" s="26">
        <v>35327</v>
      </c>
      <c r="B986" s="26" t="s">
        <v>87</v>
      </c>
      <c r="C986" s="26" t="s">
        <v>30</v>
      </c>
      <c r="D986" s="26" t="s">
        <v>21</v>
      </c>
      <c r="E986" s="26"/>
      <c r="F986" s="26" t="s">
        <v>1094</v>
      </c>
      <c r="G986" s="26"/>
      <c r="H986" s="26" t="s">
        <v>5</v>
      </c>
      <c r="I986" s="26">
        <v>6041</v>
      </c>
      <c r="J986" s="26" t="s">
        <v>781</v>
      </c>
      <c r="K986" s="26" t="s">
        <v>781</v>
      </c>
      <c r="L986" s="26" t="s">
        <v>781</v>
      </c>
      <c r="M986" s="26" t="s">
        <v>38</v>
      </c>
      <c r="N986" s="26" t="s">
        <v>39</v>
      </c>
      <c r="O986" s="27">
        <v>31017</v>
      </c>
      <c r="P986" s="26"/>
      <c r="Q986" s="26"/>
      <c r="R986" s="26">
        <v>5.96</v>
      </c>
      <c r="S986" s="26" t="s">
        <v>29</v>
      </c>
    </row>
    <row r="987" spans="1:19">
      <c r="A987" s="26">
        <v>35309</v>
      </c>
      <c r="B987" s="26" t="s">
        <v>87</v>
      </c>
      <c r="C987" s="26" t="s">
        <v>30</v>
      </c>
      <c r="D987" s="26" t="s">
        <v>21</v>
      </c>
      <c r="E987" s="26"/>
      <c r="F987" s="26" t="s">
        <v>1243</v>
      </c>
      <c r="G987" s="26"/>
      <c r="H987" s="26" t="s">
        <v>5</v>
      </c>
      <c r="I987" s="26">
        <v>6055</v>
      </c>
      <c r="J987" s="26" t="s">
        <v>781</v>
      </c>
      <c r="K987" s="26" t="s">
        <v>781</v>
      </c>
      <c r="L987" s="26" t="s">
        <v>781</v>
      </c>
      <c r="M987" s="26" t="s">
        <v>38</v>
      </c>
      <c r="N987" s="26" t="s">
        <v>39</v>
      </c>
      <c r="O987" s="27">
        <v>31387</v>
      </c>
      <c r="P987" s="26"/>
      <c r="Q987" s="26"/>
      <c r="R987" s="26">
        <v>3</v>
      </c>
      <c r="S987" s="26" t="s">
        <v>29</v>
      </c>
    </row>
    <row r="988" spans="1:19" ht="29.25">
      <c r="A988" s="26">
        <v>35310</v>
      </c>
      <c r="B988" s="26" t="s">
        <v>87</v>
      </c>
      <c r="C988" s="26" t="s">
        <v>30</v>
      </c>
      <c r="D988" s="26" t="s">
        <v>21</v>
      </c>
      <c r="E988" s="26"/>
      <c r="F988" s="26" t="s">
        <v>1387</v>
      </c>
      <c r="G988" s="26"/>
      <c r="H988" s="26" t="s">
        <v>5</v>
      </c>
      <c r="I988" s="26">
        <v>6089</v>
      </c>
      <c r="J988" s="26" t="s">
        <v>781</v>
      </c>
      <c r="K988" s="26" t="s">
        <v>781</v>
      </c>
      <c r="L988" s="26" t="s">
        <v>781</v>
      </c>
      <c r="M988" s="26" t="s">
        <v>38</v>
      </c>
      <c r="N988" s="26" t="s">
        <v>39</v>
      </c>
      <c r="O988" s="27">
        <v>31524</v>
      </c>
      <c r="P988" s="26"/>
      <c r="Q988" s="26"/>
      <c r="R988" s="26">
        <v>13.78</v>
      </c>
      <c r="S988" s="26" t="s">
        <v>29</v>
      </c>
    </row>
    <row r="989" spans="1:19">
      <c r="A989" s="26">
        <v>35312</v>
      </c>
      <c r="B989" s="26" t="s">
        <v>87</v>
      </c>
      <c r="C989" s="26" t="s">
        <v>30</v>
      </c>
      <c r="D989" s="26" t="s">
        <v>21</v>
      </c>
      <c r="E989" s="26"/>
      <c r="F989" s="26" t="s">
        <v>820</v>
      </c>
      <c r="G989" s="26"/>
      <c r="H989" s="26" t="s">
        <v>5</v>
      </c>
      <c r="I989" s="26">
        <v>6006</v>
      </c>
      <c r="J989" s="26" t="s">
        <v>781</v>
      </c>
      <c r="K989" s="26" t="s">
        <v>781</v>
      </c>
      <c r="L989" s="26" t="s">
        <v>781</v>
      </c>
      <c r="M989" s="26" t="s">
        <v>38</v>
      </c>
      <c r="N989" s="26" t="s">
        <v>39</v>
      </c>
      <c r="O989" s="27">
        <v>30126</v>
      </c>
      <c r="P989" s="26"/>
      <c r="Q989" s="26"/>
      <c r="R989" s="26">
        <v>4</v>
      </c>
      <c r="S989" s="26" t="s">
        <v>29</v>
      </c>
    </row>
    <row r="990" spans="1:19" ht="29.25">
      <c r="A990" s="26">
        <v>35313</v>
      </c>
      <c r="B990" s="26" t="s">
        <v>87</v>
      </c>
      <c r="C990" s="26" t="s">
        <v>30</v>
      </c>
      <c r="D990" s="26" t="s">
        <v>21</v>
      </c>
      <c r="E990" s="26"/>
      <c r="F990" s="26" t="s">
        <v>1350</v>
      </c>
      <c r="G990" s="26"/>
      <c r="H990" s="26" t="s">
        <v>5</v>
      </c>
      <c r="I990" s="26">
        <v>6234</v>
      </c>
      <c r="J990" s="26" t="s">
        <v>781</v>
      </c>
      <c r="K990" s="26" t="s">
        <v>781</v>
      </c>
      <c r="L990" s="26" t="s">
        <v>781</v>
      </c>
      <c r="M990" s="26" t="s">
        <v>38</v>
      </c>
      <c r="N990" s="26" t="s">
        <v>39</v>
      </c>
      <c r="O990" s="27">
        <v>31453</v>
      </c>
      <c r="P990" s="26"/>
      <c r="Q990" s="26"/>
      <c r="R990" s="26">
        <v>27.92</v>
      </c>
      <c r="S990" s="26" t="s">
        <v>29</v>
      </c>
    </row>
    <row r="991" spans="1:19">
      <c r="A991" s="26">
        <v>35315</v>
      </c>
      <c r="B991" s="26" t="s">
        <v>87</v>
      </c>
      <c r="C991" s="26" t="s">
        <v>30</v>
      </c>
      <c r="D991" s="26" t="s">
        <v>21</v>
      </c>
      <c r="E991" s="26"/>
      <c r="F991" s="26" t="s">
        <v>982</v>
      </c>
      <c r="G991" s="26"/>
      <c r="H991" s="26" t="s">
        <v>5</v>
      </c>
      <c r="I991" s="26">
        <v>6024</v>
      </c>
      <c r="J991" s="26" t="s">
        <v>781</v>
      </c>
      <c r="K991" s="26" t="s">
        <v>781</v>
      </c>
      <c r="L991" s="26" t="s">
        <v>781</v>
      </c>
      <c r="M991" s="26" t="s">
        <v>38</v>
      </c>
      <c r="N991" s="26" t="s">
        <v>39</v>
      </c>
      <c r="O991" s="27">
        <v>30681</v>
      </c>
      <c r="P991" s="26"/>
      <c r="Q991" s="26"/>
      <c r="R991" s="26">
        <v>64.959999999999994</v>
      </c>
      <c r="S991" s="26" t="s">
        <v>29</v>
      </c>
    </row>
    <row r="992" spans="1:19" ht="29.25">
      <c r="A992" s="26">
        <v>35317</v>
      </c>
      <c r="B992" s="26" t="s">
        <v>87</v>
      </c>
      <c r="C992" s="26" t="s">
        <v>30</v>
      </c>
      <c r="D992" s="26" t="s">
        <v>21</v>
      </c>
      <c r="E992" s="26"/>
      <c r="F992" s="26" t="s">
        <v>1060</v>
      </c>
      <c r="G992" s="26"/>
      <c r="H992" s="26" t="s">
        <v>5</v>
      </c>
      <c r="I992" s="26">
        <v>6034</v>
      </c>
      <c r="J992" s="26" t="s">
        <v>781</v>
      </c>
      <c r="K992" s="26" t="s">
        <v>781</v>
      </c>
      <c r="L992" s="26" t="s">
        <v>781</v>
      </c>
      <c r="M992" s="26" t="s">
        <v>38</v>
      </c>
      <c r="N992" s="26" t="s">
        <v>39</v>
      </c>
      <c r="O992" s="27">
        <v>30838</v>
      </c>
      <c r="P992" s="26"/>
      <c r="Q992" s="26"/>
      <c r="R992" s="26">
        <v>0</v>
      </c>
      <c r="S992" s="26" t="s">
        <v>29</v>
      </c>
    </row>
    <row r="993" spans="1:19" ht="43.5">
      <c r="A993" s="26">
        <v>35318</v>
      </c>
      <c r="B993" s="26" t="s">
        <v>87</v>
      </c>
      <c r="C993" s="26" t="s">
        <v>30</v>
      </c>
      <c r="D993" s="26" t="s">
        <v>21</v>
      </c>
      <c r="E993" s="26"/>
      <c r="F993" s="26" t="s">
        <v>959</v>
      </c>
      <c r="G993" s="26"/>
      <c r="H993" s="26" t="s">
        <v>5</v>
      </c>
      <c r="I993" s="26">
        <v>4013</v>
      </c>
      <c r="J993" s="26" t="s">
        <v>25</v>
      </c>
      <c r="K993" s="26" t="s">
        <v>25</v>
      </c>
      <c r="L993" s="26" t="s">
        <v>26</v>
      </c>
      <c r="M993" s="26" t="s">
        <v>38</v>
      </c>
      <c r="N993" s="26" t="s">
        <v>39</v>
      </c>
      <c r="O993" s="27">
        <v>30590</v>
      </c>
      <c r="P993" s="26"/>
      <c r="Q993" s="26"/>
      <c r="R993" s="26">
        <v>0.04</v>
      </c>
      <c r="S993" s="26" t="s">
        <v>29</v>
      </c>
    </row>
    <row r="994" spans="1:19" ht="29.25">
      <c r="A994" s="26">
        <v>35319</v>
      </c>
      <c r="B994" s="26" t="s">
        <v>87</v>
      </c>
      <c r="C994" s="26" t="s">
        <v>30</v>
      </c>
      <c r="D994" s="26" t="s">
        <v>21</v>
      </c>
      <c r="E994" s="26"/>
      <c r="F994" s="26" t="s">
        <v>1440</v>
      </c>
      <c r="G994" s="26"/>
      <c r="H994" s="26" t="s">
        <v>5</v>
      </c>
      <c r="I994" s="26">
        <v>6037</v>
      </c>
      <c r="J994" s="26" t="s">
        <v>781</v>
      </c>
      <c r="K994" s="26" t="s">
        <v>781</v>
      </c>
      <c r="L994" s="26" t="s">
        <v>781</v>
      </c>
      <c r="M994" s="26" t="s">
        <v>38</v>
      </c>
      <c r="N994" s="26" t="s">
        <v>39</v>
      </c>
      <c r="O994" s="27">
        <v>31761</v>
      </c>
      <c r="P994" s="26"/>
      <c r="Q994" s="26"/>
      <c r="R994" s="26">
        <v>55.55</v>
      </c>
      <c r="S994" s="26" t="s">
        <v>29</v>
      </c>
    </row>
    <row r="995" spans="1:19">
      <c r="A995" s="26">
        <v>35320</v>
      </c>
      <c r="B995" s="26" t="s">
        <v>87</v>
      </c>
      <c r="C995" s="26" t="s">
        <v>30</v>
      </c>
      <c r="D995" s="26" t="s">
        <v>21</v>
      </c>
      <c r="E995" s="26"/>
      <c r="F995" s="26" t="s">
        <v>1178</v>
      </c>
      <c r="G995" s="26"/>
      <c r="H995" s="26" t="s">
        <v>5</v>
      </c>
      <c r="I995" s="26">
        <v>6054</v>
      </c>
      <c r="J995" s="26" t="s">
        <v>781</v>
      </c>
      <c r="K995" s="26" t="s">
        <v>781</v>
      </c>
      <c r="L995" s="26" t="s">
        <v>781</v>
      </c>
      <c r="M995" s="26" t="s">
        <v>38</v>
      </c>
      <c r="N995" s="26" t="s">
        <v>39</v>
      </c>
      <c r="O995" s="27">
        <v>31072</v>
      </c>
      <c r="P995" s="26"/>
      <c r="Q995" s="26"/>
      <c r="R995" s="26">
        <v>0</v>
      </c>
      <c r="S995" s="26" t="s">
        <v>29</v>
      </c>
    </row>
    <row r="996" spans="1:19" ht="29.25">
      <c r="A996" s="26">
        <v>35321</v>
      </c>
      <c r="B996" s="26" t="s">
        <v>87</v>
      </c>
      <c r="C996" s="26" t="s">
        <v>30</v>
      </c>
      <c r="D996" s="26" t="s">
        <v>21</v>
      </c>
      <c r="E996" s="26"/>
      <c r="F996" s="26" t="s">
        <v>1213</v>
      </c>
      <c r="G996" s="26"/>
      <c r="H996" s="26" t="s">
        <v>5</v>
      </c>
      <c r="I996" s="26">
        <v>6061</v>
      </c>
      <c r="J996" s="26" t="s">
        <v>781</v>
      </c>
      <c r="K996" s="26" t="s">
        <v>781</v>
      </c>
      <c r="L996" s="26" t="s">
        <v>781</v>
      </c>
      <c r="M996" s="26" t="s">
        <v>38</v>
      </c>
      <c r="N996" s="26" t="s">
        <v>39</v>
      </c>
      <c r="O996" s="27">
        <v>31199</v>
      </c>
      <c r="P996" s="26"/>
      <c r="Q996" s="26"/>
      <c r="R996" s="26">
        <v>2.73</v>
      </c>
      <c r="S996" s="26" t="s">
        <v>29</v>
      </c>
    </row>
    <row r="997" spans="1:19">
      <c r="A997" s="26">
        <v>35322</v>
      </c>
      <c r="B997" s="26" t="s">
        <v>87</v>
      </c>
      <c r="C997" s="26" t="s">
        <v>30</v>
      </c>
      <c r="D997" s="26" t="s">
        <v>21</v>
      </c>
      <c r="E997" s="26"/>
      <c r="F997" s="26" t="s">
        <v>842</v>
      </c>
      <c r="G997" s="26"/>
      <c r="H997" s="26" t="s">
        <v>5</v>
      </c>
      <c r="I997" s="26">
        <v>6012</v>
      </c>
      <c r="J997" s="26" t="s">
        <v>781</v>
      </c>
      <c r="K997" s="26" t="s">
        <v>781</v>
      </c>
      <c r="L997" s="26" t="s">
        <v>781</v>
      </c>
      <c r="M997" s="26" t="s">
        <v>38</v>
      </c>
      <c r="N997" s="26" t="s">
        <v>39</v>
      </c>
      <c r="O997" s="27">
        <v>30313</v>
      </c>
      <c r="P997" s="26"/>
      <c r="Q997" s="26"/>
      <c r="R997" s="26">
        <v>2.4</v>
      </c>
      <c r="S997" s="26" t="s">
        <v>29</v>
      </c>
    </row>
    <row r="998" spans="1:19">
      <c r="A998" s="26">
        <v>35323</v>
      </c>
      <c r="B998" s="26" t="s">
        <v>87</v>
      </c>
      <c r="C998" s="26" t="s">
        <v>30</v>
      </c>
      <c r="D998" s="26" t="s">
        <v>21</v>
      </c>
      <c r="E998" s="26"/>
      <c r="F998" s="26" t="s">
        <v>968</v>
      </c>
      <c r="G998" s="26"/>
      <c r="H998" s="26" t="s">
        <v>5</v>
      </c>
      <c r="I998" s="26">
        <v>6019</v>
      </c>
      <c r="J998" s="26" t="s">
        <v>781</v>
      </c>
      <c r="K998" s="26" t="s">
        <v>781</v>
      </c>
      <c r="L998" s="26" t="s">
        <v>781</v>
      </c>
      <c r="M998" s="26" t="s">
        <v>38</v>
      </c>
      <c r="N998" s="26" t="s">
        <v>39</v>
      </c>
      <c r="O998" s="27">
        <v>30651</v>
      </c>
      <c r="P998" s="26"/>
      <c r="Q998" s="26"/>
      <c r="R998" s="26">
        <v>3.5</v>
      </c>
      <c r="S998" s="26" t="s">
        <v>29</v>
      </c>
    </row>
    <row r="999" spans="1:19" ht="29.25">
      <c r="A999" s="26">
        <v>35324</v>
      </c>
      <c r="B999" s="26" t="s">
        <v>87</v>
      </c>
      <c r="C999" s="26" t="s">
        <v>30</v>
      </c>
      <c r="D999" s="26" t="s">
        <v>21</v>
      </c>
      <c r="E999" s="26"/>
      <c r="F999" s="26" t="s">
        <v>1341</v>
      </c>
      <c r="G999" s="26"/>
      <c r="H999" s="26" t="s">
        <v>5</v>
      </c>
      <c r="I999" s="26">
        <v>6111</v>
      </c>
      <c r="J999" s="26" t="s">
        <v>781</v>
      </c>
      <c r="K999" s="26" t="s">
        <v>781</v>
      </c>
      <c r="L999" s="26" t="s">
        <v>781</v>
      </c>
      <c r="M999" s="26" t="s">
        <v>38</v>
      </c>
      <c r="N999" s="26" t="s">
        <v>39</v>
      </c>
      <c r="O999" s="27">
        <v>31436</v>
      </c>
      <c r="P999" s="26"/>
      <c r="Q999" s="26"/>
      <c r="R999" s="26">
        <v>6.32</v>
      </c>
      <c r="S999" s="26" t="s">
        <v>29</v>
      </c>
    </row>
    <row r="1000" spans="1:19" ht="29.25">
      <c r="A1000" s="26">
        <v>35325</v>
      </c>
      <c r="B1000" s="26" t="s">
        <v>87</v>
      </c>
      <c r="C1000" s="26" t="s">
        <v>30</v>
      </c>
      <c r="D1000" s="26" t="s">
        <v>21</v>
      </c>
      <c r="E1000" s="26"/>
      <c r="F1000" s="26" t="s">
        <v>1038</v>
      </c>
      <c r="G1000" s="26"/>
      <c r="H1000" s="26" t="s">
        <v>5</v>
      </c>
      <c r="I1000" s="26">
        <v>6039</v>
      </c>
      <c r="J1000" s="26" t="s">
        <v>781</v>
      </c>
      <c r="K1000" s="26" t="s">
        <v>781</v>
      </c>
      <c r="L1000" s="26" t="s">
        <v>781</v>
      </c>
      <c r="M1000" s="26" t="s">
        <v>38</v>
      </c>
      <c r="N1000" s="26" t="s">
        <v>39</v>
      </c>
      <c r="O1000" s="27">
        <v>30713</v>
      </c>
      <c r="P1000" s="26"/>
      <c r="Q1000" s="26"/>
      <c r="R1000" s="26">
        <v>6.23</v>
      </c>
      <c r="S1000" s="26" t="s">
        <v>29</v>
      </c>
    </row>
    <row r="1001" spans="1:19" ht="29.25">
      <c r="A1001" s="26">
        <v>35326</v>
      </c>
      <c r="B1001" s="26" t="s">
        <v>87</v>
      </c>
      <c r="C1001" s="26" t="s">
        <v>30</v>
      </c>
      <c r="D1001" s="26" t="s">
        <v>21</v>
      </c>
      <c r="E1001" s="26"/>
      <c r="F1001" s="26" t="s">
        <v>1073</v>
      </c>
      <c r="G1001" s="26"/>
      <c r="H1001" s="26" t="s">
        <v>5</v>
      </c>
      <c r="I1001" s="26">
        <v>6040</v>
      </c>
      <c r="J1001" s="26" t="s">
        <v>781</v>
      </c>
      <c r="K1001" s="26" t="s">
        <v>781</v>
      </c>
      <c r="L1001" s="26" t="s">
        <v>781</v>
      </c>
      <c r="M1001" s="26" t="s">
        <v>38</v>
      </c>
      <c r="N1001" s="26" t="s">
        <v>39</v>
      </c>
      <c r="O1001" s="27">
        <v>30926</v>
      </c>
      <c r="P1001" s="26"/>
      <c r="Q1001" s="26"/>
      <c r="R1001" s="26">
        <v>6.9</v>
      </c>
      <c r="S1001" s="26" t="s">
        <v>29</v>
      </c>
    </row>
    <row r="1002" spans="1:19">
      <c r="A1002" s="26">
        <v>35311</v>
      </c>
      <c r="B1002" s="26" t="s">
        <v>20</v>
      </c>
      <c r="C1002" s="26" t="s">
        <v>30</v>
      </c>
      <c r="D1002" s="26" t="s">
        <v>21</v>
      </c>
      <c r="E1002" s="26" t="s">
        <v>965</v>
      </c>
      <c r="F1002" s="26" t="s">
        <v>966</v>
      </c>
      <c r="G1002" s="26">
        <v>7.5</v>
      </c>
      <c r="H1002" s="26" t="s">
        <v>5</v>
      </c>
      <c r="I1002" s="26" t="s">
        <v>967</v>
      </c>
      <c r="J1002" s="26" t="s">
        <v>781</v>
      </c>
      <c r="K1002" s="26" t="s">
        <v>781</v>
      </c>
      <c r="L1002" s="26" t="s">
        <v>781</v>
      </c>
      <c r="M1002" s="26" t="s">
        <v>38</v>
      </c>
      <c r="N1002" s="26" t="s">
        <v>39</v>
      </c>
      <c r="O1002" s="27">
        <v>30651</v>
      </c>
      <c r="P1002" s="26" t="s">
        <v>969</v>
      </c>
      <c r="Q1002" s="26"/>
      <c r="R1002" s="26">
        <v>7.5</v>
      </c>
      <c r="S1002" s="26" t="s">
        <v>29</v>
      </c>
    </row>
    <row r="1003" spans="1:19">
      <c r="A1003" s="26">
        <v>35308</v>
      </c>
      <c r="B1003" s="26" t="s">
        <v>87</v>
      </c>
      <c r="C1003" s="26" t="s">
        <v>30</v>
      </c>
      <c r="D1003" s="26" t="s">
        <v>21</v>
      </c>
      <c r="E1003" s="26"/>
      <c r="F1003" s="26" t="s">
        <v>1631</v>
      </c>
      <c r="G1003" s="26"/>
      <c r="H1003" s="26" t="s">
        <v>5</v>
      </c>
      <c r="I1003" s="26">
        <v>6092</v>
      </c>
      <c r="J1003" s="26" t="s">
        <v>781</v>
      </c>
      <c r="K1003" s="26" t="s">
        <v>781</v>
      </c>
      <c r="L1003" s="26" t="s">
        <v>781</v>
      </c>
      <c r="M1003" s="26" t="s">
        <v>38</v>
      </c>
      <c r="N1003" s="26" t="s">
        <v>39</v>
      </c>
      <c r="O1003" s="27">
        <v>32143</v>
      </c>
      <c r="P1003" s="26"/>
      <c r="Q1003" s="26"/>
      <c r="R1003" s="26">
        <v>27.98</v>
      </c>
      <c r="S1003" s="26" t="s">
        <v>29</v>
      </c>
    </row>
    <row r="1004" spans="1:19" ht="29.25">
      <c r="A1004" s="28">
        <v>35400</v>
      </c>
      <c r="B1004" s="28" t="s">
        <v>87</v>
      </c>
      <c r="C1004" s="28" t="s">
        <v>30</v>
      </c>
      <c r="D1004" s="28" t="s">
        <v>21</v>
      </c>
      <c r="E1004" s="28"/>
      <c r="F1004" s="28" t="s">
        <v>1795</v>
      </c>
      <c r="G1004" s="28">
        <v>7.0000000000000007E-2</v>
      </c>
      <c r="H1004" s="28" t="s">
        <v>5</v>
      </c>
      <c r="I1004" s="28">
        <v>2344</v>
      </c>
      <c r="J1004" s="28" t="s">
        <v>694</v>
      </c>
      <c r="K1004" s="28"/>
      <c r="L1004" s="28"/>
      <c r="M1004" s="28" t="s">
        <v>38</v>
      </c>
      <c r="N1004" s="28" t="s">
        <v>39</v>
      </c>
      <c r="O1004" s="29">
        <v>32531</v>
      </c>
      <c r="P1004" s="28"/>
      <c r="Q1004" s="28"/>
      <c r="R1004" s="28">
        <v>7.0000000000000007E-2</v>
      </c>
      <c r="S1004" s="28" t="s">
        <v>29</v>
      </c>
    </row>
    <row r="1005" spans="1:19" ht="29.25">
      <c r="A1005" s="28">
        <v>35500</v>
      </c>
      <c r="B1005" s="28" t="s">
        <v>87</v>
      </c>
      <c r="C1005" s="28" t="s">
        <v>30</v>
      </c>
      <c r="D1005" s="28" t="s">
        <v>21</v>
      </c>
      <c r="E1005" s="28" t="s">
        <v>874</v>
      </c>
      <c r="F1005" s="28" t="s">
        <v>875</v>
      </c>
      <c r="G1005" s="28">
        <v>34.5</v>
      </c>
      <c r="H1005" s="28" t="s">
        <v>24</v>
      </c>
      <c r="I1005" s="28" t="s">
        <v>876</v>
      </c>
      <c r="J1005" s="28" t="s">
        <v>781</v>
      </c>
      <c r="K1005" s="28" t="s">
        <v>781</v>
      </c>
      <c r="L1005" s="28" t="s">
        <v>781</v>
      </c>
      <c r="M1005" s="28" t="s">
        <v>27</v>
      </c>
      <c r="N1005" s="28" t="s">
        <v>28</v>
      </c>
      <c r="O1005" s="29">
        <v>30317</v>
      </c>
      <c r="P1005" s="28"/>
      <c r="Q1005" s="28"/>
      <c r="R1005" s="28">
        <v>34.5</v>
      </c>
      <c r="S1005" s="28" t="s">
        <v>29</v>
      </c>
    </row>
    <row r="1006" spans="1:19">
      <c r="A1006" s="28">
        <v>35700</v>
      </c>
      <c r="B1006" s="28" t="s">
        <v>87</v>
      </c>
      <c r="C1006" s="28" t="s">
        <v>30</v>
      </c>
      <c r="D1006" s="28" t="s">
        <v>21</v>
      </c>
      <c r="E1006" s="28" t="s">
        <v>347</v>
      </c>
      <c r="F1006" s="28" t="s">
        <v>348</v>
      </c>
      <c r="G1006" s="28">
        <v>2.5</v>
      </c>
      <c r="H1006" s="28" t="s">
        <v>5</v>
      </c>
      <c r="I1006" s="28" t="s">
        <v>349</v>
      </c>
      <c r="J1006" s="28" t="s">
        <v>25</v>
      </c>
      <c r="K1006" s="28" t="s">
        <v>25</v>
      </c>
      <c r="L1006" s="28" t="s">
        <v>26</v>
      </c>
      <c r="M1006" s="28" t="s">
        <v>38</v>
      </c>
      <c r="N1006" s="28" t="s">
        <v>39</v>
      </c>
      <c r="O1006" s="29">
        <v>17899</v>
      </c>
      <c r="P1006" s="28"/>
      <c r="Q1006" s="28"/>
      <c r="R1006" s="28">
        <v>2.5</v>
      </c>
      <c r="S1006" s="28" t="s">
        <v>29</v>
      </c>
    </row>
    <row r="1007" spans="1:19">
      <c r="A1007" s="28">
        <v>35800</v>
      </c>
      <c r="B1007" s="28" t="s">
        <v>87</v>
      </c>
      <c r="C1007" s="28" t="s">
        <v>30</v>
      </c>
      <c r="D1007" s="28" t="s">
        <v>21</v>
      </c>
      <c r="E1007" s="28"/>
      <c r="F1007" s="28" t="s">
        <v>2187</v>
      </c>
      <c r="G1007" s="28">
        <v>6.1</v>
      </c>
      <c r="H1007" s="28" t="s">
        <v>5</v>
      </c>
      <c r="I1007" s="28">
        <v>2462</v>
      </c>
      <c r="J1007" s="28" t="s">
        <v>694</v>
      </c>
      <c r="K1007" s="28"/>
      <c r="L1007" s="28" t="s">
        <v>240</v>
      </c>
      <c r="M1007" s="28" t="s">
        <v>38</v>
      </c>
      <c r="N1007" s="28" t="s">
        <v>39</v>
      </c>
      <c r="O1007" s="29">
        <v>34751</v>
      </c>
      <c r="P1007" s="28"/>
      <c r="Q1007" s="28"/>
      <c r="R1007" s="28">
        <v>6.1</v>
      </c>
      <c r="S1007" s="28" t="s">
        <v>29</v>
      </c>
    </row>
    <row r="1008" spans="1:19">
      <c r="A1008" s="28">
        <v>35900</v>
      </c>
      <c r="B1008" s="28" t="s">
        <v>87</v>
      </c>
      <c r="C1008" s="28" t="s">
        <v>30</v>
      </c>
      <c r="D1008" s="28" t="s">
        <v>21</v>
      </c>
      <c r="E1008" s="28" t="s">
        <v>2074</v>
      </c>
      <c r="F1008" s="28" t="s">
        <v>2075</v>
      </c>
      <c r="G1008" s="28">
        <v>55.3</v>
      </c>
      <c r="H1008" s="28" t="s">
        <v>24</v>
      </c>
      <c r="I1008" s="28" t="s">
        <v>2076</v>
      </c>
      <c r="J1008" s="28" t="s">
        <v>694</v>
      </c>
      <c r="K1008" s="28"/>
      <c r="L1008" s="28" t="s">
        <v>240</v>
      </c>
      <c r="M1008" s="28" t="s">
        <v>193</v>
      </c>
      <c r="N1008" s="28" t="s">
        <v>194</v>
      </c>
      <c r="O1008" s="29">
        <v>33329</v>
      </c>
      <c r="P1008" s="28"/>
      <c r="Q1008" s="28"/>
      <c r="R1008" s="28">
        <v>55.3</v>
      </c>
      <c r="S1008" s="28" t="s">
        <v>29</v>
      </c>
    </row>
    <row r="1009" spans="1:19" ht="29.25">
      <c r="A1009" s="28">
        <v>36100</v>
      </c>
      <c r="B1009" s="28" t="s">
        <v>87</v>
      </c>
      <c r="C1009" s="28" t="s">
        <v>30</v>
      </c>
      <c r="D1009" s="28" t="s">
        <v>21</v>
      </c>
      <c r="E1009" s="28" t="s">
        <v>1616</v>
      </c>
      <c r="F1009" s="28" t="s">
        <v>1617</v>
      </c>
      <c r="G1009" s="28">
        <v>2.5</v>
      </c>
      <c r="H1009" s="28" t="s">
        <v>24</v>
      </c>
      <c r="I1009" s="28" t="s">
        <v>1618</v>
      </c>
      <c r="J1009" s="28" t="s">
        <v>25</v>
      </c>
      <c r="K1009" s="28" t="s">
        <v>25</v>
      </c>
      <c r="L1009" s="28" t="s">
        <v>26</v>
      </c>
      <c r="M1009" s="28" t="s">
        <v>27</v>
      </c>
      <c r="N1009" s="28" t="s">
        <v>28</v>
      </c>
      <c r="O1009" s="29">
        <v>32121</v>
      </c>
      <c r="P1009" s="28" t="s">
        <v>1619</v>
      </c>
      <c r="Q1009" s="28"/>
      <c r="R1009" s="28">
        <v>2.5</v>
      </c>
      <c r="S1009" s="28" t="s">
        <v>29</v>
      </c>
    </row>
    <row r="1010" spans="1:19" ht="29.25">
      <c r="A1010" s="24">
        <v>36300</v>
      </c>
      <c r="B1010" s="24" t="s">
        <v>87</v>
      </c>
      <c r="C1010" s="24" t="s">
        <v>30</v>
      </c>
      <c r="D1010" s="24" t="s">
        <v>30</v>
      </c>
      <c r="E1010" s="24" t="s">
        <v>2160</v>
      </c>
      <c r="F1010" s="24" t="s">
        <v>2161</v>
      </c>
      <c r="G1010" s="24">
        <v>0.2</v>
      </c>
      <c r="H1010" s="24" t="s">
        <v>5</v>
      </c>
      <c r="I1010" s="24" t="s">
        <v>90</v>
      </c>
      <c r="J1010" s="24" t="s">
        <v>90</v>
      </c>
      <c r="K1010" s="24"/>
      <c r="L1010" s="24"/>
      <c r="M1010" s="24" t="s">
        <v>38</v>
      </c>
      <c r="N1010" s="24" t="s">
        <v>39</v>
      </c>
      <c r="O1010" s="25">
        <v>34335</v>
      </c>
      <c r="P1010" s="24"/>
      <c r="Q1010" s="24"/>
      <c r="R1010" s="24">
        <v>0.37</v>
      </c>
      <c r="S1010" s="24" t="s">
        <v>29</v>
      </c>
    </row>
    <row r="1011" spans="1:19">
      <c r="A1011" s="26">
        <v>36302</v>
      </c>
      <c r="B1011" s="26" t="s">
        <v>87</v>
      </c>
      <c r="C1011" s="26" t="s">
        <v>30</v>
      </c>
      <c r="D1011" s="26" t="s">
        <v>21</v>
      </c>
      <c r="E1011" s="26"/>
      <c r="F1011" s="26" t="s">
        <v>1220</v>
      </c>
      <c r="G1011" s="26"/>
      <c r="H1011" s="26" t="s">
        <v>5</v>
      </c>
      <c r="I1011" s="26">
        <v>4054</v>
      </c>
      <c r="J1011" s="26" t="s">
        <v>25</v>
      </c>
      <c r="K1011" s="26"/>
      <c r="L1011" s="26"/>
      <c r="M1011" s="26" t="s">
        <v>38</v>
      </c>
      <c r="N1011" s="26" t="s">
        <v>39</v>
      </c>
      <c r="O1011" s="27">
        <v>31228</v>
      </c>
      <c r="P1011" s="26"/>
      <c r="Q1011" s="26"/>
      <c r="R1011" s="26">
        <v>0.2</v>
      </c>
      <c r="S1011" s="26" t="s">
        <v>29</v>
      </c>
    </row>
    <row r="1012" spans="1:19" ht="29.25">
      <c r="A1012" s="28">
        <v>36400</v>
      </c>
      <c r="B1012" s="28" t="s">
        <v>87</v>
      </c>
      <c r="C1012" s="28" t="s">
        <v>30</v>
      </c>
      <c r="D1012" s="28" t="s">
        <v>21</v>
      </c>
      <c r="E1012" s="28"/>
      <c r="F1012" s="28" t="s">
        <v>1705</v>
      </c>
      <c r="G1012" s="28">
        <v>7.0000000000000007E-2</v>
      </c>
      <c r="H1012" s="28" t="s">
        <v>5</v>
      </c>
      <c r="I1012" s="28">
        <v>2355</v>
      </c>
      <c r="J1012" s="28" t="s">
        <v>694</v>
      </c>
      <c r="K1012" s="28"/>
      <c r="L1012" s="28"/>
      <c r="M1012" s="28" t="s">
        <v>38</v>
      </c>
      <c r="N1012" s="28" t="s">
        <v>39</v>
      </c>
      <c r="O1012" s="29">
        <v>32325</v>
      </c>
      <c r="P1012" s="28"/>
      <c r="Q1012" s="28"/>
      <c r="R1012" s="28">
        <v>7.0000000000000007E-2</v>
      </c>
      <c r="S1012" s="28" t="s">
        <v>29</v>
      </c>
    </row>
    <row r="1013" spans="1:19">
      <c r="A1013" s="28">
        <v>36500</v>
      </c>
      <c r="B1013" s="28" t="s">
        <v>87</v>
      </c>
      <c r="C1013" s="28" t="s">
        <v>30</v>
      </c>
      <c r="D1013" s="28" t="s">
        <v>21</v>
      </c>
      <c r="E1013" s="28" t="s">
        <v>2189</v>
      </c>
      <c r="F1013" s="28" t="s">
        <v>2190</v>
      </c>
      <c r="G1013" s="28">
        <v>55.3</v>
      </c>
      <c r="H1013" s="28" t="s">
        <v>24</v>
      </c>
      <c r="I1013" s="28" t="s">
        <v>2191</v>
      </c>
      <c r="J1013" s="28" t="s">
        <v>694</v>
      </c>
      <c r="K1013" s="28"/>
      <c r="L1013" s="28" t="s">
        <v>240</v>
      </c>
      <c r="M1013" s="28" t="s">
        <v>193</v>
      </c>
      <c r="N1013" s="28" t="s">
        <v>194</v>
      </c>
      <c r="O1013" s="29">
        <v>34792</v>
      </c>
      <c r="P1013" s="28"/>
      <c r="Q1013" s="28"/>
      <c r="R1013" s="28">
        <v>55.3</v>
      </c>
      <c r="S1013" s="28" t="s">
        <v>29</v>
      </c>
    </row>
    <row r="1014" spans="1:19">
      <c r="A1014" s="28">
        <v>2600</v>
      </c>
      <c r="B1014" s="28" t="s">
        <v>87</v>
      </c>
      <c r="C1014" s="28" t="s">
        <v>30</v>
      </c>
      <c r="D1014" s="28" t="s">
        <v>21</v>
      </c>
      <c r="E1014" s="28" t="s">
        <v>1291</v>
      </c>
      <c r="F1014" s="28" t="s">
        <v>1292</v>
      </c>
      <c r="G1014" s="28">
        <v>17</v>
      </c>
      <c r="H1014" s="28" t="s">
        <v>24</v>
      </c>
      <c r="I1014" s="28" t="s">
        <v>1293</v>
      </c>
      <c r="J1014" s="28" t="s">
        <v>694</v>
      </c>
      <c r="K1014" s="28" t="s">
        <v>580</v>
      </c>
      <c r="L1014" s="28" t="s">
        <v>240</v>
      </c>
      <c r="M1014" s="28" t="s">
        <v>193</v>
      </c>
      <c r="N1014" s="28" t="s">
        <v>194</v>
      </c>
      <c r="O1014" s="29">
        <v>31413</v>
      </c>
      <c r="P1014" s="28"/>
      <c r="Q1014" s="28"/>
      <c r="R1014" s="28">
        <v>6</v>
      </c>
      <c r="S1014" s="28" t="s">
        <v>29</v>
      </c>
    </row>
    <row r="1015" spans="1:19">
      <c r="A1015" s="28">
        <v>2700</v>
      </c>
      <c r="B1015" s="28" t="s">
        <v>87</v>
      </c>
      <c r="C1015" s="28" t="s">
        <v>30</v>
      </c>
      <c r="D1015" s="28" t="s">
        <v>21</v>
      </c>
      <c r="E1015" s="28" t="s">
        <v>1294</v>
      </c>
      <c r="F1015" s="28" t="s">
        <v>1295</v>
      </c>
      <c r="G1015" s="28">
        <v>38</v>
      </c>
      <c r="H1015" s="28" t="s">
        <v>24</v>
      </c>
      <c r="I1015" s="28" t="s">
        <v>1296</v>
      </c>
      <c r="J1015" s="28" t="s">
        <v>694</v>
      </c>
      <c r="K1015" s="28" t="s">
        <v>580</v>
      </c>
      <c r="L1015" s="28" t="s">
        <v>240</v>
      </c>
      <c r="M1015" s="28" t="s">
        <v>193</v>
      </c>
      <c r="N1015" s="28" t="s">
        <v>194</v>
      </c>
      <c r="O1015" s="29">
        <v>31413</v>
      </c>
      <c r="P1015" s="28"/>
      <c r="Q1015" s="28"/>
      <c r="R1015" s="28">
        <v>37.200000000000003</v>
      </c>
      <c r="S1015" s="28" t="s">
        <v>29</v>
      </c>
    </row>
    <row r="1016" spans="1:19">
      <c r="A1016" s="28">
        <v>36700</v>
      </c>
      <c r="B1016" s="28" t="s">
        <v>87</v>
      </c>
      <c r="C1016" s="28" t="s">
        <v>30</v>
      </c>
      <c r="D1016" s="28" t="s">
        <v>21</v>
      </c>
      <c r="E1016" s="28"/>
      <c r="F1016" s="28" t="s">
        <v>2151</v>
      </c>
      <c r="G1016" s="28">
        <v>0.04</v>
      </c>
      <c r="H1016" s="28" t="s">
        <v>5</v>
      </c>
      <c r="I1016" s="28">
        <v>2458</v>
      </c>
      <c r="J1016" s="28" t="s">
        <v>694</v>
      </c>
      <c r="K1016" s="28"/>
      <c r="L1016" s="28"/>
      <c r="M1016" s="28" t="s">
        <v>38</v>
      </c>
      <c r="N1016" s="28" t="s">
        <v>39</v>
      </c>
      <c r="O1016" s="29">
        <v>34291</v>
      </c>
      <c r="P1016" s="28"/>
      <c r="Q1016" s="28"/>
      <c r="R1016" s="28">
        <v>0.04</v>
      </c>
      <c r="S1016" s="28" t="s">
        <v>29</v>
      </c>
    </row>
    <row r="1017" spans="1:19">
      <c r="A1017" s="28">
        <v>36800</v>
      </c>
      <c r="B1017" s="28" t="s">
        <v>87</v>
      </c>
      <c r="C1017" s="28" t="s">
        <v>30</v>
      </c>
      <c r="D1017" s="28" t="s">
        <v>21</v>
      </c>
      <c r="E1017" s="28"/>
      <c r="F1017" s="28" t="s">
        <v>2188</v>
      </c>
      <c r="G1017" s="28">
        <v>0.04</v>
      </c>
      <c r="H1017" s="28" t="s">
        <v>5</v>
      </c>
      <c r="I1017" s="28">
        <v>2471</v>
      </c>
      <c r="J1017" s="28" t="s">
        <v>694</v>
      </c>
      <c r="K1017" s="28"/>
      <c r="L1017" s="28"/>
      <c r="M1017" s="28" t="s">
        <v>38</v>
      </c>
      <c r="N1017" s="28" t="s">
        <v>39</v>
      </c>
      <c r="O1017" s="29">
        <v>34759</v>
      </c>
      <c r="P1017" s="28"/>
      <c r="Q1017" s="28"/>
      <c r="R1017" s="28">
        <v>0.09</v>
      </c>
      <c r="S1017" s="28" t="s">
        <v>29</v>
      </c>
    </row>
    <row r="1018" spans="1:19" ht="29.25">
      <c r="A1018" s="24">
        <v>42900</v>
      </c>
      <c r="B1018" s="24" t="s">
        <v>87</v>
      </c>
      <c r="C1018" s="24" t="s">
        <v>30</v>
      </c>
      <c r="D1018" s="24" t="s">
        <v>30</v>
      </c>
      <c r="E1018" s="24" t="s">
        <v>1741</v>
      </c>
      <c r="F1018" s="24" t="s">
        <v>4538</v>
      </c>
      <c r="G1018" s="24">
        <v>100.73</v>
      </c>
      <c r="H1018" s="24" t="s">
        <v>5</v>
      </c>
      <c r="I1018" s="24">
        <v>3030</v>
      </c>
      <c r="J1018" s="24" t="s">
        <v>644</v>
      </c>
      <c r="K1018" s="24" t="s">
        <v>366</v>
      </c>
      <c r="L1018" s="24" t="s">
        <v>644</v>
      </c>
      <c r="M1018" s="24" t="s">
        <v>38</v>
      </c>
      <c r="N1018" s="24" t="s">
        <v>39</v>
      </c>
      <c r="O1018" s="25">
        <v>32482</v>
      </c>
      <c r="P1018" s="24"/>
      <c r="Q1018" s="24"/>
      <c r="R1018" s="24">
        <v>67.5</v>
      </c>
      <c r="S1018" s="24" t="s">
        <v>29</v>
      </c>
    </row>
    <row r="1019" spans="1:19" ht="29.25">
      <c r="A1019" s="26">
        <v>42901</v>
      </c>
      <c r="B1019" s="26" t="s">
        <v>87</v>
      </c>
      <c r="C1019" s="26" t="s">
        <v>30</v>
      </c>
      <c r="D1019" s="26" t="s">
        <v>21</v>
      </c>
      <c r="E1019" s="26" t="s">
        <v>1742</v>
      </c>
      <c r="F1019" s="26" t="s">
        <v>1743</v>
      </c>
      <c r="G1019" s="26">
        <v>24</v>
      </c>
      <c r="H1019" s="26" t="s">
        <v>5</v>
      </c>
      <c r="I1019" s="26"/>
      <c r="J1019" s="26" t="s">
        <v>644</v>
      </c>
      <c r="K1019" s="26" t="s">
        <v>366</v>
      </c>
      <c r="L1019" s="26" t="s">
        <v>644</v>
      </c>
      <c r="M1019" s="26" t="s">
        <v>38</v>
      </c>
      <c r="N1019" s="26" t="s">
        <v>39</v>
      </c>
      <c r="O1019" s="27">
        <v>32482</v>
      </c>
      <c r="P1019" s="26"/>
      <c r="Q1019" s="26"/>
      <c r="R1019" s="26">
        <v>24</v>
      </c>
      <c r="S1019" s="26" t="s">
        <v>29</v>
      </c>
    </row>
    <row r="1020" spans="1:19" ht="29.25">
      <c r="A1020" s="26">
        <v>42902</v>
      </c>
      <c r="B1020" s="26" t="s">
        <v>87</v>
      </c>
      <c r="C1020" s="26" t="s">
        <v>30</v>
      </c>
      <c r="D1020" s="26" t="s">
        <v>21</v>
      </c>
      <c r="E1020" s="26" t="s">
        <v>1744</v>
      </c>
      <c r="F1020" s="26" t="s">
        <v>1745</v>
      </c>
      <c r="G1020" s="26">
        <v>30</v>
      </c>
      <c r="H1020" s="26" t="s">
        <v>5</v>
      </c>
      <c r="I1020" s="26"/>
      <c r="J1020" s="26" t="s">
        <v>644</v>
      </c>
      <c r="K1020" s="26" t="s">
        <v>366</v>
      </c>
      <c r="L1020" s="26" t="s">
        <v>644</v>
      </c>
      <c r="M1020" s="26" t="s">
        <v>38</v>
      </c>
      <c r="N1020" s="26" t="s">
        <v>39</v>
      </c>
      <c r="O1020" s="27">
        <v>32482</v>
      </c>
      <c r="P1020" s="26"/>
      <c r="Q1020" s="26"/>
      <c r="R1020" s="26">
        <v>24</v>
      </c>
      <c r="S1020" s="26" t="s">
        <v>29</v>
      </c>
    </row>
    <row r="1021" spans="1:19" ht="29.25">
      <c r="A1021" s="26">
        <v>42903</v>
      </c>
      <c r="B1021" s="26" t="s">
        <v>87</v>
      </c>
      <c r="C1021" s="26" t="s">
        <v>30</v>
      </c>
      <c r="D1021" s="26" t="s">
        <v>21</v>
      </c>
      <c r="E1021" s="26" t="s">
        <v>1746</v>
      </c>
      <c r="F1021" s="26" t="s">
        <v>1747</v>
      </c>
      <c r="G1021" s="26">
        <v>24</v>
      </c>
      <c r="H1021" s="26" t="s">
        <v>5</v>
      </c>
      <c r="I1021" s="26"/>
      <c r="J1021" s="26" t="s">
        <v>644</v>
      </c>
      <c r="K1021" s="26" t="s">
        <v>366</v>
      </c>
      <c r="L1021" s="26" t="s">
        <v>644</v>
      </c>
      <c r="M1021" s="26" t="s">
        <v>38</v>
      </c>
      <c r="N1021" s="26" t="s">
        <v>39</v>
      </c>
      <c r="O1021" s="27">
        <v>32482</v>
      </c>
      <c r="P1021" s="26"/>
      <c r="Q1021" s="26"/>
      <c r="R1021" s="26">
        <v>19.5</v>
      </c>
      <c r="S1021" s="26" t="s">
        <v>29</v>
      </c>
    </row>
    <row r="1022" spans="1:19" ht="29.25">
      <c r="A1022" s="24">
        <v>37200</v>
      </c>
      <c r="B1022" s="24" t="s">
        <v>87</v>
      </c>
      <c r="C1022" s="24" t="s">
        <v>30</v>
      </c>
      <c r="D1022" s="24" t="s">
        <v>30</v>
      </c>
      <c r="E1022" s="24" t="s">
        <v>1159</v>
      </c>
      <c r="F1022" s="24" t="s">
        <v>1160</v>
      </c>
      <c r="G1022" s="24">
        <v>2.85</v>
      </c>
      <c r="H1022" s="24" t="s">
        <v>24</v>
      </c>
      <c r="I1022" s="24" t="s">
        <v>1161</v>
      </c>
      <c r="J1022" s="24" t="s">
        <v>25</v>
      </c>
      <c r="K1022" s="24" t="s">
        <v>25</v>
      </c>
      <c r="L1022" s="24" t="s">
        <v>26</v>
      </c>
      <c r="M1022" s="24" t="s">
        <v>27</v>
      </c>
      <c r="N1022" s="24" t="s">
        <v>28</v>
      </c>
      <c r="O1022" s="25">
        <v>31048</v>
      </c>
      <c r="P1022" s="24"/>
      <c r="Q1022" s="24"/>
      <c r="R1022" s="24">
        <v>2.2400000000000002</v>
      </c>
      <c r="S1022" s="24" t="s">
        <v>29</v>
      </c>
    </row>
    <row r="1023" spans="1:19" ht="29.25">
      <c r="A1023" s="26">
        <v>44004</v>
      </c>
      <c r="B1023" s="26" t="s">
        <v>87</v>
      </c>
      <c r="C1023" s="26" t="s">
        <v>30</v>
      </c>
      <c r="D1023" s="26" t="s">
        <v>21</v>
      </c>
      <c r="E1023" s="26"/>
      <c r="F1023" s="26" t="s">
        <v>1002</v>
      </c>
      <c r="G1023" s="26"/>
      <c r="H1023" s="26" t="s">
        <v>24</v>
      </c>
      <c r="I1023" s="26" t="s">
        <v>1003</v>
      </c>
      <c r="J1023" s="26" t="s">
        <v>694</v>
      </c>
      <c r="K1023" s="26"/>
      <c r="L1023" s="26" t="s">
        <v>240</v>
      </c>
      <c r="M1023" s="26" t="s">
        <v>27</v>
      </c>
      <c r="N1023" s="26" t="s">
        <v>28</v>
      </c>
      <c r="O1023" s="27">
        <v>30682</v>
      </c>
      <c r="P1023" s="26" t="s">
        <v>1004</v>
      </c>
      <c r="Q1023" s="26"/>
      <c r="R1023" s="26">
        <v>0.33</v>
      </c>
      <c r="S1023" s="26" t="s">
        <v>29</v>
      </c>
    </row>
    <row r="1024" spans="1:19">
      <c r="A1024" s="26">
        <v>37203</v>
      </c>
      <c r="B1024" s="26" t="s">
        <v>87</v>
      </c>
      <c r="C1024" s="26" t="s">
        <v>30</v>
      </c>
      <c r="D1024" s="26" t="s">
        <v>21</v>
      </c>
      <c r="E1024" s="26"/>
      <c r="F1024" s="26" t="s">
        <v>1385</v>
      </c>
      <c r="G1024" s="26"/>
      <c r="H1024" s="26" t="s">
        <v>24</v>
      </c>
      <c r="I1024" s="26" t="s">
        <v>1386</v>
      </c>
      <c r="J1024" s="26" t="s">
        <v>25</v>
      </c>
      <c r="K1024" s="26" t="s">
        <v>25</v>
      </c>
      <c r="L1024" s="26" t="s">
        <v>26</v>
      </c>
      <c r="M1024" s="26" t="s">
        <v>27</v>
      </c>
      <c r="N1024" s="26" t="s">
        <v>28</v>
      </c>
      <c r="O1024" s="27">
        <v>31518</v>
      </c>
      <c r="P1024" s="26"/>
      <c r="Q1024" s="26"/>
      <c r="R1024" s="26">
        <v>0.42</v>
      </c>
      <c r="S1024" s="26" t="s">
        <v>29</v>
      </c>
    </row>
    <row r="1025" spans="1:19">
      <c r="A1025" s="26">
        <v>37202</v>
      </c>
      <c r="B1025" s="26" t="s">
        <v>87</v>
      </c>
      <c r="C1025" s="26" t="s">
        <v>30</v>
      </c>
      <c r="D1025" s="26" t="s">
        <v>21</v>
      </c>
      <c r="E1025" s="26"/>
      <c r="F1025" s="26" t="s">
        <v>1365</v>
      </c>
      <c r="G1025" s="26"/>
      <c r="H1025" s="26" t="s">
        <v>24</v>
      </c>
      <c r="I1025" s="26" t="s">
        <v>1366</v>
      </c>
      <c r="J1025" s="26" t="s">
        <v>25</v>
      </c>
      <c r="K1025" s="26" t="s">
        <v>25</v>
      </c>
      <c r="L1025" s="26" t="s">
        <v>26</v>
      </c>
      <c r="M1025" s="26" t="s">
        <v>27</v>
      </c>
      <c r="N1025" s="26" t="s">
        <v>28</v>
      </c>
      <c r="O1025" s="27">
        <v>31503</v>
      </c>
      <c r="P1025" s="26"/>
      <c r="Q1025" s="26"/>
      <c r="R1025" s="26">
        <v>0.93</v>
      </c>
      <c r="S1025" s="26" t="s">
        <v>29</v>
      </c>
    </row>
    <row r="1026" spans="1:19" ht="29.25">
      <c r="A1026" s="26">
        <v>37201</v>
      </c>
      <c r="B1026" s="26" t="s">
        <v>87</v>
      </c>
      <c r="C1026" s="26" t="s">
        <v>30</v>
      </c>
      <c r="D1026" s="26" t="s">
        <v>21</v>
      </c>
      <c r="E1026" s="26"/>
      <c r="F1026" s="26" t="s">
        <v>1367</v>
      </c>
      <c r="G1026" s="26"/>
      <c r="H1026" s="26" t="s">
        <v>24</v>
      </c>
      <c r="I1026" s="26" t="s">
        <v>1368</v>
      </c>
      <c r="J1026" s="26" t="s">
        <v>25</v>
      </c>
      <c r="K1026" s="26" t="s">
        <v>25</v>
      </c>
      <c r="L1026" s="26" t="s">
        <v>26</v>
      </c>
      <c r="M1026" s="26" t="s">
        <v>27</v>
      </c>
      <c r="N1026" s="26" t="s">
        <v>28</v>
      </c>
      <c r="O1026" s="27">
        <v>31513</v>
      </c>
      <c r="P1026" s="26"/>
      <c r="Q1026" s="26"/>
      <c r="R1026" s="26">
        <v>0.56000000000000005</v>
      </c>
      <c r="S1026" s="26" t="s">
        <v>29</v>
      </c>
    </row>
    <row r="1027" spans="1:19" ht="29.25">
      <c r="A1027" s="28">
        <v>35600</v>
      </c>
      <c r="B1027" s="28" t="s">
        <v>87</v>
      </c>
      <c r="C1027" s="28" t="s">
        <v>30</v>
      </c>
      <c r="D1027" s="28" t="s">
        <v>21</v>
      </c>
      <c r="E1027" s="28" t="s">
        <v>1211</v>
      </c>
      <c r="F1027" s="28" t="s">
        <v>1212</v>
      </c>
      <c r="G1027" s="28">
        <v>8</v>
      </c>
      <c r="H1027" s="28" t="s">
        <v>5</v>
      </c>
      <c r="I1027" s="28">
        <v>2060</v>
      </c>
      <c r="J1027" s="28" t="s">
        <v>694</v>
      </c>
      <c r="K1027" s="28"/>
      <c r="L1027" s="28" t="s">
        <v>240</v>
      </c>
      <c r="M1027" s="28" t="s">
        <v>38</v>
      </c>
      <c r="N1027" s="28" t="s">
        <v>39</v>
      </c>
      <c r="O1027" s="29">
        <v>31168</v>
      </c>
      <c r="P1027" s="28"/>
      <c r="Q1027" s="28"/>
      <c r="R1027" s="28">
        <v>8</v>
      </c>
      <c r="S1027" s="28" t="s">
        <v>29</v>
      </c>
    </row>
    <row r="1028" spans="1:19" ht="29.25">
      <c r="A1028" s="28">
        <v>37300</v>
      </c>
      <c r="B1028" s="28" t="s">
        <v>87</v>
      </c>
      <c r="C1028" s="28" t="s">
        <v>30</v>
      </c>
      <c r="D1028" s="28" t="s">
        <v>21</v>
      </c>
      <c r="E1028" s="28"/>
      <c r="F1028" s="28" t="s">
        <v>1983</v>
      </c>
      <c r="G1028" s="28">
        <v>7.0000000000000007E-2</v>
      </c>
      <c r="H1028" s="28" t="s">
        <v>5</v>
      </c>
      <c r="I1028" s="28">
        <v>2386</v>
      </c>
      <c r="J1028" s="28" t="s">
        <v>694</v>
      </c>
      <c r="K1028" s="28"/>
      <c r="L1028" s="28"/>
      <c r="M1028" s="28" t="s">
        <v>38</v>
      </c>
      <c r="N1028" s="28" t="s">
        <v>39</v>
      </c>
      <c r="O1028" s="29">
        <v>32941</v>
      </c>
      <c r="P1028" s="28"/>
      <c r="Q1028" s="28"/>
      <c r="R1028" s="28">
        <v>7.0000000000000007E-2</v>
      </c>
      <c r="S1028" s="28" t="s">
        <v>29</v>
      </c>
    </row>
    <row r="1029" spans="1:19">
      <c r="A1029" s="28">
        <v>37500</v>
      </c>
      <c r="B1029" s="28" t="s">
        <v>87</v>
      </c>
      <c r="C1029" s="28" t="s">
        <v>30</v>
      </c>
      <c r="D1029" s="28" t="s">
        <v>21</v>
      </c>
      <c r="E1029" s="28" t="s">
        <v>1878</v>
      </c>
      <c r="F1029" s="28" t="s">
        <v>1879</v>
      </c>
      <c r="G1029" s="28">
        <v>35.700000000000003</v>
      </c>
      <c r="H1029" s="28" t="s">
        <v>24</v>
      </c>
      <c r="I1029" s="28" t="s">
        <v>1880</v>
      </c>
      <c r="J1029" s="28" t="s">
        <v>788</v>
      </c>
      <c r="K1029" s="28" t="s">
        <v>366</v>
      </c>
      <c r="L1029" s="28" t="s">
        <v>789</v>
      </c>
      <c r="M1029" s="28" t="s">
        <v>27</v>
      </c>
      <c r="N1029" s="28" t="s">
        <v>28</v>
      </c>
      <c r="O1029" s="29">
        <v>32798</v>
      </c>
      <c r="P1029" s="28"/>
      <c r="Q1029" s="28"/>
      <c r="R1029" s="28">
        <v>35.700000000000003</v>
      </c>
      <c r="S1029" s="28" t="s">
        <v>29</v>
      </c>
    </row>
    <row r="1030" spans="1:19" ht="29.25">
      <c r="A1030" s="28">
        <v>37600</v>
      </c>
      <c r="B1030" s="28" t="s">
        <v>87</v>
      </c>
      <c r="C1030" s="28" t="s">
        <v>30</v>
      </c>
      <c r="D1030" s="28" t="s">
        <v>21</v>
      </c>
      <c r="E1030" s="28" t="s">
        <v>1696</v>
      </c>
      <c r="F1030" s="28" t="s">
        <v>1697</v>
      </c>
      <c r="G1030" s="28">
        <v>64.7</v>
      </c>
      <c r="H1030" s="28" t="s">
        <v>5</v>
      </c>
      <c r="I1030" s="28">
        <v>3011</v>
      </c>
      <c r="J1030" s="28" t="s">
        <v>644</v>
      </c>
      <c r="K1030" s="28" t="s">
        <v>366</v>
      </c>
      <c r="L1030" s="28" t="s">
        <v>644</v>
      </c>
      <c r="M1030" s="28" t="s">
        <v>38</v>
      </c>
      <c r="N1030" s="28" t="s">
        <v>39</v>
      </c>
      <c r="O1030" s="29">
        <v>32308</v>
      </c>
      <c r="P1030" s="28" t="s">
        <v>1698</v>
      </c>
      <c r="Q1030" s="28"/>
      <c r="R1030" s="28">
        <v>49.8</v>
      </c>
      <c r="S1030" s="28" t="s">
        <v>29</v>
      </c>
    </row>
    <row r="1031" spans="1:19" ht="29.25">
      <c r="A1031" s="28">
        <v>37700</v>
      </c>
      <c r="B1031" s="28" t="s">
        <v>87</v>
      </c>
      <c r="C1031" s="28" t="s">
        <v>30</v>
      </c>
      <c r="D1031" s="28" t="s">
        <v>21</v>
      </c>
      <c r="E1031" s="28"/>
      <c r="F1031" s="28" t="s">
        <v>1589</v>
      </c>
      <c r="G1031" s="28">
        <v>0.12</v>
      </c>
      <c r="H1031" s="28" t="s">
        <v>5</v>
      </c>
      <c r="I1031" s="28">
        <v>2149</v>
      </c>
      <c r="J1031" s="28" t="s">
        <v>694</v>
      </c>
      <c r="K1031" s="28"/>
      <c r="L1031" s="28"/>
      <c r="M1031" s="28" t="s">
        <v>38</v>
      </c>
      <c r="N1031" s="28" t="s">
        <v>39</v>
      </c>
      <c r="O1031" s="29">
        <v>32023</v>
      </c>
      <c r="P1031" s="28"/>
      <c r="Q1031" s="28"/>
      <c r="R1031" s="28">
        <v>0.12</v>
      </c>
      <c r="S1031" s="28" t="s">
        <v>29</v>
      </c>
    </row>
    <row r="1032" spans="1:19" ht="29.25">
      <c r="A1032" s="28">
        <v>37900</v>
      </c>
      <c r="B1032" s="28" t="s">
        <v>87</v>
      </c>
      <c r="C1032" s="28" t="s">
        <v>30</v>
      </c>
      <c r="D1032" s="28" t="s">
        <v>21</v>
      </c>
      <c r="E1032" s="28"/>
      <c r="F1032" s="28" t="s">
        <v>1564</v>
      </c>
      <c r="G1032" s="28">
        <v>0.2</v>
      </c>
      <c r="H1032" s="28" t="s">
        <v>5</v>
      </c>
      <c r="I1032" s="28">
        <v>2235</v>
      </c>
      <c r="J1032" s="28" t="s">
        <v>694</v>
      </c>
      <c r="K1032" s="28"/>
      <c r="L1032" s="28"/>
      <c r="M1032" s="28" t="s">
        <v>38</v>
      </c>
      <c r="N1032" s="28" t="s">
        <v>39</v>
      </c>
      <c r="O1032" s="29">
        <v>31928</v>
      </c>
      <c r="P1032" s="28"/>
      <c r="Q1032" s="28"/>
      <c r="R1032" s="28">
        <v>0.2</v>
      </c>
      <c r="S1032" s="28" t="s">
        <v>29</v>
      </c>
    </row>
    <row r="1033" spans="1:19" ht="29.25">
      <c r="A1033" s="24">
        <v>38000</v>
      </c>
      <c r="B1033" s="24" t="s">
        <v>87</v>
      </c>
      <c r="C1033" s="24" t="s">
        <v>30</v>
      </c>
      <c r="D1033" s="24" t="s">
        <v>30</v>
      </c>
      <c r="E1033" s="24" t="s">
        <v>1806</v>
      </c>
      <c r="F1033" s="24" t="s">
        <v>1807</v>
      </c>
      <c r="G1033" s="24">
        <v>135</v>
      </c>
      <c r="H1033" s="24" t="s">
        <v>24</v>
      </c>
      <c r="I1033" s="24" t="s">
        <v>1808</v>
      </c>
      <c r="J1033" s="24" t="s">
        <v>694</v>
      </c>
      <c r="K1033" s="24" t="s">
        <v>705</v>
      </c>
      <c r="L1033" s="24" t="s">
        <v>240</v>
      </c>
      <c r="M1033" s="24" t="s">
        <v>27</v>
      </c>
      <c r="N1033" s="24" t="s">
        <v>28</v>
      </c>
      <c r="O1033" s="25">
        <v>32581</v>
      </c>
      <c r="P1033" s="24" t="s">
        <v>1809</v>
      </c>
      <c r="Q1033" s="24"/>
      <c r="R1033" s="24">
        <v>133.30000000000001</v>
      </c>
      <c r="S1033" s="24" t="s">
        <v>29</v>
      </c>
    </row>
    <row r="1034" spans="1:19" ht="29.25">
      <c r="A1034" s="26">
        <v>38001</v>
      </c>
      <c r="B1034" s="26" t="s">
        <v>87</v>
      </c>
      <c r="C1034" s="26" t="s">
        <v>30</v>
      </c>
      <c r="D1034" s="26" t="s">
        <v>21</v>
      </c>
      <c r="E1034" s="26" t="s">
        <v>1810</v>
      </c>
      <c r="F1034" s="26" t="s">
        <v>1811</v>
      </c>
      <c r="G1034" s="26"/>
      <c r="H1034" s="26" t="s">
        <v>24</v>
      </c>
      <c r="I1034" s="26" t="s">
        <v>1808</v>
      </c>
      <c r="J1034" s="26" t="s">
        <v>694</v>
      </c>
      <c r="K1034" s="26" t="s">
        <v>580</v>
      </c>
      <c r="L1034" s="26" t="s">
        <v>240</v>
      </c>
      <c r="M1034" s="26" t="s">
        <v>27</v>
      </c>
      <c r="N1034" s="26" t="s">
        <v>28</v>
      </c>
      <c r="O1034" s="27">
        <v>32581</v>
      </c>
      <c r="P1034" s="26"/>
      <c r="Q1034" s="26"/>
      <c r="R1034" s="26">
        <v>90.9</v>
      </c>
      <c r="S1034" s="26" t="s">
        <v>29</v>
      </c>
    </row>
    <row r="1035" spans="1:19" ht="29.25">
      <c r="A1035" s="26">
        <v>38002</v>
      </c>
      <c r="B1035" s="26" t="s">
        <v>87</v>
      </c>
      <c r="C1035" s="26" t="s">
        <v>30</v>
      </c>
      <c r="D1035" s="26" t="s">
        <v>21</v>
      </c>
      <c r="E1035" s="26" t="s">
        <v>1812</v>
      </c>
      <c r="F1035" s="26" t="s">
        <v>1813</v>
      </c>
      <c r="G1035" s="26"/>
      <c r="H1035" s="26" t="s">
        <v>24</v>
      </c>
      <c r="I1035" s="26" t="s">
        <v>1808</v>
      </c>
      <c r="J1035" s="26" t="s">
        <v>694</v>
      </c>
      <c r="K1035" s="26" t="s">
        <v>366</v>
      </c>
      <c r="L1035" s="26" t="s">
        <v>712</v>
      </c>
      <c r="M1035" s="26" t="s">
        <v>27</v>
      </c>
      <c r="N1035" s="26" t="s">
        <v>28</v>
      </c>
      <c r="O1035" s="27">
        <v>32581</v>
      </c>
      <c r="P1035" s="26"/>
      <c r="Q1035" s="26"/>
      <c r="R1035" s="26">
        <v>42.4</v>
      </c>
      <c r="S1035" s="26" t="s">
        <v>29</v>
      </c>
    </row>
    <row r="1036" spans="1:19" ht="29.25">
      <c r="A1036" s="28">
        <v>38500</v>
      </c>
      <c r="B1036" s="28" t="s">
        <v>87</v>
      </c>
      <c r="C1036" s="28" t="s">
        <v>30</v>
      </c>
      <c r="D1036" s="28" t="s">
        <v>21</v>
      </c>
      <c r="E1036" s="28"/>
      <c r="F1036" s="28" t="s">
        <v>2103</v>
      </c>
      <c r="G1036" s="28">
        <v>0.04</v>
      </c>
      <c r="H1036" s="28" t="s">
        <v>5</v>
      </c>
      <c r="I1036" s="28">
        <v>2442</v>
      </c>
      <c r="J1036" s="28" t="s">
        <v>694</v>
      </c>
      <c r="K1036" s="28"/>
      <c r="L1036" s="28"/>
      <c r="M1036" s="28" t="s">
        <v>38</v>
      </c>
      <c r="N1036" s="28" t="s">
        <v>39</v>
      </c>
      <c r="O1036" s="29">
        <v>33641</v>
      </c>
      <c r="P1036" s="28"/>
      <c r="Q1036" s="28"/>
      <c r="R1036" s="28">
        <v>0.04</v>
      </c>
      <c r="S1036" s="28" t="s">
        <v>29</v>
      </c>
    </row>
    <row r="1037" spans="1:19">
      <c r="A1037" s="28">
        <v>38600</v>
      </c>
      <c r="B1037" s="28" t="s">
        <v>87</v>
      </c>
      <c r="C1037" s="28" t="s">
        <v>30</v>
      </c>
      <c r="D1037" s="28" t="s">
        <v>21</v>
      </c>
      <c r="E1037" s="28" t="s">
        <v>1659</v>
      </c>
      <c r="F1037" s="28" t="s">
        <v>1660</v>
      </c>
      <c r="G1037" s="28">
        <v>57.3</v>
      </c>
      <c r="H1037" s="28" t="s">
        <v>24</v>
      </c>
      <c r="I1037" s="28" t="s">
        <v>1661</v>
      </c>
      <c r="J1037" s="28" t="s">
        <v>694</v>
      </c>
      <c r="K1037" s="28"/>
      <c r="L1037" s="28" t="s">
        <v>240</v>
      </c>
      <c r="M1037" s="28" t="s">
        <v>27</v>
      </c>
      <c r="N1037" s="28" t="s">
        <v>28</v>
      </c>
      <c r="O1037" s="29">
        <v>32193</v>
      </c>
      <c r="P1037" s="28"/>
      <c r="Q1037" s="28"/>
      <c r="R1037" s="28">
        <v>57.3</v>
      </c>
      <c r="S1037" s="28" t="s">
        <v>29</v>
      </c>
    </row>
    <row r="1038" spans="1:19" ht="29.25">
      <c r="A1038" s="28">
        <v>38700</v>
      </c>
      <c r="B1038" s="28" t="s">
        <v>87</v>
      </c>
      <c r="C1038" s="28" t="s">
        <v>30</v>
      </c>
      <c r="D1038" s="28" t="s">
        <v>21</v>
      </c>
      <c r="E1038" s="28" t="s">
        <v>1905</v>
      </c>
      <c r="F1038" s="28" t="s">
        <v>1906</v>
      </c>
      <c r="G1038" s="28">
        <v>54.71</v>
      </c>
      <c r="H1038" s="28" t="s">
        <v>5</v>
      </c>
      <c r="I1038" s="28">
        <v>2087</v>
      </c>
      <c r="J1038" s="28" t="s">
        <v>694</v>
      </c>
      <c r="K1038" s="28"/>
      <c r="L1038" s="28" t="s">
        <v>240</v>
      </c>
      <c r="M1038" s="28" t="s">
        <v>38</v>
      </c>
      <c r="N1038" s="28" t="s">
        <v>39</v>
      </c>
      <c r="O1038" s="29">
        <v>32864</v>
      </c>
      <c r="P1038" s="28"/>
      <c r="Q1038" s="28"/>
      <c r="R1038" s="28">
        <v>48.9</v>
      </c>
      <c r="S1038" s="28" t="s">
        <v>29</v>
      </c>
    </row>
    <row r="1039" spans="1:19" ht="29.25">
      <c r="A1039" s="24">
        <v>38900</v>
      </c>
      <c r="B1039" s="24" t="s">
        <v>87</v>
      </c>
      <c r="C1039" s="24" t="s">
        <v>30</v>
      </c>
      <c r="D1039" s="24" t="s">
        <v>30</v>
      </c>
      <c r="E1039" s="24" t="s">
        <v>1477</v>
      </c>
      <c r="F1039" s="24" t="s">
        <v>1478</v>
      </c>
      <c r="G1039" s="24">
        <v>31</v>
      </c>
      <c r="H1039" s="24" t="s">
        <v>5</v>
      </c>
      <c r="I1039" s="24" t="s">
        <v>694</v>
      </c>
      <c r="J1039" s="24" t="s">
        <v>694</v>
      </c>
      <c r="K1039" s="24"/>
      <c r="L1039" s="24" t="s">
        <v>240</v>
      </c>
      <c r="M1039" s="24" t="s">
        <v>38</v>
      </c>
      <c r="N1039" s="24" t="s">
        <v>39</v>
      </c>
      <c r="O1039" s="25">
        <v>31778</v>
      </c>
      <c r="P1039" s="24"/>
      <c r="Q1039" s="24"/>
      <c r="R1039" s="24">
        <v>31.01</v>
      </c>
      <c r="S1039" s="24" t="s">
        <v>29</v>
      </c>
    </row>
    <row r="1040" spans="1:19">
      <c r="A1040" s="26">
        <v>38901</v>
      </c>
      <c r="B1040" s="26" t="s">
        <v>87</v>
      </c>
      <c r="C1040" s="26" t="s">
        <v>30</v>
      </c>
      <c r="D1040" s="26" t="s">
        <v>21</v>
      </c>
      <c r="E1040" s="26"/>
      <c r="F1040" s="26" t="s">
        <v>1706</v>
      </c>
      <c r="G1040" s="26"/>
      <c r="H1040" s="26" t="s">
        <v>5</v>
      </c>
      <c r="I1040" s="26">
        <v>2314</v>
      </c>
      <c r="J1040" s="26" t="s">
        <v>694</v>
      </c>
      <c r="K1040" s="26"/>
      <c r="L1040" s="26"/>
      <c r="M1040" s="26" t="s">
        <v>38</v>
      </c>
      <c r="N1040" s="26" t="s">
        <v>39</v>
      </c>
      <c r="O1040" s="27">
        <v>32335</v>
      </c>
      <c r="P1040" s="26"/>
      <c r="Q1040" s="26"/>
      <c r="R1040" s="26">
        <v>0.06</v>
      </c>
      <c r="S1040" s="26" t="s">
        <v>29</v>
      </c>
    </row>
    <row r="1041" spans="1:19" ht="29.25">
      <c r="A1041" s="26">
        <v>38905</v>
      </c>
      <c r="B1041" s="26" t="s">
        <v>87</v>
      </c>
      <c r="C1041" s="26" t="s">
        <v>30</v>
      </c>
      <c r="D1041" s="26" t="s">
        <v>21</v>
      </c>
      <c r="E1041" s="26"/>
      <c r="F1041" s="26" t="s">
        <v>1592</v>
      </c>
      <c r="G1041" s="26"/>
      <c r="H1041" s="26" t="s">
        <v>5</v>
      </c>
      <c r="I1041" s="26">
        <v>2064</v>
      </c>
      <c r="J1041" s="26" t="s">
        <v>694</v>
      </c>
      <c r="K1041" s="26"/>
      <c r="L1041" s="26"/>
      <c r="M1041" s="26" t="s">
        <v>38</v>
      </c>
      <c r="N1041" s="26" t="s">
        <v>39</v>
      </c>
      <c r="O1041" s="27">
        <v>32030</v>
      </c>
      <c r="P1041" s="26"/>
      <c r="Q1041" s="26"/>
      <c r="R1041" s="26">
        <v>27.8</v>
      </c>
      <c r="S1041" s="26" t="s">
        <v>29</v>
      </c>
    </row>
    <row r="1042" spans="1:19">
      <c r="A1042" s="26">
        <v>38904</v>
      </c>
      <c r="B1042" s="26" t="s">
        <v>87</v>
      </c>
      <c r="C1042" s="26" t="s">
        <v>30</v>
      </c>
      <c r="D1042" s="26" t="s">
        <v>21</v>
      </c>
      <c r="E1042" s="26"/>
      <c r="F1042" s="26" t="s">
        <v>1623</v>
      </c>
      <c r="G1042" s="26"/>
      <c r="H1042" s="26" t="s">
        <v>5</v>
      </c>
      <c r="I1042" s="26">
        <v>2349</v>
      </c>
      <c r="J1042" s="26" t="s">
        <v>694</v>
      </c>
      <c r="K1042" s="26"/>
      <c r="L1042" s="26"/>
      <c r="M1042" s="26" t="s">
        <v>38</v>
      </c>
      <c r="N1042" s="26" t="s">
        <v>39</v>
      </c>
      <c r="O1042" s="27">
        <v>32140</v>
      </c>
      <c r="P1042" s="26"/>
      <c r="Q1042" s="26"/>
      <c r="R1042" s="26">
        <v>0.1</v>
      </c>
      <c r="S1042" s="26" t="s">
        <v>29</v>
      </c>
    </row>
    <row r="1043" spans="1:19">
      <c r="A1043" s="28">
        <v>39100</v>
      </c>
      <c r="B1043" s="28" t="s">
        <v>87</v>
      </c>
      <c r="C1043" s="28" t="s">
        <v>30</v>
      </c>
      <c r="D1043" s="28" t="s">
        <v>21</v>
      </c>
      <c r="E1043" s="28"/>
      <c r="F1043" s="28" t="s">
        <v>1260</v>
      </c>
      <c r="G1043" s="28">
        <v>0.15</v>
      </c>
      <c r="H1043" s="28" t="s">
        <v>5</v>
      </c>
      <c r="I1043" s="28">
        <v>2182</v>
      </c>
      <c r="J1043" s="28" t="s">
        <v>694</v>
      </c>
      <c r="K1043" s="28"/>
      <c r="L1043" s="28"/>
      <c r="M1043" s="28" t="s">
        <v>38</v>
      </c>
      <c r="N1043" s="28" t="s">
        <v>39</v>
      </c>
      <c r="O1043" s="29">
        <v>31412</v>
      </c>
      <c r="P1043" s="28"/>
      <c r="Q1043" s="28"/>
      <c r="R1043" s="28">
        <v>0.15</v>
      </c>
      <c r="S1043" s="28" t="s">
        <v>29</v>
      </c>
    </row>
    <row r="1044" spans="1:19" ht="29.25">
      <c r="A1044" s="28">
        <v>39200</v>
      </c>
      <c r="B1044" s="28" t="s">
        <v>87</v>
      </c>
      <c r="C1044" s="28" t="s">
        <v>30</v>
      </c>
      <c r="D1044" s="28" t="s">
        <v>21</v>
      </c>
      <c r="E1044" s="28"/>
      <c r="F1044" s="28" t="s">
        <v>2150</v>
      </c>
      <c r="G1044" s="28">
        <v>0.08</v>
      </c>
      <c r="H1044" s="28" t="s">
        <v>5</v>
      </c>
      <c r="I1044" s="28">
        <v>2446</v>
      </c>
      <c r="J1044" s="28" t="s">
        <v>694</v>
      </c>
      <c r="K1044" s="28"/>
      <c r="L1044" s="28"/>
      <c r="M1044" s="28" t="s">
        <v>38</v>
      </c>
      <c r="N1044" s="28" t="s">
        <v>39</v>
      </c>
      <c r="O1044" s="29">
        <v>34253</v>
      </c>
      <c r="P1044" s="28"/>
      <c r="Q1044" s="28"/>
      <c r="R1044" s="28">
        <v>0.08</v>
      </c>
      <c r="S1044" s="28" t="s">
        <v>29</v>
      </c>
    </row>
    <row r="1045" spans="1:19" ht="29.25">
      <c r="A1045" s="28">
        <v>39300</v>
      </c>
      <c r="B1045" s="28" t="s">
        <v>87</v>
      </c>
      <c r="C1045" s="28" t="s">
        <v>30</v>
      </c>
      <c r="D1045" s="28" t="s">
        <v>21</v>
      </c>
      <c r="E1045" s="28"/>
      <c r="F1045" s="28" t="s">
        <v>2000</v>
      </c>
      <c r="G1045" s="28">
        <v>7.0000000000000007E-2</v>
      </c>
      <c r="H1045" s="28" t="s">
        <v>5</v>
      </c>
      <c r="I1045" s="28">
        <v>2358</v>
      </c>
      <c r="J1045" s="28" t="s">
        <v>694</v>
      </c>
      <c r="K1045" s="28"/>
      <c r="L1045" s="28"/>
      <c r="M1045" s="28" t="s">
        <v>38</v>
      </c>
      <c r="N1045" s="28" t="s">
        <v>39</v>
      </c>
      <c r="O1045" s="29">
        <v>32962</v>
      </c>
      <c r="P1045" s="28"/>
      <c r="Q1045" s="28"/>
      <c r="R1045" s="28">
        <v>7.0000000000000007E-2</v>
      </c>
      <c r="S1045" s="28" t="s">
        <v>29</v>
      </c>
    </row>
    <row r="1046" spans="1:19" ht="29.25">
      <c r="A1046" s="28">
        <v>39500</v>
      </c>
      <c r="B1046" s="28" t="s">
        <v>87</v>
      </c>
      <c r="C1046" s="28" t="s">
        <v>30</v>
      </c>
      <c r="D1046" s="28" t="s">
        <v>21</v>
      </c>
      <c r="E1046" s="28"/>
      <c r="F1046" s="28" t="s">
        <v>1409</v>
      </c>
      <c r="G1046" s="28">
        <v>0.08</v>
      </c>
      <c r="H1046" s="28" t="s">
        <v>5</v>
      </c>
      <c r="I1046" s="28">
        <v>2219</v>
      </c>
      <c r="J1046" s="28" t="s">
        <v>694</v>
      </c>
      <c r="K1046" s="28"/>
      <c r="L1046" s="28"/>
      <c r="M1046" s="28" t="s">
        <v>38</v>
      </c>
      <c r="N1046" s="28" t="s">
        <v>39</v>
      </c>
      <c r="O1046" s="29">
        <v>31594</v>
      </c>
      <c r="P1046" s="28"/>
      <c r="Q1046" s="28"/>
      <c r="R1046" s="28">
        <v>0.08</v>
      </c>
      <c r="S1046" s="28" t="s">
        <v>29</v>
      </c>
    </row>
    <row r="1047" spans="1:19">
      <c r="A1047" s="28">
        <v>39600</v>
      </c>
      <c r="B1047" s="28" t="s">
        <v>87</v>
      </c>
      <c r="C1047" s="28" t="s">
        <v>30</v>
      </c>
      <c r="D1047" s="28" t="s">
        <v>21</v>
      </c>
      <c r="E1047" s="28" t="s">
        <v>1990</v>
      </c>
      <c r="F1047" s="28" t="s">
        <v>1991</v>
      </c>
      <c r="G1047" s="28">
        <v>55.1</v>
      </c>
      <c r="H1047" s="28" t="s">
        <v>24</v>
      </c>
      <c r="I1047" s="28" t="s">
        <v>1992</v>
      </c>
      <c r="J1047" s="28" t="s">
        <v>694</v>
      </c>
      <c r="K1047" s="28"/>
      <c r="L1047" s="28" t="s">
        <v>240</v>
      </c>
      <c r="M1047" s="28" t="s">
        <v>193</v>
      </c>
      <c r="N1047" s="28" t="s">
        <v>194</v>
      </c>
      <c r="O1047" s="29">
        <v>32952</v>
      </c>
      <c r="P1047" s="28"/>
      <c r="Q1047" s="28"/>
      <c r="R1047" s="28">
        <v>55.1</v>
      </c>
      <c r="S1047" s="28" t="s">
        <v>29</v>
      </c>
    </row>
    <row r="1048" spans="1:19" ht="29.25">
      <c r="A1048" s="28">
        <v>39700</v>
      </c>
      <c r="B1048" s="28" t="s">
        <v>87</v>
      </c>
      <c r="C1048" s="28" t="s">
        <v>30</v>
      </c>
      <c r="D1048" s="28" t="s">
        <v>21</v>
      </c>
      <c r="E1048" s="28"/>
      <c r="F1048" s="28" t="s">
        <v>2212</v>
      </c>
      <c r="G1048" s="28">
        <v>0.09</v>
      </c>
      <c r="H1048" s="28" t="s">
        <v>5</v>
      </c>
      <c r="I1048" s="28">
        <v>2478</v>
      </c>
      <c r="J1048" s="28" t="s">
        <v>694</v>
      </c>
      <c r="K1048" s="28" t="s">
        <v>580</v>
      </c>
      <c r="L1048" s="28"/>
      <c r="M1048" s="28" t="s">
        <v>38</v>
      </c>
      <c r="N1048" s="28" t="s">
        <v>39</v>
      </c>
      <c r="O1048" s="29">
        <v>35094</v>
      </c>
      <c r="P1048" s="28"/>
      <c r="Q1048" s="28"/>
      <c r="R1048" s="28">
        <v>0.09</v>
      </c>
      <c r="S1048" s="28" t="s">
        <v>29</v>
      </c>
    </row>
    <row r="1049" spans="1:19">
      <c r="A1049" s="28">
        <v>39800</v>
      </c>
      <c r="B1049" s="28" t="s">
        <v>87</v>
      </c>
      <c r="C1049" s="28" t="s">
        <v>30</v>
      </c>
      <c r="D1049" s="28" t="s">
        <v>21</v>
      </c>
      <c r="E1049" s="28"/>
      <c r="F1049" s="28" t="s">
        <v>2213</v>
      </c>
      <c r="G1049" s="28">
        <v>48.2</v>
      </c>
      <c r="H1049" s="28" t="s">
        <v>5</v>
      </c>
      <c r="I1049" s="28">
        <v>2480</v>
      </c>
      <c r="J1049" s="28" t="s">
        <v>694</v>
      </c>
      <c r="K1049" s="28" t="s">
        <v>580</v>
      </c>
      <c r="L1049" s="28"/>
      <c r="M1049" s="28" t="s">
        <v>38</v>
      </c>
      <c r="N1049" s="28" t="s">
        <v>39</v>
      </c>
      <c r="O1049" s="29">
        <v>35138</v>
      </c>
      <c r="P1049" s="28" t="s">
        <v>1955</v>
      </c>
      <c r="Q1049" s="28"/>
      <c r="R1049" s="28">
        <v>48.2</v>
      </c>
      <c r="S1049" s="28" t="s">
        <v>29</v>
      </c>
    </row>
    <row r="1050" spans="1:19">
      <c r="A1050" s="28">
        <v>39900</v>
      </c>
      <c r="B1050" s="28" t="s">
        <v>87</v>
      </c>
      <c r="C1050" s="28" t="s">
        <v>30</v>
      </c>
      <c r="D1050" s="28" t="s">
        <v>21</v>
      </c>
      <c r="E1050" s="28" t="s">
        <v>2115</v>
      </c>
      <c r="F1050" s="28" t="s">
        <v>2116</v>
      </c>
      <c r="G1050" s="28">
        <v>113.9</v>
      </c>
      <c r="H1050" s="28" t="s">
        <v>24</v>
      </c>
      <c r="I1050" s="28" t="s">
        <v>2117</v>
      </c>
      <c r="J1050" s="28" t="s">
        <v>694</v>
      </c>
      <c r="K1050" s="28"/>
      <c r="L1050" s="28" t="s">
        <v>240</v>
      </c>
      <c r="M1050" s="28" t="s">
        <v>27</v>
      </c>
      <c r="N1050" s="28" t="s">
        <v>28</v>
      </c>
      <c r="O1050" s="29">
        <v>33847</v>
      </c>
      <c r="P1050" s="28"/>
      <c r="Q1050" s="28"/>
      <c r="R1050" s="28">
        <v>113.9</v>
      </c>
      <c r="S1050" s="28" t="s">
        <v>29</v>
      </c>
    </row>
    <row r="1051" spans="1:19" ht="29.25">
      <c r="A1051" s="24">
        <v>40000</v>
      </c>
      <c r="B1051" s="24" t="s">
        <v>87</v>
      </c>
      <c r="C1051" s="24" t="s">
        <v>30</v>
      </c>
      <c r="D1051" s="24" t="s">
        <v>30</v>
      </c>
      <c r="E1051" s="24" t="s">
        <v>1624</v>
      </c>
      <c r="F1051" s="24" t="s">
        <v>1625</v>
      </c>
      <c r="G1051" s="24">
        <v>85.31</v>
      </c>
      <c r="H1051" s="24" t="s">
        <v>5</v>
      </c>
      <c r="I1051" s="24">
        <v>2155</v>
      </c>
      <c r="J1051" s="24" t="s">
        <v>694</v>
      </c>
      <c r="K1051" s="24" t="s">
        <v>705</v>
      </c>
      <c r="L1051" s="24" t="s">
        <v>240</v>
      </c>
      <c r="M1051" s="24" t="s">
        <v>38</v>
      </c>
      <c r="N1051" s="24" t="s">
        <v>39</v>
      </c>
      <c r="O1051" s="25">
        <v>32140</v>
      </c>
      <c r="P1051" s="24"/>
      <c r="Q1051" s="24"/>
      <c r="R1051" s="24">
        <v>76.7</v>
      </c>
      <c r="S1051" s="24" t="s">
        <v>29</v>
      </c>
    </row>
    <row r="1052" spans="1:19">
      <c r="A1052" s="26">
        <v>40001</v>
      </c>
      <c r="B1052" s="26" t="s">
        <v>87</v>
      </c>
      <c r="C1052" s="26" t="s">
        <v>30</v>
      </c>
      <c r="D1052" s="26" t="s">
        <v>21</v>
      </c>
      <c r="E1052" s="26" t="s">
        <v>692</v>
      </c>
      <c r="F1052" s="26" t="s">
        <v>693</v>
      </c>
      <c r="G1052" s="26">
        <v>85.31</v>
      </c>
      <c r="H1052" s="26" t="s">
        <v>5</v>
      </c>
      <c r="I1052" s="26"/>
      <c r="J1052" s="26" t="s">
        <v>694</v>
      </c>
      <c r="K1052" s="26" t="s">
        <v>580</v>
      </c>
      <c r="L1052" s="26" t="s">
        <v>240</v>
      </c>
      <c r="M1052" s="26" t="s">
        <v>38</v>
      </c>
      <c r="N1052" s="26" t="s">
        <v>39</v>
      </c>
      <c r="O1052" s="27">
        <v>27760</v>
      </c>
      <c r="P1052" s="26"/>
      <c r="Q1052" s="26"/>
      <c r="R1052" s="26">
        <v>49</v>
      </c>
      <c r="S1052" s="26" t="s">
        <v>29</v>
      </c>
    </row>
    <row r="1053" spans="1:19">
      <c r="A1053" s="26">
        <v>40002</v>
      </c>
      <c r="B1053" s="26" t="s">
        <v>87</v>
      </c>
      <c r="C1053" s="26" t="s">
        <v>30</v>
      </c>
      <c r="D1053" s="26" t="s">
        <v>21</v>
      </c>
      <c r="E1053" s="26" t="s">
        <v>1479</v>
      </c>
      <c r="F1053" s="26" t="s">
        <v>1480</v>
      </c>
      <c r="G1053" s="26">
        <v>38</v>
      </c>
      <c r="H1053" s="26" t="s">
        <v>5</v>
      </c>
      <c r="I1053" s="26"/>
      <c r="J1053" s="26" t="s">
        <v>694</v>
      </c>
      <c r="K1053" s="26" t="s">
        <v>366</v>
      </c>
      <c r="L1053" s="26" t="s">
        <v>712</v>
      </c>
      <c r="M1053" s="26" t="s">
        <v>38</v>
      </c>
      <c r="N1053" s="26" t="s">
        <v>39</v>
      </c>
      <c r="O1053" s="27">
        <v>31778</v>
      </c>
      <c r="P1053" s="26"/>
      <c r="Q1053" s="26"/>
      <c r="R1053" s="26">
        <v>38</v>
      </c>
      <c r="S1053" s="26" t="s">
        <v>29</v>
      </c>
    </row>
    <row r="1054" spans="1:19">
      <c r="A1054" s="28">
        <v>40100</v>
      </c>
      <c r="B1054" s="28" t="s">
        <v>87</v>
      </c>
      <c r="C1054" s="28" t="s">
        <v>30</v>
      </c>
      <c r="D1054" s="28" t="s">
        <v>21</v>
      </c>
      <c r="E1054" s="28" t="s">
        <v>1338</v>
      </c>
      <c r="F1054" s="28" t="s">
        <v>1339</v>
      </c>
      <c r="G1054" s="28">
        <v>19</v>
      </c>
      <c r="H1054" s="28" t="s">
        <v>24</v>
      </c>
      <c r="I1054" s="28" t="s">
        <v>1340</v>
      </c>
      <c r="J1054" s="28" t="s">
        <v>694</v>
      </c>
      <c r="K1054" s="28" t="s">
        <v>580</v>
      </c>
      <c r="L1054" s="28" t="s">
        <v>240</v>
      </c>
      <c r="M1054" s="28" t="s">
        <v>27</v>
      </c>
      <c r="N1054" s="28" t="s">
        <v>28</v>
      </c>
      <c r="O1054" s="29">
        <v>31429</v>
      </c>
      <c r="P1054" s="28"/>
      <c r="Q1054" s="28"/>
      <c r="R1054" s="28">
        <v>19</v>
      </c>
      <c r="S1054" s="28" t="s">
        <v>29</v>
      </c>
    </row>
    <row r="1055" spans="1:19">
      <c r="A1055" s="28">
        <v>40300</v>
      </c>
      <c r="B1055" s="28" t="s">
        <v>87</v>
      </c>
      <c r="C1055" s="28" t="s">
        <v>30</v>
      </c>
      <c r="D1055" s="28" t="s">
        <v>21</v>
      </c>
      <c r="E1055" s="28" t="s">
        <v>832</v>
      </c>
      <c r="F1055" s="28" t="s">
        <v>833</v>
      </c>
      <c r="G1055" s="28">
        <v>24.3</v>
      </c>
      <c r="H1055" s="28" t="s">
        <v>24</v>
      </c>
      <c r="I1055" s="28" t="s">
        <v>834</v>
      </c>
      <c r="J1055" s="28" t="s">
        <v>694</v>
      </c>
      <c r="K1055" s="28" t="s">
        <v>580</v>
      </c>
      <c r="L1055" s="28" t="s">
        <v>240</v>
      </c>
      <c r="M1055" s="28" t="s">
        <v>193</v>
      </c>
      <c r="N1055" s="28" t="s">
        <v>194</v>
      </c>
      <c r="O1055" s="29">
        <v>30239</v>
      </c>
      <c r="P1055" s="28"/>
      <c r="Q1055" s="28"/>
      <c r="R1055" s="28">
        <v>24.3</v>
      </c>
      <c r="S1055" s="28" t="s">
        <v>29</v>
      </c>
    </row>
    <row r="1056" spans="1:19">
      <c r="A1056" s="28">
        <v>40400</v>
      </c>
      <c r="B1056" s="28" t="s">
        <v>87</v>
      </c>
      <c r="C1056" s="28" t="s">
        <v>30</v>
      </c>
      <c r="D1056" s="28" t="s">
        <v>21</v>
      </c>
      <c r="E1056" s="28" t="s">
        <v>1693</v>
      </c>
      <c r="F1056" s="28" t="s">
        <v>1694</v>
      </c>
      <c r="G1056" s="28">
        <v>56.2</v>
      </c>
      <c r="H1056" s="28" t="s">
        <v>24</v>
      </c>
      <c r="I1056" s="28" t="s">
        <v>1695</v>
      </c>
      <c r="J1056" s="28" t="s">
        <v>694</v>
      </c>
      <c r="K1056" s="28" t="s">
        <v>580</v>
      </c>
      <c r="L1056" s="28" t="s">
        <v>240</v>
      </c>
      <c r="M1056" s="28" t="s">
        <v>193</v>
      </c>
      <c r="N1056" s="28" t="s">
        <v>194</v>
      </c>
      <c r="O1056" s="29">
        <v>32307</v>
      </c>
      <c r="P1056" s="28"/>
      <c r="Q1056" s="28"/>
      <c r="R1056" s="28">
        <v>56.2</v>
      </c>
      <c r="S1056" s="28" t="s">
        <v>29</v>
      </c>
    </row>
    <row r="1057" spans="1:19">
      <c r="A1057" s="28">
        <v>40500</v>
      </c>
      <c r="B1057" s="28" t="s">
        <v>87</v>
      </c>
      <c r="C1057" s="28" t="s">
        <v>30</v>
      </c>
      <c r="D1057" s="28" t="s">
        <v>21</v>
      </c>
      <c r="E1057" s="28" t="s">
        <v>824</v>
      </c>
      <c r="F1057" s="28" t="s">
        <v>825</v>
      </c>
      <c r="G1057" s="28">
        <v>11.5</v>
      </c>
      <c r="H1057" s="28" t="s">
        <v>24</v>
      </c>
      <c r="I1057" s="28" t="s">
        <v>826</v>
      </c>
      <c r="J1057" s="28" t="s">
        <v>694</v>
      </c>
      <c r="K1057" s="28" t="s">
        <v>580</v>
      </c>
      <c r="L1057" s="28" t="s">
        <v>240</v>
      </c>
      <c r="M1057" s="28" t="s">
        <v>193</v>
      </c>
      <c r="N1057" s="28" t="s">
        <v>194</v>
      </c>
      <c r="O1057" s="29">
        <v>30158</v>
      </c>
      <c r="P1057" s="28"/>
      <c r="Q1057" s="28"/>
      <c r="R1057" s="28">
        <v>11.5</v>
      </c>
      <c r="S1057" s="28" t="s">
        <v>29</v>
      </c>
    </row>
    <row r="1058" spans="1:19" ht="29.25">
      <c r="A1058" s="28">
        <v>40600</v>
      </c>
      <c r="B1058" s="28" t="s">
        <v>87</v>
      </c>
      <c r="C1058" s="28" t="s">
        <v>30</v>
      </c>
      <c r="D1058" s="28" t="s">
        <v>21</v>
      </c>
      <c r="E1058" s="28"/>
      <c r="F1058" s="28" t="s">
        <v>1056</v>
      </c>
      <c r="G1058" s="28">
        <v>0</v>
      </c>
      <c r="H1058" s="28" t="s">
        <v>5</v>
      </c>
      <c r="I1058" s="28">
        <v>2005</v>
      </c>
      <c r="J1058" s="28" t="s">
        <v>694</v>
      </c>
      <c r="K1058" s="28" t="s">
        <v>366</v>
      </c>
      <c r="L1058" s="28"/>
      <c r="M1058" s="28" t="s">
        <v>38</v>
      </c>
      <c r="N1058" s="28" t="s">
        <v>39</v>
      </c>
      <c r="O1058" s="29">
        <v>30831</v>
      </c>
      <c r="P1058" s="28" t="s">
        <v>1057</v>
      </c>
      <c r="Q1058" s="28"/>
      <c r="R1058" s="28">
        <v>1.5</v>
      </c>
      <c r="S1058" s="28" t="s">
        <v>29</v>
      </c>
    </row>
    <row r="1059" spans="1:19" ht="29.25">
      <c r="A1059" s="24">
        <v>40700</v>
      </c>
      <c r="B1059" s="24" t="s">
        <v>87</v>
      </c>
      <c r="C1059" s="24" t="s">
        <v>30</v>
      </c>
      <c r="D1059" s="24" t="s">
        <v>30</v>
      </c>
      <c r="E1059" s="24" t="s">
        <v>1481</v>
      </c>
      <c r="F1059" s="24" t="s">
        <v>1482</v>
      </c>
      <c r="G1059" s="24">
        <v>21.8</v>
      </c>
      <c r="H1059" s="24" t="s">
        <v>5</v>
      </c>
      <c r="I1059" s="24" t="s">
        <v>90</v>
      </c>
      <c r="J1059" s="24" t="s">
        <v>90</v>
      </c>
      <c r="K1059" s="24"/>
      <c r="L1059" s="24" t="s">
        <v>888</v>
      </c>
      <c r="M1059" s="24" t="s">
        <v>38</v>
      </c>
      <c r="N1059" s="24" t="s">
        <v>39</v>
      </c>
      <c r="O1059" s="25">
        <v>31778</v>
      </c>
      <c r="P1059" s="24"/>
      <c r="Q1059" s="24"/>
      <c r="R1059" s="24">
        <v>21.8</v>
      </c>
      <c r="S1059" s="24" t="s">
        <v>29</v>
      </c>
    </row>
    <row r="1060" spans="1:19" ht="29.25">
      <c r="A1060" s="26">
        <v>40701</v>
      </c>
      <c r="B1060" s="26" t="s">
        <v>87</v>
      </c>
      <c r="C1060" s="26" t="s">
        <v>30</v>
      </c>
      <c r="D1060" s="26" t="s">
        <v>21</v>
      </c>
      <c r="E1060" s="26"/>
      <c r="F1060" s="26" t="s">
        <v>2122</v>
      </c>
      <c r="G1060" s="26"/>
      <c r="H1060" s="26" t="s">
        <v>5</v>
      </c>
      <c r="I1060" s="26">
        <v>1099</v>
      </c>
      <c r="J1060" s="26" t="s">
        <v>788</v>
      </c>
      <c r="K1060" s="26"/>
      <c r="L1060" s="26"/>
      <c r="M1060" s="26" t="s">
        <v>38</v>
      </c>
      <c r="N1060" s="26" t="s">
        <v>39</v>
      </c>
      <c r="O1060" s="27">
        <v>33966</v>
      </c>
      <c r="P1060" s="26"/>
      <c r="Q1060" s="26"/>
      <c r="R1060" s="26">
        <v>0.57999999999999996</v>
      </c>
      <c r="S1060" s="26" t="s">
        <v>29</v>
      </c>
    </row>
    <row r="1061" spans="1:19" ht="29.25">
      <c r="A1061" s="26">
        <v>40707</v>
      </c>
      <c r="B1061" s="26" t="s">
        <v>87</v>
      </c>
      <c r="C1061" s="26" t="s">
        <v>30</v>
      </c>
      <c r="D1061" s="26" t="s">
        <v>21</v>
      </c>
      <c r="E1061" s="26"/>
      <c r="F1061" s="26" t="s">
        <v>1083</v>
      </c>
      <c r="G1061" s="26"/>
      <c r="H1061" s="26" t="s">
        <v>5</v>
      </c>
      <c r="I1061" s="26">
        <v>4016</v>
      </c>
      <c r="J1061" s="26" t="s">
        <v>25</v>
      </c>
      <c r="K1061" s="26" t="s">
        <v>25</v>
      </c>
      <c r="L1061" s="26" t="s">
        <v>26</v>
      </c>
      <c r="M1061" s="26" t="s">
        <v>38</v>
      </c>
      <c r="N1061" s="26" t="s">
        <v>39</v>
      </c>
      <c r="O1061" s="27">
        <v>30972</v>
      </c>
      <c r="P1061" s="26"/>
      <c r="Q1061" s="26"/>
      <c r="R1061" s="26">
        <v>0.13</v>
      </c>
      <c r="S1061" s="26" t="s">
        <v>29</v>
      </c>
    </row>
    <row r="1062" spans="1:19" ht="29.25">
      <c r="A1062" s="26">
        <v>40703</v>
      </c>
      <c r="B1062" s="26" t="s">
        <v>87</v>
      </c>
      <c r="C1062" s="26" t="s">
        <v>30</v>
      </c>
      <c r="D1062" s="26" t="s">
        <v>21</v>
      </c>
      <c r="E1062" s="26"/>
      <c r="F1062" s="26" t="s">
        <v>1974</v>
      </c>
      <c r="G1062" s="26"/>
      <c r="H1062" s="26" t="s">
        <v>5</v>
      </c>
      <c r="I1062" s="26">
        <v>1077</v>
      </c>
      <c r="J1062" s="26" t="s">
        <v>788</v>
      </c>
      <c r="K1062" s="26"/>
      <c r="L1062" s="26"/>
      <c r="M1062" s="26" t="s">
        <v>38</v>
      </c>
      <c r="N1062" s="26" t="s">
        <v>39</v>
      </c>
      <c r="O1062" s="27">
        <v>32925</v>
      </c>
      <c r="P1062" s="26"/>
      <c r="Q1062" s="26"/>
      <c r="R1062" s="26">
        <v>8</v>
      </c>
      <c r="S1062" s="26" t="s">
        <v>29</v>
      </c>
    </row>
    <row r="1063" spans="1:19" ht="29.25">
      <c r="A1063" s="28">
        <v>40800</v>
      </c>
      <c r="B1063" s="28" t="s">
        <v>87</v>
      </c>
      <c r="C1063" s="28" t="s">
        <v>30</v>
      </c>
      <c r="D1063" s="28" t="s">
        <v>21</v>
      </c>
      <c r="E1063" s="28" t="s">
        <v>1069</v>
      </c>
      <c r="F1063" s="28" t="s">
        <v>1070</v>
      </c>
      <c r="G1063" s="28">
        <v>1.25</v>
      </c>
      <c r="H1063" s="28" t="s">
        <v>24</v>
      </c>
      <c r="I1063" s="28" t="s">
        <v>1071</v>
      </c>
      <c r="J1063" s="28" t="s">
        <v>694</v>
      </c>
      <c r="K1063" s="28" t="s">
        <v>296</v>
      </c>
      <c r="L1063" s="28" t="s">
        <v>240</v>
      </c>
      <c r="M1063" s="28" t="s">
        <v>27</v>
      </c>
      <c r="N1063" s="28" t="s">
        <v>28</v>
      </c>
      <c r="O1063" s="29">
        <v>30909</v>
      </c>
      <c r="P1063" s="28" t="s">
        <v>1072</v>
      </c>
      <c r="Q1063" s="28"/>
      <c r="R1063" s="28">
        <v>1.25</v>
      </c>
      <c r="S1063" s="28" t="s">
        <v>29</v>
      </c>
    </row>
    <row r="1064" spans="1:19">
      <c r="A1064" s="28">
        <v>40900</v>
      </c>
      <c r="B1064" s="28" t="s">
        <v>87</v>
      </c>
      <c r="C1064" s="28" t="s">
        <v>30</v>
      </c>
      <c r="D1064" s="28" t="s">
        <v>21</v>
      </c>
      <c r="E1064" s="28" t="s">
        <v>1632</v>
      </c>
      <c r="F1064" s="28" t="s">
        <v>1633</v>
      </c>
      <c r="G1064" s="28">
        <v>38.909999999999997</v>
      </c>
      <c r="H1064" s="28" t="s">
        <v>5</v>
      </c>
      <c r="I1064" s="28">
        <v>1028</v>
      </c>
      <c r="J1064" s="28" t="s">
        <v>788</v>
      </c>
      <c r="K1064" s="28" t="s">
        <v>366</v>
      </c>
      <c r="L1064" s="28" t="s">
        <v>888</v>
      </c>
      <c r="M1064" s="28" t="s">
        <v>38</v>
      </c>
      <c r="N1064" s="28" t="s">
        <v>39</v>
      </c>
      <c r="O1064" s="29">
        <v>32143</v>
      </c>
      <c r="P1064" s="28"/>
      <c r="Q1064" s="28"/>
      <c r="R1064" s="28">
        <v>38.909999999999997</v>
      </c>
      <c r="S1064" s="28" t="s">
        <v>29</v>
      </c>
    </row>
    <row r="1065" spans="1:19" ht="29.25">
      <c r="A1065" s="28">
        <v>41000</v>
      </c>
      <c r="B1065" s="28" t="s">
        <v>87</v>
      </c>
      <c r="C1065" s="28" t="s">
        <v>30</v>
      </c>
      <c r="D1065" s="28" t="s">
        <v>21</v>
      </c>
      <c r="E1065" s="28"/>
      <c r="F1065" s="28" t="s">
        <v>2110</v>
      </c>
      <c r="G1065" s="28">
        <v>0.55000000000000004</v>
      </c>
      <c r="H1065" s="28" t="s">
        <v>5</v>
      </c>
      <c r="I1065" s="28">
        <v>2401</v>
      </c>
      <c r="J1065" s="28" t="s">
        <v>694</v>
      </c>
      <c r="K1065" s="28"/>
      <c r="L1065" s="28"/>
      <c r="M1065" s="28" t="s">
        <v>38</v>
      </c>
      <c r="N1065" s="28" t="s">
        <v>39</v>
      </c>
      <c r="O1065" s="29">
        <v>33696</v>
      </c>
      <c r="P1065" s="28"/>
      <c r="Q1065" s="28"/>
      <c r="R1065" s="28">
        <v>0.55000000000000004</v>
      </c>
      <c r="S1065" s="28" t="s">
        <v>29</v>
      </c>
    </row>
    <row r="1066" spans="1:19" ht="29.25">
      <c r="A1066" s="24">
        <v>41100</v>
      </c>
      <c r="B1066" s="24" t="s">
        <v>87</v>
      </c>
      <c r="C1066" s="24" t="s">
        <v>30</v>
      </c>
      <c r="D1066" s="24" t="s">
        <v>30</v>
      </c>
      <c r="E1066" s="24" t="s">
        <v>970</v>
      </c>
      <c r="F1066" s="24" t="s">
        <v>971</v>
      </c>
      <c r="G1066" s="24">
        <v>1.25</v>
      </c>
      <c r="H1066" s="24" t="s">
        <v>24</v>
      </c>
      <c r="I1066" s="24" t="s">
        <v>90</v>
      </c>
      <c r="J1066" s="24" t="s">
        <v>694</v>
      </c>
      <c r="K1066" s="24"/>
      <c r="L1066" s="24" t="s">
        <v>240</v>
      </c>
      <c r="M1066" s="24" t="s">
        <v>27</v>
      </c>
      <c r="N1066" s="24" t="s">
        <v>28</v>
      </c>
      <c r="O1066" s="25">
        <v>30655</v>
      </c>
      <c r="P1066" s="24"/>
      <c r="Q1066" s="24"/>
      <c r="R1066" s="24">
        <v>0.24</v>
      </c>
      <c r="S1066" s="24" t="s">
        <v>29</v>
      </c>
    </row>
    <row r="1067" spans="1:19">
      <c r="A1067" s="26">
        <v>41102</v>
      </c>
      <c r="B1067" s="26" t="s">
        <v>87</v>
      </c>
      <c r="C1067" s="26" t="s">
        <v>30</v>
      </c>
      <c r="D1067" s="26" t="s">
        <v>21</v>
      </c>
      <c r="E1067" s="26"/>
      <c r="F1067" s="26" t="s">
        <v>1412</v>
      </c>
      <c r="G1067" s="26"/>
      <c r="H1067" s="26" t="s">
        <v>24</v>
      </c>
      <c r="I1067" s="26" t="s">
        <v>1413</v>
      </c>
      <c r="J1067" s="26" t="s">
        <v>694</v>
      </c>
      <c r="K1067" s="26"/>
      <c r="L1067" s="26" t="s">
        <v>240</v>
      </c>
      <c r="M1067" s="26" t="s">
        <v>27</v>
      </c>
      <c r="N1067" s="26" t="s">
        <v>28</v>
      </c>
      <c r="O1067" s="27">
        <v>31610</v>
      </c>
      <c r="P1067" s="26"/>
      <c r="Q1067" s="26"/>
      <c r="R1067" s="26">
        <v>0.06</v>
      </c>
      <c r="S1067" s="26" t="s">
        <v>29</v>
      </c>
    </row>
    <row r="1068" spans="1:19">
      <c r="A1068" s="26">
        <v>41101</v>
      </c>
      <c r="B1068" s="26" t="s">
        <v>87</v>
      </c>
      <c r="C1068" s="26" t="s">
        <v>30</v>
      </c>
      <c r="D1068" s="26" t="s">
        <v>21</v>
      </c>
      <c r="E1068" s="26"/>
      <c r="F1068" s="26" t="s">
        <v>3209</v>
      </c>
      <c r="G1068" s="26"/>
      <c r="H1068" s="26" t="s">
        <v>24</v>
      </c>
      <c r="I1068" s="26" t="s">
        <v>3210</v>
      </c>
      <c r="J1068" s="26" t="s">
        <v>1025</v>
      </c>
      <c r="K1068" s="26" t="s">
        <v>2138</v>
      </c>
      <c r="L1068" s="26" t="s">
        <v>1026</v>
      </c>
      <c r="M1068" s="26" t="s">
        <v>27</v>
      </c>
      <c r="N1068" s="26" t="s">
        <v>28</v>
      </c>
      <c r="O1068" s="26" t="s">
        <v>4687</v>
      </c>
      <c r="P1068" s="26"/>
      <c r="Q1068" s="26"/>
      <c r="R1068" s="26">
        <v>0</v>
      </c>
      <c r="S1068" s="26" t="s">
        <v>29</v>
      </c>
    </row>
    <row r="1069" spans="1:19">
      <c r="A1069" s="26">
        <v>41104</v>
      </c>
      <c r="B1069" s="26" t="s">
        <v>87</v>
      </c>
      <c r="C1069" s="26" t="s">
        <v>30</v>
      </c>
      <c r="D1069" s="26" t="s">
        <v>21</v>
      </c>
      <c r="E1069" s="26"/>
      <c r="F1069" s="26" t="s">
        <v>1330</v>
      </c>
      <c r="G1069" s="26"/>
      <c r="H1069" s="26" t="s">
        <v>24</v>
      </c>
      <c r="I1069" s="26" t="s">
        <v>1331</v>
      </c>
      <c r="J1069" s="26" t="s">
        <v>694</v>
      </c>
      <c r="K1069" s="26"/>
      <c r="L1069" s="26" t="s">
        <v>240</v>
      </c>
      <c r="M1069" s="26" t="s">
        <v>27</v>
      </c>
      <c r="N1069" s="26" t="s">
        <v>28</v>
      </c>
      <c r="O1069" s="27">
        <v>31420</v>
      </c>
      <c r="P1069" s="26"/>
      <c r="Q1069" s="26"/>
      <c r="R1069" s="26">
        <v>0.12</v>
      </c>
      <c r="S1069" s="26" t="s">
        <v>29</v>
      </c>
    </row>
    <row r="1070" spans="1:19">
      <c r="A1070" s="26">
        <v>41103</v>
      </c>
      <c r="B1070" s="26" t="s">
        <v>87</v>
      </c>
      <c r="C1070" s="26" t="s">
        <v>30</v>
      </c>
      <c r="D1070" s="26" t="s">
        <v>21</v>
      </c>
      <c r="E1070" s="26"/>
      <c r="F1070" s="26" t="s">
        <v>2067</v>
      </c>
      <c r="G1070" s="26"/>
      <c r="H1070" s="26" t="s">
        <v>24</v>
      </c>
      <c r="I1070" s="26" t="s">
        <v>2068</v>
      </c>
      <c r="J1070" s="26" t="s">
        <v>694</v>
      </c>
      <c r="K1070" s="26"/>
      <c r="L1070" s="26" t="s">
        <v>240</v>
      </c>
      <c r="M1070" s="26" t="s">
        <v>27</v>
      </c>
      <c r="N1070" s="26" t="s">
        <v>28</v>
      </c>
      <c r="O1070" s="27">
        <v>33275</v>
      </c>
      <c r="P1070" s="26"/>
      <c r="Q1070" s="26"/>
      <c r="R1070" s="26">
        <v>0.06</v>
      </c>
      <c r="S1070" s="26" t="s">
        <v>29</v>
      </c>
    </row>
    <row r="1071" spans="1:19" ht="29.25">
      <c r="A1071" s="28">
        <v>41200</v>
      </c>
      <c r="B1071" s="28" t="s">
        <v>87</v>
      </c>
      <c r="C1071" s="28" t="s">
        <v>30</v>
      </c>
      <c r="D1071" s="28" t="s">
        <v>21</v>
      </c>
      <c r="E1071" s="28"/>
      <c r="F1071" s="28" t="s">
        <v>1685</v>
      </c>
      <c r="G1071" s="28">
        <v>0.06</v>
      </c>
      <c r="H1071" s="28" t="s">
        <v>5</v>
      </c>
      <c r="I1071" s="28">
        <v>2273</v>
      </c>
      <c r="J1071" s="28" t="s">
        <v>694</v>
      </c>
      <c r="K1071" s="28"/>
      <c r="L1071" s="28"/>
      <c r="M1071" s="28" t="s">
        <v>38</v>
      </c>
      <c r="N1071" s="28" t="s">
        <v>39</v>
      </c>
      <c r="O1071" s="29">
        <v>32283</v>
      </c>
      <c r="P1071" s="28"/>
      <c r="Q1071" s="28"/>
      <c r="R1071" s="28">
        <v>0.06</v>
      </c>
      <c r="S1071" s="28" t="s">
        <v>29</v>
      </c>
    </row>
    <row r="1072" spans="1:19" ht="29.25">
      <c r="A1072" s="28">
        <v>41300</v>
      </c>
      <c r="B1072" s="28" t="s">
        <v>87</v>
      </c>
      <c r="C1072" s="28" t="s">
        <v>30</v>
      </c>
      <c r="D1072" s="28" t="s">
        <v>21</v>
      </c>
      <c r="E1072" s="28"/>
      <c r="F1072" s="28" t="s">
        <v>1483</v>
      </c>
      <c r="G1072" s="28">
        <v>0.5</v>
      </c>
      <c r="H1072" s="28" t="s">
        <v>5</v>
      </c>
      <c r="I1072" s="28">
        <v>1068</v>
      </c>
      <c r="J1072" s="28" t="s">
        <v>788</v>
      </c>
      <c r="K1072" s="28"/>
      <c r="L1072" s="28"/>
      <c r="M1072" s="28" t="s">
        <v>38</v>
      </c>
      <c r="N1072" s="28" t="s">
        <v>39</v>
      </c>
      <c r="O1072" s="29">
        <v>31778</v>
      </c>
      <c r="P1072" s="28"/>
      <c r="Q1072" s="28"/>
      <c r="R1072" s="28">
        <v>0.5</v>
      </c>
      <c r="S1072" s="28" t="s">
        <v>29</v>
      </c>
    </row>
    <row r="1073" spans="1:19" ht="29.25">
      <c r="A1073" s="28">
        <v>41400</v>
      </c>
      <c r="B1073" s="28" t="s">
        <v>87</v>
      </c>
      <c r="C1073" s="28" t="s">
        <v>30</v>
      </c>
      <c r="D1073" s="28" t="s">
        <v>21</v>
      </c>
      <c r="E1073" s="28" t="s">
        <v>2095</v>
      </c>
      <c r="F1073" s="28" t="s">
        <v>2096</v>
      </c>
      <c r="G1073" s="28">
        <v>52.9</v>
      </c>
      <c r="H1073" s="28" t="s">
        <v>24</v>
      </c>
      <c r="I1073" s="28" t="s">
        <v>2097</v>
      </c>
      <c r="J1073" s="28" t="s">
        <v>694</v>
      </c>
      <c r="K1073" s="28"/>
      <c r="L1073" s="28" t="s">
        <v>240</v>
      </c>
      <c r="M1073" s="28" t="s">
        <v>27</v>
      </c>
      <c r="N1073" s="28" t="s">
        <v>28</v>
      </c>
      <c r="O1073" s="29">
        <v>33528</v>
      </c>
      <c r="P1073" s="28"/>
      <c r="Q1073" s="28"/>
      <c r="R1073" s="28">
        <v>52.9</v>
      </c>
      <c r="S1073" s="28" t="s">
        <v>29</v>
      </c>
    </row>
    <row r="1074" spans="1:19">
      <c r="A1074" s="28">
        <v>41800</v>
      </c>
      <c r="B1074" s="28" t="s">
        <v>87</v>
      </c>
      <c r="C1074" s="28" t="s">
        <v>30</v>
      </c>
      <c r="D1074" s="28" t="s">
        <v>21</v>
      </c>
      <c r="E1074" s="28" t="s">
        <v>1050</v>
      </c>
      <c r="F1074" s="28" t="s">
        <v>1051</v>
      </c>
      <c r="G1074" s="28">
        <v>13.8</v>
      </c>
      <c r="H1074" s="28" t="s">
        <v>24</v>
      </c>
      <c r="I1074" s="28" t="s">
        <v>1052</v>
      </c>
      <c r="J1074" s="28" t="s">
        <v>788</v>
      </c>
      <c r="K1074" s="28" t="s">
        <v>366</v>
      </c>
      <c r="L1074" s="28" t="s">
        <v>789</v>
      </c>
      <c r="M1074" s="28" t="s">
        <v>27</v>
      </c>
      <c r="N1074" s="28" t="s">
        <v>28</v>
      </c>
      <c r="O1074" s="29">
        <v>30776</v>
      </c>
      <c r="P1074" s="28"/>
      <c r="Q1074" s="28"/>
      <c r="R1074" s="28">
        <v>13.8</v>
      </c>
      <c r="S1074" s="28" t="s">
        <v>29</v>
      </c>
    </row>
    <row r="1075" spans="1:19" ht="29.25">
      <c r="A1075" s="28">
        <v>83100</v>
      </c>
      <c r="B1075" s="28" t="s">
        <v>87</v>
      </c>
      <c r="C1075" s="28" t="s">
        <v>21</v>
      </c>
      <c r="D1075" s="28" t="s">
        <v>21</v>
      </c>
      <c r="E1075" s="28" t="s">
        <v>2596</v>
      </c>
      <c r="F1075" s="28" t="s">
        <v>2597</v>
      </c>
      <c r="G1075" s="28">
        <v>1.2</v>
      </c>
      <c r="H1075" s="28" t="s">
        <v>5</v>
      </c>
      <c r="I1075" s="28" t="s">
        <v>2598</v>
      </c>
      <c r="J1075" s="28" t="s">
        <v>788</v>
      </c>
      <c r="K1075" s="28" t="s">
        <v>296</v>
      </c>
      <c r="L1075" s="28" t="s">
        <v>888</v>
      </c>
      <c r="M1075" s="28" t="s">
        <v>38</v>
      </c>
      <c r="N1075" s="28" t="s">
        <v>39</v>
      </c>
      <c r="O1075" s="29">
        <v>37725</v>
      </c>
      <c r="P1075" s="28"/>
      <c r="Q1075" s="28"/>
      <c r="R1075" s="28">
        <v>1.2</v>
      </c>
      <c r="S1075" s="28" t="s">
        <v>29</v>
      </c>
    </row>
    <row r="1076" spans="1:19" ht="29.25">
      <c r="A1076" s="28">
        <v>42100</v>
      </c>
      <c r="B1076" s="28" t="s">
        <v>87</v>
      </c>
      <c r="C1076" s="28" t="s">
        <v>30</v>
      </c>
      <c r="D1076" s="28" t="s">
        <v>21</v>
      </c>
      <c r="E1076" s="28"/>
      <c r="F1076" s="28" t="s">
        <v>1615</v>
      </c>
      <c r="G1076" s="28">
        <v>0.08</v>
      </c>
      <c r="H1076" s="28" t="s">
        <v>5</v>
      </c>
      <c r="I1076" s="28">
        <v>2326</v>
      </c>
      <c r="J1076" s="28" t="s">
        <v>694</v>
      </c>
      <c r="K1076" s="28"/>
      <c r="L1076" s="28"/>
      <c r="M1076" s="28" t="s">
        <v>38</v>
      </c>
      <c r="N1076" s="28" t="s">
        <v>39</v>
      </c>
      <c r="O1076" s="29">
        <v>32120</v>
      </c>
      <c r="P1076" s="28"/>
      <c r="Q1076" s="28"/>
      <c r="R1076" s="28">
        <v>0.08</v>
      </c>
      <c r="S1076" s="28" t="s">
        <v>29</v>
      </c>
    </row>
    <row r="1077" spans="1:19" ht="29.25">
      <c r="A1077" s="28">
        <v>42200</v>
      </c>
      <c r="B1077" s="28" t="s">
        <v>87</v>
      </c>
      <c r="C1077" s="28" t="s">
        <v>30</v>
      </c>
      <c r="D1077" s="28" t="s">
        <v>21</v>
      </c>
      <c r="E1077" s="28"/>
      <c r="F1077" s="28" t="s">
        <v>1568</v>
      </c>
      <c r="G1077" s="28">
        <v>0.08</v>
      </c>
      <c r="H1077" s="28" t="s">
        <v>5</v>
      </c>
      <c r="I1077" s="28">
        <v>2268</v>
      </c>
      <c r="J1077" s="28" t="s">
        <v>694</v>
      </c>
      <c r="K1077" s="28"/>
      <c r="L1077" s="28"/>
      <c r="M1077" s="28" t="s">
        <v>38</v>
      </c>
      <c r="N1077" s="28" t="s">
        <v>39</v>
      </c>
      <c r="O1077" s="29">
        <v>31933</v>
      </c>
      <c r="P1077" s="28"/>
      <c r="Q1077" s="28"/>
      <c r="R1077" s="28">
        <v>0.08</v>
      </c>
      <c r="S1077" s="28" t="s">
        <v>29</v>
      </c>
    </row>
    <row r="1078" spans="1:19" ht="29.25">
      <c r="A1078" s="24">
        <v>42400</v>
      </c>
      <c r="B1078" s="24" t="s">
        <v>87</v>
      </c>
      <c r="C1078" s="24" t="s">
        <v>30</v>
      </c>
      <c r="D1078" s="24" t="s">
        <v>30</v>
      </c>
      <c r="E1078" s="24" t="s">
        <v>806</v>
      </c>
      <c r="F1078" s="24" t="s">
        <v>807</v>
      </c>
      <c r="G1078" s="24">
        <v>41.8</v>
      </c>
      <c r="H1078" s="24" t="s">
        <v>5</v>
      </c>
      <c r="I1078" s="24" t="s">
        <v>90</v>
      </c>
      <c r="J1078" s="24" t="s">
        <v>90</v>
      </c>
      <c r="K1078" s="24"/>
      <c r="L1078" s="24" t="s">
        <v>644</v>
      </c>
      <c r="M1078" s="24" t="s">
        <v>38</v>
      </c>
      <c r="N1078" s="24" t="s">
        <v>39</v>
      </c>
      <c r="O1078" s="25">
        <v>29952</v>
      </c>
      <c r="P1078" s="24"/>
      <c r="Q1078" s="24"/>
      <c r="R1078" s="24">
        <v>37.840000000000003</v>
      </c>
      <c r="S1078" s="24" t="s">
        <v>29</v>
      </c>
    </row>
    <row r="1079" spans="1:19">
      <c r="A1079" s="26">
        <v>42401</v>
      </c>
      <c r="B1079" s="26" t="s">
        <v>87</v>
      </c>
      <c r="C1079" s="26" t="s">
        <v>30</v>
      </c>
      <c r="D1079" s="26" t="s">
        <v>21</v>
      </c>
      <c r="E1079" s="26"/>
      <c r="F1079" s="26" t="s">
        <v>1735</v>
      </c>
      <c r="G1079" s="26"/>
      <c r="H1079" s="26" t="s">
        <v>5</v>
      </c>
      <c r="I1079" s="26">
        <v>4071</v>
      </c>
      <c r="J1079" s="26" t="s">
        <v>25</v>
      </c>
      <c r="K1079" s="26"/>
      <c r="L1079" s="26"/>
      <c r="M1079" s="26" t="s">
        <v>38</v>
      </c>
      <c r="N1079" s="26" t="s">
        <v>39</v>
      </c>
      <c r="O1079" s="27">
        <v>32469</v>
      </c>
      <c r="P1079" s="26"/>
      <c r="Q1079" s="26"/>
      <c r="R1079" s="26">
        <v>0.1</v>
      </c>
      <c r="S1079" s="26" t="s">
        <v>29</v>
      </c>
    </row>
    <row r="1080" spans="1:19">
      <c r="A1080" s="26">
        <v>42402</v>
      </c>
      <c r="B1080" s="26" t="s">
        <v>87</v>
      </c>
      <c r="C1080" s="26" t="s">
        <v>30</v>
      </c>
      <c r="D1080" s="26" t="s">
        <v>21</v>
      </c>
      <c r="E1080" s="26"/>
      <c r="F1080" s="26" t="s">
        <v>953</v>
      </c>
      <c r="G1080" s="26"/>
      <c r="H1080" s="26" t="s">
        <v>5</v>
      </c>
      <c r="I1080" s="26">
        <v>4008</v>
      </c>
      <c r="J1080" s="26" t="s">
        <v>25</v>
      </c>
      <c r="K1080" s="26"/>
      <c r="L1080" s="26"/>
      <c r="M1080" s="26" t="s">
        <v>38</v>
      </c>
      <c r="N1080" s="26" t="s">
        <v>39</v>
      </c>
      <c r="O1080" s="27">
        <v>30511</v>
      </c>
      <c r="P1080" s="26"/>
      <c r="Q1080" s="26"/>
      <c r="R1080" s="26">
        <v>0.95</v>
      </c>
      <c r="S1080" s="26" t="s">
        <v>29</v>
      </c>
    </row>
    <row r="1081" spans="1:19" ht="29.25">
      <c r="A1081" s="26">
        <v>42403</v>
      </c>
      <c r="B1081" s="26" t="s">
        <v>87</v>
      </c>
      <c r="C1081" s="26" t="s">
        <v>30</v>
      </c>
      <c r="D1081" s="26" t="s">
        <v>21</v>
      </c>
      <c r="E1081" s="26"/>
      <c r="F1081" s="26" t="s">
        <v>949</v>
      </c>
      <c r="G1081" s="26"/>
      <c r="H1081" s="26" t="s">
        <v>5</v>
      </c>
      <c r="I1081" s="26">
        <v>4006</v>
      </c>
      <c r="J1081" s="26" t="s">
        <v>25</v>
      </c>
      <c r="K1081" s="26"/>
      <c r="L1081" s="26"/>
      <c r="M1081" s="26" t="s">
        <v>38</v>
      </c>
      <c r="N1081" s="26" t="s">
        <v>39</v>
      </c>
      <c r="O1081" s="27">
        <v>30498</v>
      </c>
      <c r="P1081" s="26"/>
      <c r="Q1081" s="26"/>
      <c r="R1081" s="26">
        <v>0.28999999999999998</v>
      </c>
      <c r="S1081" s="26" t="s">
        <v>29</v>
      </c>
    </row>
    <row r="1082" spans="1:19">
      <c r="A1082" s="26">
        <v>42407</v>
      </c>
      <c r="B1082" s="26" t="s">
        <v>87</v>
      </c>
      <c r="C1082" s="26" t="s">
        <v>30</v>
      </c>
      <c r="D1082" s="26" t="s">
        <v>21</v>
      </c>
      <c r="E1082" s="26"/>
      <c r="F1082" s="26" t="s">
        <v>2051</v>
      </c>
      <c r="G1082" s="26"/>
      <c r="H1082" s="26" t="s">
        <v>5</v>
      </c>
      <c r="I1082" s="26">
        <v>3018</v>
      </c>
      <c r="J1082" s="26" t="s">
        <v>644</v>
      </c>
      <c r="K1082" s="26"/>
      <c r="L1082" s="26"/>
      <c r="M1082" s="26" t="s">
        <v>38</v>
      </c>
      <c r="N1082" s="26" t="s">
        <v>39</v>
      </c>
      <c r="O1082" s="27">
        <v>33229</v>
      </c>
      <c r="P1082" s="26" t="s">
        <v>1091</v>
      </c>
      <c r="Q1082" s="26"/>
      <c r="R1082" s="26">
        <v>10</v>
      </c>
      <c r="S1082" s="26" t="s">
        <v>29</v>
      </c>
    </row>
    <row r="1083" spans="1:19">
      <c r="A1083" s="26">
        <v>42408</v>
      </c>
      <c r="B1083" s="26" t="s">
        <v>87</v>
      </c>
      <c r="C1083" s="26" t="s">
        <v>30</v>
      </c>
      <c r="D1083" s="26" t="s">
        <v>21</v>
      </c>
      <c r="E1083" s="26"/>
      <c r="F1083" s="26" t="s">
        <v>1391</v>
      </c>
      <c r="G1083" s="26"/>
      <c r="H1083" s="26" t="s">
        <v>5</v>
      </c>
      <c r="I1083" s="26">
        <v>4031</v>
      </c>
      <c r="J1083" s="26" t="s">
        <v>25</v>
      </c>
      <c r="K1083" s="26"/>
      <c r="L1083" s="26"/>
      <c r="M1083" s="26" t="s">
        <v>38</v>
      </c>
      <c r="N1083" s="26" t="s">
        <v>39</v>
      </c>
      <c r="O1083" s="27">
        <v>31527</v>
      </c>
      <c r="P1083" s="26"/>
      <c r="Q1083" s="26"/>
      <c r="R1083" s="26">
        <v>0.16</v>
      </c>
      <c r="S1083" s="26" t="s">
        <v>29</v>
      </c>
    </row>
    <row r="1084" spans="1:19">
      <c r="A1084" s="26">
        <v>42405</v>
      </c>
      <c r="B1084" s="26" t="s">
        <v>87</v>
      </c>
      <c r="C1084" s="26" t="s">
        <v>30</v>
      </c>
      <c r="D1084" s="26" t="s">
        <v>21</v>
      </c>
      <c r="E1084" s="26"/>
      <c r="F1084" s="26" t="s">
        <v>1090</v>
      </c>
      <c r="G1084" s="26"/>
      <c r="H1084" s="26" t="s">
        <v>5</v>
      </c>
      <c r="I1084" s="26">
        <v>3003</v>
      </c>
      <c r="J1084" s="26" t="s">
        <v>644</v>
      </c>
      <c r="K1084" s="26"/>
      <c r="L1084" s="26"/>
      <c r="M1084" s="26" t="s">
        <v>38</v>
      </c>
      <c r="N1084" s="26" t="s">
        <v>39</v>
      </c>
      <c r="O1084" s="27">
        <v>31012</v>
      </c>
      <c r="P1084" s="26" t="s">
        <v>1091</v>
      </c>
      <c r="Q1084" s="26"/>
      <c r="R1084" s="26">
        <v>5.19</v>
      </c>
      <c r="S1084" s="26" t="s">
        <v>29</v>
      </c>
    </row>
    <row r="1085" spans="1:19">
      <c r="A1085" s="26">
        <v>42406</v>
      </c>
      <c r="B1085" s="26" t="s">
        <v>87</v>
      </c>
      <c r="C1085" s="26" t="s">
        <v>30</v>
      </c>
      <c r="D1085" s="26" t="s">
        <v>21</v>
      </c>
      <c r="E1085" s="26"/>
      <c r="F1085" s="26" t="s">
        <v>2042</v>
      </c>
      <c r="G1085" s="26"/>
      <c r="H1085" s="26" t="s">
        <v>5</v>
      </c>
      <c r="I1085" s="26">
        <v>3027</v>
      </c>
      <c r="J1085" s="26" t="s">
        <v>644</v>
      </c>
      <c r="K1085" s="26"/>
      <c r="L1085" s="26"/>
      <c r="M1085" s="26" t="s">
        <v>38</v>
      </c>
      <c r="N1085" s="26" t="s">
        <v>39</v>
      </c>
      <c r="O1085" s="27">
        <v>33214</v>
      </c>
      <c r="P1085" s="26" t="s">
        <v>1091</v>
      </c>
      <c r="Q1085" s="26"/>
      <c r="R1085" s="26">
        <v>9.1</v>
      </c>
      <c r="S1085" s="26" t="s">
        <v>29</v>
      </c>
    </row>
    <row r="1086" spans="1:19" ht="29.25">
      <c r="A1086" s="26">
        <v>42404</v>
      </c>
      <c r="B1086" s="26" t="s">
        <v>87</v>
      </c>
      <c r="C1086" s="26" t="s">
        <v>30</v>
      </c>
      <c r="D1086" s="26" t="s">
        <v>21</v>
      </c>
      <c r="E1086" s="26"/>
      <c r="F1086" s="26" t="s">
        <v>815</v>
      </c>
      <c r="G1086" s="26"/>
      <c r="H1086" s="26" t="s">
        <v>5</v>
      </c>
      <c r="I1086" s="26">
        <v>4004</v>
      </c>
      <c r="J1086" s="26" t="s">
        <v>25</v>
      </c>
      <c r="K1086" s="26"/>
      <c r="L1086" s="26"/>
      <c r="M1086" s="26" t="s">
        <v>38</v>
      </c>
      <c r="N1086" s="26" t="s">
        <v>39</v>
      </c>
      <c r="O1086" s="27">
        <v>30072</v>
      </c>
      <c r="P1086" s="26"/>
      <c r="Q1086" s="26"/>
      <c r="R1086" s="26">
        <v>0.35</v>
      </c>
      <c r="S1086" s="26" t="s">
        <v>29</v>
      </c>
    </row>
    <row r="1087" spans="1:19" ht="29.25">
      <c r="A1087" s="28">
        <v>42500</v>
      </c>
      <c r="B1087" s="28" t="s">
        <v>87</v>
      </c>
      <c r="C1087" s="28" t="s">
        <v>30</v>
      </c>
      <c r="D1087" s="28" t="s">
        <v>21</v>
      </c>
      <c r="E1087" s="28" t="s">
        <v>1687</v>
      </c>
      <c r="F1087" s="28" t="s">
        <v>1688</v>
      </c>
      <c r="G1087" s="28">
        <v>50.05</v>
      </c>
      <c r="H1087" s="28" t="s">
        <v>5</v>
      </c>
      <c r="I1087" s="28">
        <v>2081</v>
      </c>
      <c r="J1087" s="28" t="s">
        <v>694</v>
      </c>
      <c r="K1087" s="28" t="s">
        <v>580</v>
      </c>
      <c r="L1087" s="28" t="s">
        <v>240</v>
      </c>
      <c r="M1087" s="28" t="s">
        <v>38</v>
      </c>
      <c r="N1087" s="28" t="s">
        <v>39</v>
      </c>
      <c r="O1087" s="29">
        <v>32284</v>
      </c>
      <c r="P1087" s="28"/>
      <c r="Q1087" s="28"/>
      <c r="R1087" s="28">
        <v>35</v>
      </c>
      <c r="S1087" s="28" t="s">
        <v>29</v>
      </c>
    </row>
    <row r="1088" spans="1:19" ht="29.25">
      <c r="A1088" s="24">
        <v>43000</v>
      </c>
      <c r="B1088" s="24" t="s">
        <v>87</v>
      </c>
      <c r="C1088" s="24" t="s">
        <v>30</v>
      </c>
      <c r="D1088" s="24" t="s">
        <v>30</v>
      </c>
      <c r="E1088" s="24" t="s">
        <v>1574</v>
      </c>
      <c r="F1088" s="24" t="s">
        <v>1575</v>
      </c>
      <c r="G1088" s="24">
        <v>92.2</v>
      </c>
      <c r="H1088" s="24" t="s">
        <v>5</v>
      </c>
      <c r="I1088" s="24">
        <v>3008</v>
      </c>
      <c r="J1088" s="24" t="s">
        <v>644</v>
      </c>
      <c r="K1088" s="24"/>
      <c r="L1088" s="24" t="s">
        <v>644</v>
      </c>
      <c r="M1088" s="24" t="s">
        <v>38</v>
      </c>
      <c r="N1088" s="24" t="s">
        <v>39</v>
      </c>
      <c r="O1088" s="25">
        <v>31971</v>
      </c>
      <c r="P1088" s="24"/>
      <c r="Q1088" s="24"/>
      <c r="R1088" s="24">
        <v>75</v>
      </c>
      <c r="S1088" s="24" t="s">
        <v>29</v>
      </c>
    </row>
    <row r="1089" spans="1:19" ht="29.25">
      <c r="A1089" s="26">
        <v>43001</v>
      </c>
      <c r="B1089" s="26" t="s">
        <v>87</v>
      </c>
      <c r="C1089" s="26" t="s">
        <v>30</v>
      </c>
      <c r="D1089" s="26" t="s">
        <v>21</v>
      </c>
      <c r="E1089" s="26"/>
      <c r="F1089" s="26" t="s">
        <v>1576</v>
      </c>
      <c r="G1089" s="26"/>
      <c r="H1089" s="26" t="s">
        <v>5</v>
      </c>
      <c r="I1089" s="26"/>
      <c r="J1089" s="26" t="s">
        <v>644</v>
      </c>
      <c r="K1089" s="26"/>
      <c r="L1089" s="26"/>
      <c r="M1089" s="26" t="s">
        <v>38</v>
      </c>
      <c r="N1089" s="26" t="s">
        <v>39</v>
      </c>
      <c r="O1089" s="27">
        <v>31971</v>
      </c>
      <c r="P1089" s="26"/>
      <c r="Q1089" s="26"/>
      <c r="R1089" s="26">
        <v>24</v>
      </c>
      <c r="S1089" s="26" t="s">
        <v>29</v>
      </c>
    </row>
    <row r="1090" spans="1:19" ht="29.25">
      <c r="A1090" s="26">
        <v>43003</v>
      </c>
      <c r="B1090" s="26" t="s">
        <v>87</v>
      </c>
      <c r="C1090" s="26" t="s">
        <v>30</v>
      </c>
      <c r="D1090" s="26" t="s">
        <v>21</v>
      </c>
      <c r="E1090" s="26"/>
      <c r="F1090" s="26" t="s">
        <v>1578</v>
      </c>
      <c r="G1090" s="26"/>
      <c r="H1090" s="26" t="s">
        <v>5</v>
      </c>
      <c r="I1090" s="26"/>
      <c r="J1090" s="26" t="s">
        <v>644</v>
      </c>
      <c r="K1090" s="26"/>
      <c r="L1090" s="26"/>
      <c r="M1090" s="26" t="s">
        <v>38</v>
      </c>
      <c r="N1090" s="26" t="s">
        <v>39</v>
      </c>
      <c r="O1090" s="27">
        <v>31971</v>
      </c>
      <c r="P1090" s="26"/>
      <c r="Q1090" s="26"/>
      <c r="R1090" s="26">
        <v>27</v>
      </c>
      <c r="S1090" s="26" t="s">
        <v>29</v>
      </c>
    </row>
    <row r="1091" spans="1:19" ht="29.25">
      <c r="A1091" s="26">
        <v>43002</v>
      </c>
      <c r="B1091" s="26" t="s">
        <v>87</v>
      </c>
      <c r="C1091" s="26" t="s">
        <v>30</v>
      </c>
      <c r="D1091" s="26" t="s">
        <v>21</v>
      </c>
      <c r="E1091" s="26"/>
      <c r="F1091" s="26" t="s">
        <v>1577</v>
      </c>
      <c r="G1091" s="26"/>
      <c r="H1091" s="26" t="s">
        <v>5</v>
      </c>
      <c r="I1091" s="26"/>
      <c r="J1091" s="26" t="s">
        <v>644</v>
      </c>
      <c r="K1091" s="26"/>
      <c r="L1091" s="26"/>
      <c r="M1091" s="26" t="s">
        <v>38</v>
      </c>
      <c r="N1091" s="26" t="s">
        <v>39</v>
      </c>
      <c r="O1091" s="27">
        <v>31971</v>
      </c>
      <c r="P1091" s="26"/>
      <c r="Q1091" s="26"/>
      <c r="R1091" s="26">
        <v>24</v>
      </c>
      <c r="S1091" s="26" t="s">
        <v>29</v>
      </c>
    </row>
    <row r="1092" spans="1:19" ht="29.25">
      <c r="A1092" s="28">
        <v>43300</v>
      </c>
      <c r="B1092" s="28" t="s">
        <v>87</v>
      </c>
      <c r="C1092" s="28" t="s">
        <v>30</v>
      </c>
      <c r="D1092" s="28" t="s">
        <v>21</v>
      </c>
      <c r="E1092" s="28"/>
      <c r="F1092" s="28" t="s">
        <v>2192</v>
      </c>
      <c r="G1092" s="28">
        <v>0.12</v>
      </c>
      <c r="H1092" s="28" t="s">
        <v>5</v>
      </c>
      <c r="I1092" s="28">
        <v>2473</v>
      </c>
      <c r="J1092" s="28" t="s">
        <v>694</v>
      </c>
      <c r="K1092" s="28"/>
      <c r="L1092" s="28"/>
      <c r="M1092" s="28" t="s">
        <v>38</v>
      </c>
      <c r="N1092" s="28" t="s">
        <v>39</v>
      </c>
      <c r="O1092" s="29">
        <v>34823</v>
      </c>
      <c r="P1092" s="28"/>
      <c r="Q1092" s="28"/>
      <c r="R1092" s="28">
        <v>0.12</v>
      </c>
      <c r="S1092" s="28" t="s">
        <v>29</v>
      </c>
    </row>
    <row r="1093" spans="1:19" ht="43.5">
      <c r="A1093" s="24">
        <v>43400</v>
      </c>
      <c r="B1093" s="24" t="s">
        <v>87</v>
      </c>
      <c r="C1093" s="24" t="s">
        <v>30</v>
      </c>
      <c r="D1093" s="24" t="s">
        <v>30</v>
      </c>
      <c r="E1093" s="24" t="s">
        <v>808</v>
      </c>
      <c r="F1093" s="24" t="s">
        <v>809</v>
      </c>
      <c r="G1093" s="24">
        <v>1</v>
      </c>
      <c r="H1093" s="24" t="s">
        <v>24</v>
      </c>
      <c r="I1093" s="24" t="s">
        <v>90</v>
      </c>
      <c r="J1093" s="24" t="s">
        <v>25</v>
      </c>
      <c r="K1093" s="24" t="s">
        <v>25</v>
      </c>
      <c r="L1093" s="24" t="s">
        <v>26</v>
      </c>
      <c r="M1093" s="24" t="s">
        <v>27</v>
      </c>
      <c r="N1093" s="24" t="s">
        <v>28</v>
      </c>
      <c r="O1093" s="25">
        <v>29952</v>
      </c>
      <c r="P1093" s="24"/>
      <c r="Q1093" s="24"/>
      <c r="R1093" s="24">
        <v>1</v>
      </c>
      <c r="S1093" s="24" t="s">
        <v>29</v>
      </c>
    </row>
    <row r="1094" spans="1:19">
      <c r="A1094" s="26">
        <v>43401</v>
      </c>
      <c r="B1094" s="26" t="s">
        <v>87</v>
      </c>
      <c r="C1094" s="26" t="s">
        <v>30</v>
      </c>
      <c r="D1094" s="26" t="s">
        <v>21</v>
      </c>
      <c r="E1094" s="26"/>
      <c r="F1094" s="26" t="s">
        <v>839</v>
      </c>
      <c r="G1094" s="26"/>
      <c r="H1094" s="26" t="s">
        <v>24</v>
      </c>
      <c r="I1094" s="26" t="s">
        <v>840</v>
      </c>
      <c r="J1094" s="26" t="s">
        <v>25</v>
      </c>
      <c r="K1094" s="26" t="s">
        <v>25</v>
      </c>
      <c r="L1094" s="26" t="s">
        <v>26</v>
      </c>
      <c r="M1094" s="26" t="s">
        <v>27</v>
      </c>
      <c r="N1094" s="26" t="s">
        <v>28</v>
      </c>
      <c r="O1094" s="27">
        <v>30294</v>
      </c>
      <c r="P1094" s="26"/>
      <c r="Q1094" s="26"/>
      <c r="R1094" s="26">
        <v>0.1</v>
      </c>
      <c r="S1094" s="26" t="s">
        <v>29</v>
      </c>
    </row>
    <row r="1095" spans="1:19" ht="29.25">
      <c r="A1095" s="26">
        <v>43404</v>
      </c>
      <c r="B1095" s="26" t="s">
        <v>87</v>
      </c>
      <c r="C1095" s="26" t="s">
        <v>30</v>
      </c>
      <c r="D1095" s="26" t="s">
        <v>21</v>
      </c>
      <c r="E1095" s="26"/>
      <c r="F1095" s="26" t="s">
        <v>2083</v>
      </c>
      <c r="G1095" s="26"/>
      <c r="H1095" s="26" t="s">
        <v>24</v>
      </c>
      <c r="I1095" s="26" t="s">
        <v>2084</v>
      </c>
      <c r="J1095" s="26" t="s">
        <v>694</v>
      </c>
      <c r="K1095" s="26" t="s">
        <v>296</v>
      </c>
      <c r="L1095" s="26" t="s">
        <v>240</v>
      </c>
      <c r="M1095" s="26" t="s">
        <v>27</v>
      </c>
      <c r="N1095" s="26" t="s">
        <v>28</v>
      </c>
      <c r="O1095" s="27">
        <v>33434</v>
      </c>
      <c r="P1095" s="26"/>
      <c r="Q1095" s="26"/>
      <c r="R1095" s="26">
        <v>0.06</v>
      </c>
      <c r="S1095" s="26" t="s">
        <v>29</v>
      </c>
    </row>
    <row r="1096" spans="1:19" ht="29.25">
      <c r="A1096" s="26">
        <v>43403</v>
      </c>
      <c r="B1096" s="26" t="s">
        <v>87</v>
      </c>
      <c r="C1096" s="26" t="s">
        <v>30</v>
      </c>
      <c r="D1096" s="26" t="s">
        <v>21</v>
      </c>
      <c r="E1096" s="26"/>
      <c r="F1096" s="26" t="s">
        <v>929</v>
      </c>
      <c r="G1096" s="26"/>
      <c r="H1096" s="26" t="s">
        <v>24</v>
      </c>
      <c r="I1096" s="26" t="s">
        <v>930</v>
      </c>
      <c r="J1096" s="26" t="s">
        <v>25</v>
      </c>
      <c r="K1096" s="26" t="s">
        <v>25</v>
      </c>
      <c r="L1096" s="26" t="s">
        <v>26</v>
      </c>
      <c r="M1096" s="26" t="s">
        <v>27</v>
      </c>
      <c r="N1096" s="26" t="s">
        <v>28</v>
      </c>
      <c r="O1096" s="27">
        <v>30414</v>
      </c>
      <c r="P1096" s="26"/>
      <c r="Q1096" s="26"/>
      <c r="R1096" s="26">
        <v>0.28000000000000003</v>
      </c>
      <c r="S1096" s="26" t="s">
        <v>29</v>
      </c>
    </row>
    <row r="1097" spans="1:19" ht="29.25">
      <c r="A1097" s="28">
        <v>43500</v>
      </c>
      <c r="B1097" s="28" t="s">
        <v>87</v>
      </c>
      <c r="C1097" s="28" t="s">
        <v>30</v>
      </c>
      <c r="D1097" s="28" t="s">
        <v>21</v>
      </c>
      <c r="E1097" s="28" t="s">
        <v>1708</v>
      </c>
      <c r="F1097" s="28" t="s">
        <v>1709</v>
      </c>
      <c r="G1097" s="28">
        <v>29.8</v>
      </c>
      <c r="H1097" s="28" t="s">
        <v>5</v>
      </c>
      <c r="I1097" s="28">
        <v>2180</v>
      </c>
      <c r="J1097" s="28" t="s">
        <v>694</v>
      </c>
      <c r="K1097" s="28" t="s">
        <v>705</v>
      </c>
      <c r="L1097" s="28" t="s">
        <v>240</v>
      </c>
      <c r="M1097" s="28" t="s">
        <v>38</v>
      </c>
      <c r="N1097" s="28" t="s">
        <v>39</v>
      </c>
      <c r="O1097" s="29">
        <v>32338</v>
      </c>
      <c r="P1097" s="28"/>
      <c r="Q1097" s="28"/>
      <c r="R1097" s="28">
        <v>28.71</v>
      </c>
      <c r="S1097" s="28" t="s">
        <v>29</v>
      </c>
    </row>
    <row r="1098" spans="1:19" ht="57.75">
      <c r="A1098" s="28">
        <v>43600</v>
      </c>
      <c r="B1098" s="28" t="s">
        <v>87</v>
      </c>
      <c r="C1098" s="28" t="s">
        <v>30</v>
      </c>
      <c r="D1098" s="28" t="s">
        <v>21</v>
      </c>
      <c r="E1098" s="28" t="s">
        <v>2139</v>
      </c>
      <c r="F1098" s="28" t="s">
        <v>2140</v>
      </c>
      <c r="G1098" s="28">
        <v>7.5</v>
      </c>
      <c r="H1098" s="28" t="s">
        <v>24</v>
      </c>
      <c r="I1098" s="28" t="s">
        <v>2141</v>
      </c>
      <c r="J1098" s="28" t="s">
        <v>788</v>
      </c>
      <c r="K1098" s="28"/>
      <c r="L1098" s="28" t="s">
        <v>888</v>
      </c>
      <c r="M1098" s="28" t="s">
        <v>27</v>
      </c>
      <c r="N1098" s="28" t="s">
        <v>28</v>
      </c>
      <c r="O1098" s="29">
        <v>34089</v>
      </c>
      <c r="P1098" s="28" t="s">
        <v>2142</v>
      </c>
      <c r="Q1098" s="28"/>
      <c r="R1098" s="28">
        <v>8</v>
      </c>
      <c r="S1098" s="28" t="s">
        <v>29</v>
      </c>
    </row>
    <row r="1099" spans="1:19" ht="29.25">
      <c r="A1099" s="24">
        <v>90100</v>
      </c>
      <c r="B1099" s="24" t="s">
        <v>87</v>
      </c>
      <c r="C1099" s="24" t="s">
        <v>30</v>
      </c>
      <c r="D1099" s="24" t="s">
        <v>30</v>
      </c>
      <c r="E1099" s="24" t="s">
        <v>1518</v>
      </c>
      <c r="F1099" s="24" t="s">
        <v>1519</v>
      </c>
      <c r="G1099" s="24">
        <v>20.260000000000002</v>
      </c>
      <c r="H1099" s="24" t="s">
        <v>24</v>
      </c>
      <c r="I1099" s="24" t="s">
        <v>90</v>
      </c>
      <c r="J1099" s="24" t="s">
        <v>25</v>
      </c>
      <c r="K1099" s="24" t="s">
        <v>25</v>
      </c>
      <c r="L1099" s="24" t="s">
        <v>26</v>
      </c>
      <c r="M1099" s="24" t="s">
        <v>27</v>
      </c>
      <c r="N1099" s="24" t="s">
        <v>28</v>
      </c>
      <c r="O1099" s="25">
        <v>31782</v>
      </c>
      <c r="P1099" s="24"/>
      <c r="Q1099" s="24"/>
      <c r="R1099" s="24">
        <v>20.260000000000002</v>
      </c>
      <c r="S1099" s="24" t="s">
        <v>29</v>
      </c>
    </row>
    <row r="1100" spans="1:19" ht="29.25">
      <c r="A1100" s="26">
        <v>68600</v>
      </c>
      <c r="B1100" s="26" t="s">
        <v>87</v>
      </c>
      <c r="C1100" s="26" t="s">
        <v>30</v>
      </c>
      <c r="D1100" s="26" t="s">
        <v>21</v>
      </c>
      <c r="E1100" s="26"/>
      <c r="F1100" s="26" t="s">
        <v>1972</v>
      </c>
      <c r="G1100" s="26"/>
      <c r="H1100" s="26" t="s">
        <v>24</v>
      </c>
      <c r="I1100" s="26" t="s">
        <v>1973</v>
      </c>
      <c r="J1100" s="26" t="s">
        <v>25</v>
      </c>
      <c r="K1100" s="26" t="s">
        <v>25</v>
      </c>
      <c r="L1100" s="26" t="s">
        <v>26</v>
      </c>
      <c r="M1100" s="26" t="s">
        <v>27</v>
      </c>
      <c r="N1100" s="26" t="s">
        <v>28</v>
      </c>
      <c r="O1100" s="27">
        <v>32924</v>
      </c>
      <c r="P1100" s="26"/>
      <c r="Q1100" s="26"/>
      <c r="R1100" s="26">
        <v>5.75</v>
      </c>
      <c r="S1100" s="26" t="s">
        <v>29</v>
      </c>
    </row>
    <row r="1101" spans="1:19" ht="29.25">
      <c r="A1101" s="26">
        <v>45400</v>
      </c>
      <c r="B1101" s="26" t="s">
        <v>87</v>
      </c>
      <c r="C1101" s="26" t="s">
        <v>30</v>
      </c>
      <c r="D1101" s="26" t="s">
        <v>21</v>
      </c>
      <c r="E1101" s="26"/>
      <c r="F1101" s="26" t="s">
        <v>1534</v>
      </c>
      <c r="G1101" s="26"/>
      <c r="H1101" s="26" t="s">
        <v>24</v>
      </c>
      <c r="I1101" s="26" t="s">
        <v>1535</v>
      </c>
      <c r="J1101" s="26" t="s">
        <v>25</v>
      </c>
      <c r="K1101" s="26" t="s">
        <v>25</v>
      </c>
      <c r="L1101" s="26" t="s">
        <v>26</v>
      </c>
      <c r="M1101" s="26" t="s">
        <v>27</v>
      </c>
      <c r="N1101" s="26" t="s">
        <v>28</v>
      </c>
      <c r="O1101" s="27">
        <v>31836</v>
      </c>
      <c r="P1101" s="26"/>
      <c r="Q1101" s="26"/>
      <c r="R1101" s="26">
        <v>2.99</v>
      </c>
      <c r="S1101" s="26" t="s">
        <v>29</v>
      </c>
    </row>
    <row r="1102" spans="1:19" ht="29.25">
      <c r="A1102" s="26">
        <v>55800</v>
      </c>
      <c r="B1102" s="26" t="s">
        <v>87</v>
      </c>
      <c r="C1102" s="26" t="s">
        <v>30</v>
      </c>
      <c r="D1102" s="26" t="s">
        <v>21</v>
      </c>
      <c r="E1102" s="26"/>
      <c r="F1102" s="26" t="s">
        <v>1437</v>
      </c>
      <c r="G1102" s="26"/>
      <c r="H1102" s="26" t="s">
        <v>24</v>
      </c>
      <c r="I1102" s="26" t="s">
        <v>1438</v>
      </c>
      <c r="J1102" s="26" t="s">
        <v>25</v>
      </c>
      <c r="K1102" s="26" t="s">
        <v>25</v>
      </c>
      <c r="L1102" s="26" t="s">
        <v>26</v>
      </c>
      <c r="M1102" s="26" t="s">
        <v>27</v>
      </c>
      <c r="N1102" s="26" t="s">
        <v>28</v>
      </c>
      <c r="O1102" s="27">
        <v>31751</v>
      </c>
      <c r="P1102" s="26"/>
      <c r="Q1102" s="26"/>
      <c r="R1102" s="26">
        <v>3.52</v>
      </c>
      <c r="S1102" s="26" t="s">
        <v>29</v>
      </c>
    </row>
    <row r="1103" spans="1:19" ht="29.25">
      <c r="A1103" s="26">
        <v>55700</v>
      </c>
      <c r="B1103" s="26" t="s">
        <v>87</v>
      </c>
      <c r="C1103" s="26" t="s">
        <v>30</v>
      </c>
      <c r="D1103" s="26" t="s">
        <v>21</v>
      </c>
      <c r="E1103" s="26"/>
      <c r="F1103" s="26" t="s">
        <v>1520</v>
      </c>
      <c r="G1103" s="26"/>
      <c r="H1103" s="26" t="s">
        <v>24</v>
      </c>
      <c r="I1103" s="26" t="s">
        <v>1521</v>
      </c>
      <c r="J1103" s="26" t="s">
        <v>25</v>
      </c>
      <c r="K1103" s="26" t="s">
        <v>25</v>
      </c>
      <c r="L1103" s="26" t="s">
        <v>26</v>
      </c>
      <c r="M1103" s="26" t="s">
        <v>27</v>
      </c>
      <c r="N1103" s="26" t="s">
        <v>28</v>
      </c>
      <c r="O1103" s="27">
        <v>31782</v>
      </c>
      <c r="P1103" s="26"/>
      <c r="Q1103" s="26"/>
      <c r="R1103" s="26">
        <v>8</v>
      </c>
      <c r="S1103" s="26" t="s">
        <v>29</v>
      </c>
    </row>
    <row r="1104" spans="1:19">
      <c r="A1104" s="28">
        <v>43900</v>
      </c>
      <c r="B1104" s="28" t="s">
        <v>87</v>
      </c>
      <c r="C1104" s="28" t="s">
        <v>30</v>
      </c>
      <c r="D1104" s="28" t="s">
        <v>21</v>
      </c>
      <c r="E1104" s="28" t="s">
        <v>877</v>
      </c>
      <c r="F1104" s="28" t="s">
        <v>878</v>
      </c>
      <c r="G1104" s="28">
        <v>25</v>
      </c>
      <c r="H1104" s="28" t="s">
        <v>143</v>
      </c>
      <c r="I1104" s="28">
        <v>466</v>
      </c>
      <c r="J1104" s="28" t="s">
        <v>694</v>
      </c>
      <c r="K1104" s="28" t="s">
        <v>580</v>
      </c>
      <c r="L1104" s="28" t="s">
        <v>240</v>
      </c>
      <c r="M1104" s="28" t="s">
        <v>38</v>
      </c>
      <c r="N1104" s="28" t="s">
        <v>144</v>
      </c>
      <c r="O1104" s="29">
        <v>30317</v>
      </c>
      <c r="P1104" s="28"/>
      <c r="Q1104" s="28"/>
      <c r="R1104" s="28">
        <v>30</v>
      </c>
      <c r="S1104" s="28" t="s">
        <v>29</v>
      </c>
    </row>
    <row r="1105" spans="1:19" ht="29.25">
      <c r="A1105" s="24">
        <v>44000</v>
      </c>
      <c r="B1105" s="24" t="s">
        <v>87</v>
      </c>
      <c r="C1105" s="24" t="s">
        <v>30</v>
      </c>
      <c r="D1105" s="24" t="s">
        <v>30</v>
      </c>
      <c r="E1105" s="24" t="s">
        <v>879</v>
      </c>
      <c r="F1105" s="24" t="s">
        <v>880</v>
      </c>
      <c r="G1105" s="24">
        <v>2</v>
      </c>
      <c r="H1105" s="24" t="s">
        <v>24</v>
      </c>
      <c r="I1105" s="24" t="s">
        <v>90</v>
      </c>
      <c r="J1105" s="24" t="s">
        <v>25</v>
      </c>
      <c r="K1105" s="24" t="s">
        <v>25</v>
      </c>
      <c r="L1105" s="24" t="s">
        <v>26</v>
      </c>
      <c r="M1105" s="24" t="s">
        <v>27</v>
      </c>
      <c r="N1105" s="24" t="s">
        <v>28</v>
      </c>
      <c r="O1105" s="25">
        <v>30317</v>
      </c>
      <c r="P1105" s="24"/>
      <c r="Q1105" s="24"/>
      <c r="R1105" s="24">
        <v>2.2999999999999998</v>
      </c>
      <c r="S1105" s="24" t="s">
        <v>29</v>
      </c>
    </row>
    <row r="1106" spans="1:19">
      <c r="A1106" s="26">
        <v>44001</v>
      </c>
      <c r="B1106" s="26" t="s">
        <v>87</v>
      </c>
      <c r="C1106" s="26" t="s">
        <v>30</v>
      </c>
      <c r="D1106" s="26" t="s">
        <v>21</v>
      </c>
      <c r="E1106" s="26"/>
      <c r="F1106" s="26" t="s">
        <v>3211</v>
      </c>
      <c r="G1106" s="26"/>
      <c r="H1106" s="26" t="s">
        <v>24</v>
      </c>
      <c r="I1106" s="26" t="s">
        <v>3212</v>
      </c>
      <c r="J1106" s="26" t="s">
        <v>25</v>
      </c>
      <c r="K1106" s="26" t="s">
        <v>25</v>
      </c>
      <c r="L1106" s="26" t="s">
        <v>26</v>
      </c>
      <c r="M1106" s="26" t="s">
        <v>27</v>
      </c>
      <c r="N1106" s="26" t="s">
        <v>28</v>
      </c>
      <c r="O1106" s="26" t="s">
        <v>4687</v>
      </c>
      <c r="P1106" s="26"/>
      <c r="Q1106" s="26"/>
      <c r="R1106" s="26">
        <v>0.9</v>
      </c>
      <c r="S1106" s="26" t="s">
        <v>29</v>
      </c>
    </row>
    <row r="1107" spans="1:19">
      <c r="A1107" s="26">
        <v>44003</v>
      </c>
      <c r="B1107" s="26" t="s">
        <v>87</v>
      </c>
      <c r="C1107" s="26" t="s">
        <v>30</v>
      </c>
      <c r="D1107" s="26" t="s">
        <v>21</v>
      </c>
      <c r="E1107" s="26"/>
      <c r="F1107" s="26" t="s">
        <v>2058</v>
      </c>
      <c r="G1107" s="26"/>
      <c r="H1107" s="26" t="s">
        <v>24</v>
      </c>
      <c r="I1107" s="26" t="s">
        <v>2059</v>
      </c>
      <c r="J1107" s="26" t="s">
        <v>788</v>
      </c>
      <c r="K1107" s="26"/>
      <c r="L1107" s="26"/>
      <c r="M1107" s="26" t="s">
        <v>27</v>
      </c>
      <c r="N1107" s="26" t="s">
        <v>28</v>
      </c>
      <c r="O1107" s="27">
        <v>33239</v>
      </c>
      <c r="P1107" s="26"/>
      <c r="Q1107" s="26"/>
      <c r="R1107" s="26">
        <v>0.1</v>
      </c>
      <c r="S1107" s="26" t="s">
        <v>29</v>
      </c>
    </row>
    <row r="1108" spans="1:19">
      <c r="A1108" s="26">
        <v>44002</v>
      </c>
      <c r="B1108" s="26" t="s">
        <v>87</v>
      </c>
      <c r="C1108" s="26" t="s">
        <v>30</v>
      </c>
      <c r="D1108" s="26" t="s">
        <v>21</v>
      </c>
      <c r="E1108" s="26"/>
      <c r="F1108" s="26" t="s">
        <v>954</v>
      </c>
      <c r="G1108" s="26"/>
      <c r="H1108" s="26" t="s">
        <v>24</v>
      </c>
      <c r="I1108" s="26" t="s">
        <v>955</v>
      </c>
      <c r="J1108" s="26" t="s">
        <v>25</v>
      </c>
      <c r="K1108" s="26" t="s">
        <v>25</v>
      </c>
      <c r="L1108" s="26" t="s">
        <v>26</v>
      </c>
      <c r="M1108" s="26" t="s">
        <v>27</v>
      </c>
      <c r="N1108" s="26" t="s">
        <v>28</v>
      </c>
      <c r="O1108" s="27">
        <v>30530</v>
      </c>
      <c r="P1108" s="26"/>
      <c r="Q1108" s="26"/>
      <c r="R1108" s="26">
        <v>0.9</v>
      </c>
      <c r="S1108" s="26" t="s">
        <v>29</v>
      </c>
    </row>
    <row r="1109" spans="1:19" ht="29.25">
      <c r="A1109" s="24">
        <v>93100</v>
      </c>
      <c r="B1109" s="24" t="s">
        <v>87</v>
      </c>
      <c r="C1109" s="24" t="s">
        <v>30</v>
      </c>
      <c r="D1109" s="24" t="s">
        <v>30</v>
      </c>
      <c r="E1109" s="24" t="s">
        <v>2808</v>
      </c>
      <c r="F1109" s="24" t="s">
        <v>2809</v>
      </c>
      <c r="G1109" s="24">
        <v>4.5999999999999996</v>
      </c>
      <c r="H1109" s="24" t="s">
        <v>24</v>
      </c>
      <c r="I1109" s="24" t="s">
        <v>2770</v>
      </c>
      <c r="J1109" s="24" t="s">
        <v>365</v>
      </c>
      <c r="K1109" s="24" t="s">
        <v>90</v>
      </c>
      <c r="L1109" s="24" t="s">
        <v>928</v>
      </c>
      <c r="M1109" s="24" t="s">
        <v>27</v>
      </c>
      <c r="N1109" s="24" t="s">
        <v>28</v>
      </c>
      <c r="O1109" s="25">
        <v>38869</v>
      </c>
      <c r="P1109" s="24" t="s">
        <v>2810</v>
      </c>
      <c r="Q1109" s="24"/>
      <c r="R1109" s="24">
        <v>13.04</v>
      </c>
      <c r="S1109" s="24" t="s">
        <v>29</v>
      </c>
    </row>
    <row r="1110" spans="1:19" ht="29.25">
      <c r="A1110" s="26">
        <v>58200</v>
      </c>
      <c r="B1110" s="26" t="s">
        <v>87</v>
      </c>
      <c r="C1110" s="26" t="s">
        <v>30</v>
      </c>
      <c r="D1110" s="26" t="s">
        <v>21</v>
      </c>
      <c r="E1110" s="26" t="s">
        <v>977</v>
      </c>
      <c r="F1110" s="26" t="s">
        <v>978</v>
      </c>
      <c r="G1110" s="26">
        <v>3.4</v>
      </c>
      <c r="H1110" s="26" t="s">
        <v>24</v>
      </c>
      <c r="I1110" s="26" t="s">
        <v>979</v>
      </c>
      <c r="J1110" s="26" t="s">
        <v>788</v>
      </c>
      <c r="K1110" s="26"/>
      <c r="L1110" s="26" t="s">
        <v>980</v>
      </c>
      <c r="M1110" s="26" t="s">
        <v>27</v>
      </c>
      <c r="N1110" s="26" t="s">
        <v>28</v>
      </c>
      <c r="O1110" s="27">
        <v>30680</v>
      </c>
      <c r="P1110" s="26" t="s">
        <v>981</v>
      </c>
      <c r="Q1110" s="26"/>
      <c r="R1110" s="26">
        <v>3.4</v>
      </c>
      <c r="S1110" s="26" t="s">
        <v>29</v>
      </c>
    </row>
    <row r="1111" spans="1:19" ht="29.25">
      <c r="A1111" s="26">
        <v>58100</v>
      </c>
      <c r="B1111" s="26" t="s">
        <v>87</v>
      </c>
      <c r="C1111" s="26" t="s">
        <v>30</v>
      </c>
      <c r="D1111" s="26" t="s">
        <v>21</v>
      </c>
      <c r="E1111" s="26" t="s">
        <v>2055</v>
      </c>
      <c r="F1111" s="26" t="s">
        <v>2056</v>
      </c>
      <c r="G1111" s="26">
        <v>7.9</v>
      </c>
      <c r="H1111" s="26" t="s">
        <v>24</v>
      </c>
      <c r="I1111" s="26" t="s">
        <v>2057</v>
      </c>
      <c r="J1111" s="26" t="s">
        <v>694</v>
      </c>
      <c r="K1111" s="26" t="s">
        <v>366</v>
      </c>
      <c r="L1111" s="26" t="s">
        <v>240</v>
      </c>
      <c r="M1111" s="26" t="s">
        <v>27</v>
      </c>
      <c r="N1111" s="26" t="s">
        <v>28</v>
      </c>
      <c r="O1111" s="27">
        <v>33236</v>
      </c>
      <c r="P1111" s="26" t="s">
        <v>981</v>
      </c>
      <c r="Q1111" s="26"/>
      <c r="R1111" s="26">
        <v>7.9</v>
      </c>
      <c r="S1111" s="26" t="s">
        <v>29</v>
      </c>
    </row>
    <row r="1112" spans="1:19" ht="57.75">
      <c r="A1112" s="26">
        <v>58404</v>
      </c>
      <c r="B1112" s="26" t="s">
        <v>87</v>
      </c>
      <c r="C1112" s="26" t="s">
        <v>30</v>
      </c>
      <c r="D1112" s="26" t="s">
        <v>21</v>
      </c>
      <c r="E1112" s="26"/>
      <c r="F1112" s="26" t="s">
        <v>1714</v>
      </c>
      <c r="G1112" s="26">
        <v>1.74</v>
      </c>
      <c r="H1112" s="26" t="s">
        <v>24</v>
      </c>
      <c r="I1112" s="26" t="s">
        <v>1715</v>
      </c>
      <c r="J1112" s="26" t="s">
        <v>788</v>
      </c>
      <c r="K1112" s="26"/>
      <c r="L1112" s="26"/>
      <c r="M1112" s="26" t="s">
        <v>27</v>
      </c>
      <c r="N1112" s="26" t="s">
        <v>28</v>
      </c>
      <c r="O1112" s="27">
        <v>32381</v>
      </c>
      <c r="P1112" s="26" t="s">
        <v>1716</v>
      </c>
      <c r="Q1112" s="26"/>
      <c r="R1112" s="26">
        <v>1.74</v>
      </c>
      <c r="S1112" s="26" t="s">
        <v>29</v>
      </c>
    </row>
    <row r="1113" spans="1:19" ht="29.25">
      <c r="A1113" s="28">
        <v>39400</v>
      </c>
      <c r="B1113" s="28" t="s">
        <v>87</v>
      </c>
      <c r="C1113" s="28" t="s">
        <v>30</v>
      </c>
      <c r="D1113" s="28" t="s">
        <v>21</v>
      </c>
      <c r="E1113" s="28"/>
      <c r="F1113" s="28" t="s">
        <v>2106</v>
      </c>
      <c r="G1113" s="28">
        <v>0.08</v>
      </c>
      <c r="H1113" s="28" t="s">
        <v>5</v>
      </c>
      <c r="I1113" s="28">
        <v>2433</v>
      </c>
      <c r="J1113" s="28" t="s">
        <v>694</v>
      </c>
      <c r="K1113" s="28"/>
      <c r="L1113" s="28"/>
      <c r="M1113" s="28" t="s">
        <v>38</v>
      </c>
      <c r="N1113" s="28" t="s">
        <v>39</v>
      </c>
      <c r="O1113" s="29">
        <v>33662</v>
      </c>
      <c r="P1113" s="28"/>
      <c r="Q1113" s="28"/>
      <c r="R1113" s="28">
        <v>0.08</v>
      </c>
      <c r="S1113" s="28" t="s">
        <v>29</v>
      </c>
    </row>
    <row r="1114" spans="1:19">
      <c r="A1114" s="28">
        <v>44100</v>
      </c>
      <c r="B1114" s="28" t="s">
        <v>87</v>
      </c>
      <c r="C1114" s="28" t="s">
        <v>30</v>
      </c>
      <c r="D1114" s="28" t="s">
        <v>21</v>
      </c>
      <c r="E1114" s="28" t="s">
        <v>1889</v>
      </c>
      <c r="F1114" s="28" t="s">
        <v>1890</v>
      </c>
      <c r="G1114" s="28">
        <v>36.799999999999997</v>
      </c>
      <c r="H1114" s="28" t="s">
        <v>24</v>
      </c>
      <c r="I1114" s="28" t="s">
        <v>1891</v>
      </c>
      <c r="J1114" s="28" t="s">
        <v>694</v>
      </c>
      <c r="K1114" s="28" t="s">
        <v>580</v>
      </c>
      <c r="L1114" s="28" t="s">
        <v>240</v>
      </c>
      <c r="M1114" s="28" t="s">
        <v>193</v>
      </c>
      <c r="N1114" s="28" t="s">
        <v>194</v>
      </c>
      <c r="O1114" s="29">
        <v>32842</v>
      </c>
      <c r="P1114" s="28"/>
      <c r="Q1114" s="28"/>
      <c r="R1114" s="28">
        <v>36.799999999999997</v>
      </c>
      <c r="S1114" s="28" t="s">
        <v>29</v>
      </c>
    </row>
    <row r="1115" spans="1:19" ht="29.25">
      <c r="A1115" s="28">
        <v>65512</v>
      </c>
      <c r="B1115" s="28" t="s">
        <v>87</v>
      </c>
      <c r="C1115" s="28" t="s">
        <v>30</v>
      </c>
      <c r="D1115" s="28" t="s">
        <v>21</v>
      </c>
      <c r="E1115" s="28" t="s">
        <v>1969</v>
      </c>
      <c r="F1115" s="28" t="s">
        <v>1970</v>
      </c>
      <c r="G1115" s="28">
        <v>2</v>
      </c>
      <c r="H1115" s="28" t="s">
        <v>24</v>
      </c>
      <c r="I1115" s="28" t="s">
        <v>1971</v>
      </c>
      <c r="J1115" s="28" t="s">
        <v>25</v>
      </c>
      <c r="K1115" s="28" t="s">
        <v>25</v>
      </c>
      <c r="L1115" s="28" t="s">
        <v>26</v>
      </c>
      <c r="M1115" s="28" t="s">
        <v>27</v>
      </c>
      <c r="N1115" s="28" t="s">
        <v>28</v>
      </c>
      <c r="O1115" s="29">
        <v>32902</v>
      </c>
      <c r="P1115" s="28" t="s">
        <v>941</v>
      </c>
      <c r="Q1115" s="28"/>
      <c r="R1115" s="28">
        <v>2</v>
      </c>
      <c r="S1115" s="28" t="s">
        <v>29</v>
      </c>
    </row>
    <row r="1116" spans="1:19" ht="43.5">
      <c r="A1116" s="24">
        <v>44600</v>
      </c>
      <c r="B1116" s="24" t="s">
        <v>87</v>
      </c>
      <c r="C1116" s="24" t="s">
        <v>30</v>
      </c>
      <c r="D1116" s="24" t="s">
        <v>30</v>
      </c>
      <c r="E1116" s="24" t="s">
        <v>881</v>
      </c>
      <c r="F1116" s="24" t="s">
        <v>882</v>
      </c>
      <c r="G1116" s="24">
        <v>362.34</v>
      </c>
      <c r="H1116" s="24" t="s">
        <v>5</v>
      </c>
      <c r="I1116" s="24" t="s">
        <v>90</v>
      </c>
      <c r="J1116" s="24" t="s">
        <v>781</v>
      </c>
      <c r="K1116" s="24" t="s">
        <v>781</v>
      </c>
      <c r="L1116" s="24" t="s">
        <v>781</v>
      </c>
      <c r="M1116" s="24" t="s">
        <v>38</v>
      </c>
      <c r="N1116" s="24" t="s">
        <v>39</v>
      </c>
      <c r="O1116" s="25">
        <v>30317</v>
      </c>
      <c r="P1116" s="24" t="s">
        <v>883</v>
      </c>
      <c r="Q1116" s="24"/>
      <c r="R1116" s="24">
        <v>362.09</v>
      </c>
      <c r="S1116" s="24" t="s">
        <v>29</v>
      </c>
    </row>
    <row r="1117" spans="1:19" ht="29.25">
      <c r="A1117" s="26">
        <v>44623</v>
      </c>
      <c r="B1117" s="26" t="s">
        <v>87</v>
      </c>
      <c r="C1117" s="26" t="s">
        <v>30</v>
      </c>
      <c r="D1117" s="26" t="s">
        <v>21</v>
      </c>
      <c r="E1117" s="26"/>
      <c r="F1117" s="26" t="s">
        <v>1200</v>
      </c>
      <c r="G1117" s="26"/>
      <c r="H1117" s="26" t="s">
        <v>5</v>
      </c>
      <c r="I1117" s="26">
        <v>6064</v>
      </c>
      <c r="J1117" s="26" t="s">
        <v>781</v>
      </c>
      <c r="K1117" s="26"/>
      <c r="L1117" s="26"/>
      <c r="M1117" s="26" t="s">
        <v>38</v>
      </c>
      <c r="N1117" s="26" t="s">
        <v>39</v>
      </c>
      <c r="O1117" s="27">
        <v>31156</v>
      </c>
      <c r="P1117" s="26"/>
      <c r="Q1117" s="26"/>
      <c r="R1117" s="26">
        <v>28</v>
      </c>
      <c r="S1117" s="26" t="s">
        <v>29</v>
      </c>
    </row>
    <row r="1118" spans="1:19" ht="29.25">
      <c r="A1118" s="26">
        <v>44609</v>
      </c>
      <c r="B1118" s="26" t="s">
        <v>87</v>
      </c>
      <c r="C1118" s="26" t="s">
        <v>30</v>
      </c>
      <c r="D1118" s="26" t="s">
        <v>21</v>
      </c>
      <c r="E1118" s="26"/>
      <c r="F1118" s="26" t="s">
        <v>1369</v>
      </c>
      <c r="G1118" s="26"/>
      <c r="H1118" s="26" t="s">
        <v>5</v>
      </c>
      <c r="I1118" s="26">
        <v>4025</v>
      </c>
      <c r="J1118" s="26" t="s">
        <v>25</v>
      </c>
      <c r="K1118" s="26"/>
      <c r="L1118" s="26"/>
      <c r="M1118" s="26" t="s">
        <v>38</v>
      </c>
      <c r="N1118" s="26" t="s">
        <v>39</v>
      </c>
      <c r="O1118" s="27">
        <v>31513</v>
      </c>
      <c r="P1118" s="26"/>
      <c r="Q1118" s="26"/>
      <c r="R1118" s="26">
        <v>1</v>
      </c>
      <c r="S1118" s="26" t="s">
        <v>29</v>
      </c>
    </row>
    <row r="1119" spans="1:19" ht="29.25">
      <c r="A1119" s="26">
        <v>44621</v>
      </c>
      <c r="B1119" s="26" t="s">
        <v>87</v>
      </c>
      <c r="C1119" s="26" t="s">
        <v>30</v>
      </c>
      <c r="D1119" s="26" t="s">
        <v>21</v>
      </c>
      <c r="E1119" s="26"/>
      <c r="F1119" s="26" t="s">
        <v>1244</v>
      </c>
      <c r="G1119" s="26"/>
      <c r="H1119" s="26" t="s">
        <v>5</v>
      </c>
      <c r="I1119" s="26">
        <v>6087</v>
      </c>
      <c r="J1119" s="26" t="s">
        <v>781</v>
      </c>
      <c r="K1119" s="26"/>
      <c r="L1119" s="26"/>
      <c r="M1119" s="26" t="s">
        <v>38</v>
      </c>
      <c r="N1119" s="26" t="s">
        <v>39</v>
      </c>
      <c r="O1119" s="27">
        <v>31399</v>
      </c>
      <c r="P1119" s="26"/>
      <c r="Q1119" s="26"/>
      <c r="R1119" s="26">
        <v>31.51</v>
      </c>
      <c r="S1119" s="26" t="s">
        <v>29</v>
      </c>
    </row>
    <row r="1120" spans="1:19" ht="29.25">
      <c r="A1120" s="26">
        <v>44620</v>
      </c>
      <c r="B1120" s="26" t="s">
        <v>87</v>
      </c>
      <c r="C1120" s="26" t="s">
        <v>30</v>
      </c>
      <c r="D1120" s="26" t="s">
        <v>21</v>
      </c>
      <c r="E1120" s="26"/>
      <c r="F1120" s="26" t="s">
        <v>1238</v>
      </c>
      <c r="G1120" s="26"/>
      <c r="H1120" s="26" t="s">
        <v>5</v>
      </c>
      <c r="I1120" s="26">
        <v>6058</v>
      </c>
      <c r="J1120" s="26" t="s">
        <v>781</v>
      </c>
      <c r="K1120" s="26"/>
      <c r="L1120" s="26"/>
      <c r="M1120" s="26" t="s">
        <v>38</v>
      </c>
      <c r="N1120" s="26" t="s">
        <v>39</v>
      </c>
      <c r="O1120" s="27">
        <v>31375</v>
      </c>
      <c r="P1120" s="26"/>
      <c r="Q1120" s="26"/>
      <c r="R1120" s="26">
        <v>9.8000000000000007</v>
      </c>
      <c r="S1120" s="26" t="s">
        <v>29</v>
      </c>
    </row>
    <row r="1121" spans="1:19" ht="29.25">
      <c r="A1121" s="26">
        <v>44625</v>
      </c>
      <c r="B1121" s="26" t="s">
        <v>87</v>
      </c>
      <c r="C1121" s="26" t="s">
        <v>30</v>
      </c>
      <c r="D1121" s="26" t="s">
        <v>21</v>
      </c>
      <c r="E1121" s="26"/>
      <c r="F1121" s="26" t="s">
        <v>1096</v>
      </c>
      <c r="G1121" s="26"/>
      <c r="H1121" s="26" t="s">
        <v>5</v>
      </c>
      <c r="I1121" s="26">
        <v>6030</v>
      </c>
      <c r="J1121" s="26" t="s">
        <v>781</v>
      </c>
      <c r="K1121" s="26"/>
      <c r="L1121" s="26"/>
      <c r="M1121" s="26" t="s">
        <v>38</v>
      </c>
      <c r="N1121" s="26" t="s">
        <v>39</v>
      </c>
      <c r="O1121" s="27">
        <v>31029</v>
      </c>
      <c r="P1121" s="26"/>
      <c r="Q1121" s="26"/>
      <c r="R1121" s="26">
        <v>13.5</v>
      </c>
      <c r="S1121" s="26" t="s">
        <v>29</v>
      </c>
    </row>
    <row r="1122" spans="1:19" ht="29.25">
      <c r="A1122" s="26">
        <v>44626</v>
      </c>
      <c r="B1122" s="26" t="s">
        <v>87</v>
      </c>
      <c r="C1122" s="26" t="s">
        <v>30</v>
      </c>
      <c r="D1122" s="26" t="s">
        <v>21</v>
      </c>
      <c r="E1122" s="26"/>
      <c r="F1122" s="26" t="s">
        <v>1539</v>
      </c>
      <c r="G1122" s="26"/>
      <c r="H1122" s="26" t="s">
        <v>5</v>
      </c>
      <c r="I1122" s="26">
        <v>6118</v>
      </c>
      <c r="J1122" s="26" t="s">
        <v>781</v>
      </c>
      <c r="K1122" s="26"/>
      <c r="L1122" s="26"/>
      <c r="M1122" s="26" t="s">
        <v>38</v>
      </c>
      <c r="N1122" s="26" t="s">
        <v>39</v>
      </c>
      <c r="O1122" s="27">
        <v>31848</v>
      </c>
      <c r="P1122" s="26"/>
      <c r="Q1122" s="26"/>
      <c r="R1122" s="26">
        <v>4.2</v>
      </c>
      <c r="S1122" s="26" t="s">
        <v>29</v>
      </c>
    </row>
    <row r="1123" spans="1:19" ht="29.25">
      <c r="A1123" s="26">
        <v>44627</v>
      </c>
      <c r="B1123" s="26" t="s">
        <v>87</v>
      </c>
      <c r="C1123" s="26" t="s">
        <v>30</v>
      </c>
      <c r="D1123" s="26" t="s">
        <v>21</v>
      </c>
      <c r="E1123" s="26"/>
      <c r="F1123" s="26" t="s">
        <v>1251</v>
      </c>
      <c r="G1123" s="26"/>
      <c r="H1123" s="26" t="s">
        <v>5</v>
      </c>
      <c r="I1123" s="26">
        <v>6035</v>
      </c>
      <c r="J1123" s="26" t="s">
        <v>781</v>
      </c>
      <c r="K1123" s="26"/>
      <c r="L1123" s="26"/>
      <c r="M1123" s="26" t="s">
        <v>38</v>
      </c>
      <c r="N1123" s="26" t="s">
        <v>39</v>
      </c>
      <c r="O1123" s="27">
        <v>31408</v>
      </c>
      <c r="P1123" s="26"/>
      <c r="Q1123" s="26"/>
      <c r="R1123" s="26">
        <v>5.7</v>
      </c>
      <c r="S1123" s="26" t="s">
        <v>29</v>
      </c>
    </row>
    <row r="1124" spans="1:19" ht="29.25">
      <c r="A1124" s="26">
        <v>44601</v>
      </c>
      <c r="B1124" s="26" t="s">
        <v>87</v>
      </c>
      <c r="C1124" s="26" t="s">
        <v>30</v>
      </c>
      <c r="D1124" s="26" t="s">
        <v>21</v>
      </c>
      <c r="E1124" s="26"/>
      <c r="F1124" s="26" t="s">
        <v>2238</v>
      </c>
      <c r="G1124" s="26"/>
      <c r="H1124" s="26" t="s">
        <v>5</v>
      </c>
      <c r="I1124" s="26">
        <v>6090</v>
      </c>
      <c r="J1124" s="26" t="s">
        <v>781</v>
      </c>
      <c r="K1124" s="26"/>
      <c r="L1124" s="26"/>
      <c r="M1124" s="26" t="s">
        <v>38</v>
      </c>
      <c r="N1124" s="26" t="s">
        <v>39</v>
      </c>
      <c r="O1124" s="27">
        <v>36160</v>
      </c>
      <c r="P1124" s="26"/>
      <c r="Q1124" s="26"/>
      <c r="R1124" s="26">
        <v>28.17</v>
      </c>
      <c r="S1124" s="26" t="s">
        <v>29</v>
      </c>
    </row>
    <row r="1125" spans="1:19" ht="29.25">
      <c r="A1125" s="26">
        <v>44602</v>
      </c>
      <c r="B1125" s="26" t="s">
        <v>87</v>
      </c>
      <c r="C1125" s="26" t="s">
        <v>30</v>
      </c>
      <c r="D1125" s="26" t="s">
        <v>21</v>
      </c>
      <c r="E1125" s="26"/>
      <c r="F1125" s="26" t="s">
        <v>1977</v>
      </c>
      <c r="G1125" s="26"/>
      <c r="H1125" s="26" t="s">
        <v>5</v>
      </c>
      <c r="I1125" s="26">
        <v>6098</v>
      </c>
      <c r="J1125" s="26" t="s">
        <v>781</v>
      </c>
      <c r="K1125" s="26"/>
      <c r="L1125" s="26"/>
      <c r="M1125" s="26" t="s">
        <v>38</v>
      </c>
      <c r="N1125" s="26" t="s">
        <v>39</v>
      </c>
      <c r="O1125" s="27">
        <v>32934</v>
      </c>
      <c r="P1125" s="26"/>
      <c r="Q1125" s="26"/>
      <c r="R1125" s="26">
        <v>9.35</v>
      </c>
      <c r="S1125" s="26" t="s">
        <v>29</v>
      </c>
    </row>
    <row r="1126" spans="1:19" ht="43.5">
      <c r="A1126" s="26">
        <v>44603</v>
      </c>
      <c r="B1126" s="26" t="s">
        <v>87</v>
      </c>
      <c r="C1126" s="26" t="s">
        <v>30</v>
      </c>
      <c r="D1126" s="26" t="s">
        <v>21</v>
      </c>
      <c r="E1126" s="26"/>
      <c r="F1126" s="26" t="s">
        <v>1443</v>
      </c>
      <c r="G1126" s="26"/>
      <c r="H1126" s="26" t="s">
        <v>5</v>
      </c>
      <c r="I1126" s="26">
        <v>6213</v>
      </c>
      <c r="J1126" s="26" t="s">
        <v>781</v>
      </c>
      <c r="K1126" s="26"/>
      <c r="L1126" s="26"/>
      <c r="M1126" s="26" t="s">
        <v>38</v>
      </c>
      <c r="N1126" s="26" t="s">
        <v>39</v>
      </c>
      <c r="O1126" s="27">
        <v>31768</v>
      </c>
      <c r="P1126" s="26"/>
      <c r="Q1126" s="26"/>
      <c r="R1126" s="26">
        <v>15.97</v>
      </c>
      <c r="S1126" s="26" t="s">
        <v>29</v>
      </c>
    </row>
    <row r="1127" spans="1:19" ht="29.25">
      <c r="A1127" s="26">
        <v>44604</v>
      </c>
      <c r="B1127" s="26" t="s">
        <v>87</v>
      </c>
      <c r="C1127" s="26" t="s">
        <v>30</v>
      </c>
      <c r="D1127" s="26" t="s">
        <v>21</v>
      </c>
      <c r="E1127" s="26"/>
      <c r="F1127" s="26" t="s">
        <v>1095</v>
      </c>
      <c r="G1127" s="26"/>
      <c r="H1127" s="26" t="s">
        <v>5</v>
      </c>
      <c r="I1127" s="26">
        <v>6004</v>
      </c>
      <c r="J1127" s="26" t="s">
        <v>781</v>
      </c>
      <c r="K1127" s="26"/>
      <c r="L1127" s="26"/>
      <c r="M1127" s="26" t="s">
        <v>38</v>
      </c>
      <c r="N1127" s="26" t="s">
        <v>39</v>
      </c>
      <c r="O1127" s="27">
        <v>31019</v>
      </c>
      <c r="P1127" s="26"/>
      <c r="Q1127" s="26"/>
      <c r="R1127" s="26">
        <v>39.75</v>
      </c>
      <c r="S1127" s="26" t="s">
        <v>29</v>
      </c>
    </row>
    <row r="1128" spans="1:19" ht="29.25">
      <c r="A1128" s="26">
        <v>44606</v>
      </c>
      <c r="B1128" s="26" t="s">
        <v>87</v>
      </c>
      <c r="C1128" s="26" t="s">
        <v>30</v>
      </c>
      <c r="D1128" s="26" t="s">
        <v>21</v>
      </c>
      <c r="E1128" s="26"/>
      <c r="F1128" s="26" t="s">
        <v>945</v>
      </c>
      <c r="G1128" s="26"/>
      <c r="H1128" s="26" t="s">
        <v>5</v>
      </c>
      <c r="I1128" s="26">
        <v>1012</v>
      </c>
      <c r="J1128" s="26" t="s">
        <v>788</v>
      </c>
      <c r="K1128" s="26"/>
      <c r="L1128" s="26" t="s">
        <v>946</v>
      </c>
      <c r="M1128" s="26" t="s">
        <v>38</v>
      </c>
      <c r="N1128" s="26" t="s">
        <v>39</v>
      </c>
      <c r="O1128" s="27">
        <v>30441</v>
      </c>
      <c r="P1128" s="26"/>
      <c r="Q1128" s="26"/>
      <c r="R1128" s="26">
        <v>0.25</v>
      </c>
      <c r="S1128" s="26" t="s">
        <v>29</v>
      </c>
    </row>
    <row r="1129" spans="1:19" ht="29.25">
      <c r="A1129" s="26">
        <v>44608</v>
      </c>
      <c r="B1129" s="26" t="s">
        <v>87</v>
      </c>
      <c r="C1129" s="26" t="s">
        <v>30</v>
      </c>
      <c r="D1129" s="26" t="s">
        <v>21</v>
      </c>
      <c r="E1129" s="26"/>
      <c r="F1129" s="26" t="s">
        <v>1656</v>
      </c>
      <c r="G1129" s="26"/>
      <c r="H1129" s="26" t="s">
        <v>5</v>
      </c>
      <c r="I1129" s="26">
        <v>4026</v>
      </c>
      <c r="J1129" s="26" t="s">
        <v>25</v>
      </c>
      <c r="K1129" s="26"/>
      <c r="L1129" s="26"/>
      <c r="M1129" s="26" t="s">
        <v>38</v>
      </c>
      <c r="N1129" s="26" t="s">
        <v>39</v>
      </c>
      <c r="O1129" s="27">
        <v>32175</v>
      </c>
      <c r="P1129" s="26"/>
      <c r="Q1129" s="26"/>
      <c r="R1129" s="26">
        <v>0.3</v>
      </c>
      <c r="S1129" s="26" t="s">
        <v>29</v>
      </c>
    </row>
    <row r="1130" spans="1:19" ht="29.25">
      <c r="A1130" s="26">
        <v>44622</v>
      </c>
      <c r="B1130" s="26" t="s">
        <v>87</v>
      </c>
      <c r="C1130" s="26" t="s">
        <v>30</v>
      </c>
      <c r="D1130" s="26" t="s">
        <v>21</v>
      </c>
      <c r="E1130" s="26"/>
      <c r="F1130" s="26" t="s">
        <v>1241</v>
      </c>
      <c r="G1130" s="26"/>
      <c r="H1130" s="26" t="s">
        <v>5</v>
      </c>
      <c r="I1130" s="26">
        <v>6094</v>
      </c>
      <c r="J1130" s="26" t="s">
        <v>781</v>
      </c>
      <c r="K1130" s="26"/>
      <c r="L1130" s="26"/>
      <c r="M1130" s="26" t="s">
        <v>38</v>
      </c>
      <c r="N1130" s="26" t="s">
        <v>39</v>
      </c>
      <c r="O1130" s="27">
        <v>31382</v>
      </c>
      <c r="P1130" s="26"/>
      <c r="Q1130" s="26"/>
      <c r="R1130" s="26">
        <v>17.04</v>
      </c>
      <c r="S1130" s="26" t="s">
        <v>29</v>
      </c>
    </row>
    <row r="1131" spans="1:19">
      <c r="A1131" s="26">
        <v>44610</v>
      </c>
      <c r="B1131" s="26" t="s">
        <v>87</v>
      </c>
      <c r="C1131" s="26" t="s">
        <v>30</v>
      </c>
      <c r="D1131" s="26" t="s">
        <v>21</v>
      </c>
      <c r="E1131" s="26"/>
      <c r="F1131" s="26" t="s">
        <v>1426</v>
      </c>
      <c r="G1131" s="26"/>
      <c r="H1131" s="26" t="s">
        <v>5</v>
      </c>
      <c r="I1131" s="26">
        <v>6053</v>
      </c>
      <c r="J1131" s="26" t="s">
        <v>781</v>
      </c>
      <c r="K1131" s="26"/>
      <c r="L1131" s="26"/>
      <c r="M1131" s="26" t="s">
        <v>38</v>
      </c>
      <c r="N1131" s="26" t="s">
        <v>39</v>
      </c>
      <c r="O1131" s="27">
        <v>31700</v>
      </c>
      <c r="P1131" s="26"/>
      <c r="Q1131" s="26"/>
      <c r="R1131" s="26">
        <v>7.88</v>
      </c>
      <c r="S1131" s="26" t="s">
        <v>29</v>
      </c>
    </row>
    <row r="1132" spans="1:19">
      <c r="A1132" s="26">
        <v>44611</v>
      </c>
      <c r="B1132" s="26" t="s">
        <v>87</v>
      </c>
      <c r="C1132" s="26" t="s">
        <v>30</v>
      </c>
      <c r="D1132" s="26" t="s">
        <v>21</v>
      </c>
      <c r="E1132" s="26"/>
      <c r="F1132" s="26" t="s">
        <v>1245</v>
      </c>
      <c r="G1132" s="26"/>
      <c r="H1132" s="26" t="s">
        <v>5</v>
      </c>
      <c r="I1132" s="26">
        <v>6088</v>
      </c>
      <c r="J1132" s="26" t="s">
        <v>781</v>
      </c>
      <c r="K1132" s="26"/>
      <c r="L1132" s="26"/>
      <c r="M1132" s="26" t="s">
        <v>38</v>
      </c>
      <c r="N1132" s="26" t="s">
        <v>39</v>
      </c>
      <c r="O1132" s="27">
        <v>31399</v>
      </c>
      <c r="P1132" s="26"/>
      <c r="Q1132" s="26"/>
      <c r="R1132" s="26">
        <v>14.96</v>
      </c>
      <c r="S1132" s="26" t="s">
        <v>29</v>
      </c>
    </row>
    <row r="1133" spans="1:19" ht="29.25">
      <c r="A1133" s="26">
        <v>44612</v>
      </c>
      <c r="B1133" s="26" t="s">
        <v>87</v>
      </c>
      <c r="C1133" s="26" t="s">
        <v>30</v>
      </c>
      <c r="D1133" s="26" t="s">
        <v>21</v>
      </c>
      <c r="E1133" s="26"/>
      <c r="F1133" s="26" t="s">
        <v>1179</v>
      </c>
      <c r="G1133" s="26"/>
      <c r="H1133" s="26" t="s">
        <v>5</v>
      </c>
      <c r="I1133" s="26">
        <v>6062</v>
      </c>
      <c r="J1133" s="26" t="s">
        <v>781</v>
      </c>
      <c r="K1133" s="26"/>
      <c r="L1133" s="26"/>
      <c r="M1133" s="26" t="s">
        <v>38</v>
      </c>
      <c r="N1133" s="26" t="s">
        <v>39</v>
      </c>
      <c r="O1133" s="27">
        <v>31078</v>
      </c>
      <c r="P1133" s="26"/>
      <c r="Q1133" s="26"/>
      <c r="R1133" s="26">
        <v>3</v>
      </c>
      <c r="S1133" s="26" t="s">
        <v>29</v>
      </c>
    </row>
    <row r="1134" spans="1:19" ht="29.25">
      <c r="A1134" s="26">
        <v>44613</v>
      </c>
      <c r="B1134" s="26" t="s">
        <v>87</v>
      </c>
      <c r="C1134" s="26" t="s">
        <v>30</v>
      </c>
      <c r="D1134" s="26" t="s">
        <v>21</v>
      </c>
      <c r="E1134" s="26"/>
      <c r="F1134" s="26" t="s">
        <v>1261</v>
      </c>
      <c r="G1134" s="26"/>
      <c r="H1134" s="26" t="s">
        <v>5</v>
      </c>
      <c r="I1134" s="26">
        <v>6031</v>
      </c>
      <c r="J1134" s="26" t="s">
        <v>781</v>
      </c>
      <c r="K1134" s="26"/>
      <c r="L1134" s="26"/>
      <c r="M1134" s="26" t="s">
        <v>38</v>
      </c>
      <c r="N1134" s="26" t="s">
        <v>39</v>
      </c>
      <c r="O1134" s="27">
        <v>31412</v>
      </c>
      <c r="P1134" s="26"/>
      <c r="Q1134" s="26"/>
      <c r="R1134" s="26">
        <v>24.48</v>
      </c>
      <c r="S1134" s="26" t="s">
        <v>29</v>
      </c>
    </row>
    <row r="1135" spans="1:19" ht="29.25">
      <c r="A1135" s="26">
        <v>44616</v>
      </c>
      <c r="B1135" s="26" t="s">
        <v>87</v>
      </c>
      <c r="C1135" s="26" t="s">
        <v>30</v>
      </c>
      <c r="D1135" s="26" t="s">
        <v>21</v>
      </c>
      <c r="E1135" s="26"/>
      <c r="F1135" s="26" t="s">
        <v>1176</v>
      </c>
      <c r="G1135" s="26"/>
      <c r="H1135" s="26" t="s">
        <v>5</v>
      </c>
      <c r="I1135" s="26">
        <v>6052</v>
      </c>
      <c r="J1135" s="26" t="s">
        <v>781</v>
      </c>
      <c r="K1135" s="26"/>
      <c r="L1135" s="26"/>
      <c r="M1135" s="26" t="s">
        <v>38</v>
      </c>
      <c r="N1135" s="26" t="s">
        <v>39</v>
      </c>
      <c r="O1135" s="27">
        <v>31054</v>
      </c>
      <c r="P1135" s="26"/>
      <c r="Q1135" s="26"/>
      <c r="R1135" s="26">
        <v>4.9000000000000004</v>
      </c>
      <c r="S1135" s="26" t="s">
        <v>29</v>
      </c>
    </row>
    <row r="1136" spans="1:19" ht="29.25">
      <c r="A1136" s="26">
        <v>44617</v>
      </c>
      <c r="B1136" s="26" t="s">
        <v>87</v>
      </c>
      <c r="C1136" s="26" t="s">
        <v>30</v>
      </c>
      <c r="D1136" s="26" t="s">
        <v>21</v>
      </c>
      <c r="E1136" s="26"/>
      <c r="F1136" s="26" t="s">
        <v>1242</v>
      </c>
      <c r="G1136" s="26"/>
      <c r="H1136" s="26" t="s">
        <v>5</v>
      </c>
      <c r="I1136" s="26">
        <v>6112</v>
      </c>
      <c r="J1136" s="26" t="s">
        <v>781</v>
      </c>
      <c r="K1136" s="26"/>
      <c r="L1136" s="26"/>
      <c r="M1136" s="26" t="s">
        <v>38</v>
      </c>
      <c r="N1136" s="26" t="s">
        <v>39</v>
      </c>
      <c r="O1136" s="27">
        <v>31382</v>
      </c>
      <c r="P1136" s="26"/>
      <c r="Q1136" s="26"/>
      <c r="R1136" s="26">
        <v>19.05</v>
      </c>
      <c r="S1136" s="26" t="s">
        <v>29</v>
      </c>
    </row>
    <row r="1137" spans="1:19" ht="29.25">
      <c r="A1137" s="26">
        <v>44618</v>
      </c>
      <c r="B1137" s="26" t="s">
        <v>87</v>
      </c>
      <c r="C1137" s="26" t="s">
        <v>30</v>
      </c>
      <c r="D1137" s="26" t="s">
        <v>21</v>
      </c>
      <c r="E1137" s="26"/>
      <c r="F1137" s="26" t="s">
        <v>1177</v>
      </c>
      <c r="G1137" s="26"/>
      <c r="H1137" s="26" t="s">
        <v>5</v>
      </c>
      <c r="I1137" s="26">
        <v>6051</v>
      </c>
      <c r="J1137" s="26" t="s">
        <v>781</v>
      </c>
      <c r="K1137" s="26"/>
      <c r="L1137" s="26"/>
      <c r="M1137" s="26" t="s">
        <v>38</v>
      </c>
      <c r="N1137" s="26" t="s">
        <v>39</v>
      </c>
      <c r="O1137" s="27">
        <v>31057</v>
      </c>
      <c r="P1137" s="26"/>
      <c r="Q1137" s="26"/>
      <c r="R1137" s="26">
        <v>13.3</v>
      </c>
      <c r="S1137" s="26" t="s">
        <v>29</v>
      </c>
    </row>
    <row r="1138" spans="1:19" ht="29.25">
      <c r="A1138" s="26">
        <v>44619</v>
      </c>
      <c r="B1138" s="26" t="s">
        <v>87</v>
      </c>
      <c r="C1138" s="26" t="s">
        <v>30</v>
      </c>
      <c r="D1138" s="26" t="s">
        <v>21</v>
      </c>
      <c r="E1138" s="26"/>
      <c r="F1138" s="26" t="s">
        <v>925</v>
      </c>
      <c r="G1138" s="26"/>
      <c r="H1138" s="26" t="s">
        <v>5</v>
      </c>
      <c r="I1138" s="26">
        <v>6009</v>
      </c>
      <c r="J1138" s="26" t="s">
        <v>781</v>
      </c>
      <c r="K1138" s="26"/>
      <c r="L1138" s="26"/>
      <c r="M1138" s="26" t="s">
        <v>38</v>
      </c>
      <c r="N1138" s="26" t="s">
        <v>39</v>
      </c>
      <c r="O1138" s="27">
        <v>30376</v>
      </c>
      <c r="P1138" s="26"/>
      <c r="Q1138" s="26"/>
      <c r="R1138" s="26">
        <v>4.04</v>
      </c>
      <c r="S1138" s="26" t="s">
        <v>29</v>
      </c>
    </row>
    <row r="1139" spans="1:19">
      <c r="A1139" s="26">
        <v>44628</v>
      </c>
      <c r="B1139" s="26" t="s">
        <v>87</v>
      </c>
      <c r="C1139" s="26" t="s">
        <v>30</v>
      </c>
      <c r="D1139" s="26" t="s">
        <v>21</v>
      </c>
      <c r="E1139" s="26"/>
      <c r="F1139" s="26" t="s">
        <v>1262</v>
      </c>
      <c r="G1139" s="26"/>
      <c r="H1139" s="26" t="s">
        <v>5</v>
      </c>
      <c r="I1139" s="26">
        <v>6096</v>
      </c>
      <c r="J1139" s="26" t="s">
        <v>781</v>
      </c>
      <c r="K1139" s="26" t="s">
        <v>781</v>
      </c>
      <c r="L1139" s="26" t="s">
        <v>781</v>
      </c>
      <c r="M1139" s="26" t="s">
        <v>38</v>
      </c>
      <c r="N1139" s="26" t="s">
        <v>39</v>
      </c>
      <c r="O1139" s="27">
        <v>31412</v>
      </c>
      <c r="P1139" s="26"/>
      <c r="Q1139" s="26"/>
      <c r="R1139" s="26">
        <v>15.66</v>
      </c>
      <c r="S1139" s="26" t="s">
        <v>29</v>
      </c>
    </row>
    <row r="1140" spans="1:19">
      <c r="A1140" s="26">
        <v>44614</v>
      </c>
      <c r="B1140" s="26" t="s">
        <v>87</v>
      </c>
      <c r="C1140" s="26" t="s">
        <v>30</v>
      </c>
      <c r="D1140" s="26" t="s">
        <v>21</v>
      </c>
      <c r="E1140" s="26"/>
      <c r="F1140" s="26" t="s">
        <v>2009</v>
      </c>
      <c r="G1140" s="26"/>
      <c r="H1140" s="26" t="s">
        <v>5</v>
      </c>
      <c r="I1140" s="26">
        <v>6095</v>
      </c>
      <c r="J1140" s="26" t="s">
        <v>781</v>
      </c>
      <c r="K1140" s="26"/>
      <c r="L1140" s="26"/>
      <c r="M1140" s="26" t="s">
        <v>38</v>
      </c>
      <c r="N1140" s="26" t="s">
        <v>39</v>
      </c>
      <c r="O1140" s="27">
        <v>32976</v>
      </c>
      <c r="P1140" s="26"/>
      <c r="Q1140" s="26"/>
      <c r="R1140" s="26">
        <v>8</v>
      </c>
      <c r="S1140" s="26" t="s">
        <v>29</v>
      </c>
    </row>
    <row r="1141" spans="1:19" ht="29.25">
      <c r="A1141" s="26">
        <v>44624</v>
      </c>
      <c r="B1141" s="26" t="s">
        <v>87</v>
      </c>
      <c r="C1141" s="26" t="s">
        <v>30</v>
      </c>
      <c r="D1141" s="26" t="s">
        <v>21</v>
      </c>
      <c r="E1141" s="26"/>
      <c r="F1141" s="26" t="s">
        <v>1186</v>
      </c>
      <c r="G1141" s="26"/>
      <c r="H1141" s="26" t="s">
        <v>5</v>
      </c>
      <c r="I1141" s="26">
        <v>6056</v>
      </c>
      <c r="J1141" s="26" t="s">
        <v>781</v>
      </c>
      <c r="K1141" s="26"/>
      <c r="L1141" s="26"/>
      <c r="M1141" s="26" t="s">
        <v>38</v>
      </c>
      <c r="N1141" s="26" t="s">
        <v>39</v>
      </c>
      <c r="O1141" s="27">
        <v>31121</v>
      </c>
      <c r="P1141" s="26"/>
      <c r="Q1141" s="26"/>
      <c r="R1141" s="26">
        <v>10.47</v>
      </c>
      <c r="S1141" s="26" t="s">
        <v>29</v>
      </c>
    </row>
    <row r="1142" spans="1:19" ht="29.25">
      <c r="A1142" s="24">
        <v>44800</v>
      </c>
      <c r="B1142" s="24" t="s">
        <v>87</v>
      </c>
      <c r="C1142" s="24" t="s">
        <v>30</v>
      </c>
      <c r="D1142" s="24" t="s">
        <v>30</v>
      </c>
      <c r="E1142" s="24" t="s">
        <v>1769</v>
      </c>
      <c r="F1142" s="24" t="s">
        <v>1770</v>
      </c>
      <c r="G1142" s="24">
        <v>47</v>
      </c>
      <c r="H1142" s="24" t="s">
        <v>143</v>
      </c>
      <c r="I1142" s="24">
        <v>233</v>
      </c>
      <c r="J1142" s="24" t="s">
        <v>694</v>
      </c>
      <c r="K1142" s="24" t="s">
        <v>705</v>
      </c>
      <c r="L1142" s="24" t="s">
        <v>240</v>
      </c>
      <c r="M1142" s="24" t="s">
        <v>38</v>
      </c>
      <c r="N1142" s="24" t="s">
        <v>144</v>
      </c>
      <c r="O1142" s="25">
        <v>32509</v>
      </c>
      <c r="P1142" s="24"/>
      <c r="Q1142" s="24"/>
      <c r="R1142" s="24">
        <v>48.6</v>
      </c>
      <c r="S1142" s="24" t="s">
        <v>29</v>
      </c>
    </row>
    <row r="1143" spans="1:19" ht="29.25">
      <c r="A1143" s="26">
        <v>44802</v>
      </c>
      <c r="B1143" s="26" t="s">
        <v>87</v>
      </c>
      <c r="C1143" s="26" t="s">
        <v>30</v>
      </c>
      <c r="D1143" s="26" t="s">
        <v>21</v>
      </c>
      <c r="E1143" s="26"/>
      <c r="F1143" s="26" t="s">
        <v>1770</v>
      </c>
      <c r="G1143" s="26"/>
      <c r="H1143" s="26" t="s">
        <v>143</v>
      </c>
      <c r="I1143" s="26">
        <v>233</v>
      </c>
      <c r="J1143" s="26" t="s">
        <v>694</v>
      </c>
      <c r="K1143" s="26" t="s">
        <v>366</v>
      </c>
      <c r="L1143" s="26" t="s">
        <v>712</v>
      </c>
      <c r="M1143" s="26" t="s">
        <v>38</v>
      </c>
      <c r="N1143" s="26" t="s">
        <v>144</v>
      </c>
      <c r="O1143" s="27">
        <v>32509</v>
      </c>
      <c r="P1143" s="26"/>
      <c r="Q1143" s="26"/>
      <c r="R1143" s="26">
        <v>10.199999999999999</v>
      </c>
      <c r="S1143" s="26" t="s">
        <v>29</v>
      </c>
    </row>
    <row r="1144" spans="1:19" ht="29.25">
      <c r="A1144" s="26">
        <v>44801</v>
      </c>
      <c r="B1144" s="26" t="s">
        <v>87</v>
      </c>
      <c r="C1144" s="26" t="s">
        <v>30</v>
      </c>
      <c r="D1144" s="26" t="s">
        <v>21</v>
      </c>
      <c r="E1144" s="26"/>
      <c r="F1144" s="26" t="s">
        <v>1770</v>
      </c>
      <c r="G1144" s="26"/>
      <c r="H1144" s="26" t="s">
        <v>143</v>
      </c>
      <c r="I1144" s="26">
        <v>233</v>
      </c>
      <c r="J1144" s="26" t="s">
        <v>694</v>
      </c>
      <c r="K1144" s="26" t="s">
        <v>580</v>
      </c>
      <c r="L1144" s="26" t="s">
        <v>240</v>
      </c>
      <c r="M1144" s="26" t="s">
        <v>38</v>
      </c>
      <c r="N1144" s="26" t="s">
        <v>144</v>
      </c>
      <c r="O1144" s="27">
        <v>32509</v>
      </c>
      <c r="P1144" s="26"/>
      <c r="Q1144" s="26"/>
      <c r="R1144" s="26">
        <v>38.4</v>
      </c>
      <c r="S1144" s="26" t="s">
        <v>29</v>
      </c>
    </row>
    <row r="1145" spans="1:19">
      <c r="A1145" s="28">
        <v>44900</v>
      </c>
      <c r="B1145" s="28" t="s">
        <v>87</v>
      </c>
      <c r="C1145" s="28" t="s">
        <v>30</v>
      </c>
      <c r="D1145" s="28" t="s">
        <v>21</v>
      </c>
      <c r="E1145" s="28" t="s">
        <v>1814</v>
      </c>
      <c r="F1145" s="28" t="s">
        <v>1815</v>
      </c>
      <c r="G1145" s="28">
        <v>52.23</v>
      </c>
      <c r="H1145" s="28" t="s">
        <v>24</v>
      </c>
      <c r="I1145" s="28" t="s">
        <v>1816</v>
      </c>
      <c r="J1145" s="28" t="s">
        <v>694</v>
      </c>
      <c r="K1145" s="28" t="s">
        <v>580</v>
      </c>
      <c r="L1145" s="28" t="s">
        <v>240</v>
      </c>
      <c r="M1145" s="28" t="s">
        <v>193</v>
      </c>
      <c r="N1145" s="28" t="s">
        <v>194</v>
      </c>
      <c r="O1145" s="29">
        <v>32581</v>
      </c>
      <c r="P1145" s="28"/>
      <c r="Q1145" s="28"/>
      <c r="R1145" s="28">
        <v>55.3</v>
      </c>
      <c r="S1145" s="28" t="s">
        <v>29</v>
      </c>
    </row>
    <row r="1146" spans="1:19">
      <c r="A1146" s="28">
        <v>45100</v>
      </c>
      <c r="B1146" s="28" t="s">
        <v>87</v>
      </c>
      <c r="C1146" s="28" t="s">
        <v>30</v>
      </c>
      <c r="D1146" s="28" t="s">
        <v>21</v>
      </c>
      <c r="E1146" s="28" t="s">
        <v>2010</v>
      </c>
      <c r="F1146" s="28" t="s">
        <v>2011</v>
      </c>
      <c r="G1146" s="28">
        <v>48.9</v>
      </c>
      <c r="H1146" s="28" t="s">
        <v>5</v>
      </c>
      <c r="I1146" s="28">
        <v>2205</v>
      </c>
      <c r="J1146" s="28" t="s">
        <v>694</v>
      </c>
      <c r="K1146" s="28" t="s">
        <v>580</v>
      </c>
      <c r="L1146" s="28" t="s">
        <v>240</v>
      </c>
      <c r="M1146" s="28" t="s">
        <v>38</v>
      </c>
      <c r="N1146" s="28" t="s">
        <v>39</v>
      </c>
      <c r="O1146" s="29">
        <v>32976</v>
      </c>
      <c r="P1146" s="28"/>
      <c r="Q1146" s="28"/>
      <c r="R1146" s="28">
        <v>47.7</v>
      </c>
      <c r="S1146" s="28" t="s">
        <v>29</v>
      </c>
    </row>
    <row r="1147" spans="1:19" ht="29.25">
      <c r="A1147" s="24">
        <v>45500</v>
      </c>
      <c r="B1147" s="24" t="s">
        <v>87</v>
      </c>
      <c r="C1147" s="24" t="s">
        <v>30</v>
      </c>
      <c r="D1147" s="24" t="s">
        <v>30</v>
      </c>
      <c r="E1147" s="24" t="s">
        <v>2127</v>
      </c>
      <c r="F1147" s="24" t="s">
        <v>2128</v>
      </c>
      <c r="G1147" s="24">
        <v>18.510000000000002</v>
      </c>
      <c r="H1147" s="24" t="s">
        <v>5</v>
      </c>
      <c r="I1147" s="24" t="s">
        <v>90</v>
      </c>
      <c r="J1147" s="24" t="s">
        <v>788</v>
      </c>
      <c r="K1147" s="24"/>
      <c r="L1147" s="24" t="s">
        <v>888</v>
      </c>
      <c r="M1147" s="24" t="s">
        <v>38</v>
      </c>
      <c r="N1147" s="24" t="s">
        <v>39</v>
      </c>
      <c r="O1147" s="25">
        <v>33970</v>
      </c>
      <c r="P1147" s="24"/>
      <c r="Q1147" s="24"/>
      <c r="R1147" s="24">
        <v>28.24</v>
      </c>
      <c r="S1147" s="24" t="s">
        <v>29</v>
      </c>
    </row>
    <row r="1148" spans="1:19" ht="43.5">
      <c r="A1148" s="26">
        <v>45503</v>
      </c>
      <c r="B1148" s="26" t="s">
        <v>87</v>
      </c>
      <c r="C1148" s="26" t="s">
        <v>30</v>
      </c>
      <c r="D1148" s="26" t="s">
        <v>21</v>
      </c>
      <c r="E1148" s="26"/>
      <c r="F1148" s="26" t="s">
        <v>2146</v>
      </c>
      <c r="G1148" s="26"/>
      <c r="H1148" s="26" t="s">
        <v>5</v>
      </c>
      <c r="I1148" s="26">
        <v>1098</v>
      </c>
      <c r="J1148" s="26" t="s">
        <v>788</v>
      </c>
      <c r="K1148" s="26"/>
      <c r="L1148" s="26"/>
      <c r="M1148" s="26" t="s">
        <v>38</v>
      </c>
      <c r="N1148" s="26" t="s">
        <v>39</v>
      </c>
      <c r="O1148" s="27">
        <v>34177</v>
      </c>
      <c r="P1148" s="26"/>
      <c r="Q1148" s="26"/>
      <c r="R1148" s="26">
        <v>8.8000000000000007</v>
      </c>
      <c r="S1148" s="26" t="s">
        <v>29</v>
      </c>
    </row>
    <row r="1149" spans="1:19">
      <c r="A1149" s="26">
        <v>45505</v>
      </c>
      <c r="B1149" s="26" t="s">
        <v>87</v>
      </c>
      <c r="C1149" s="26" t="s">
        <v>30</v>
      </c>
      <c r="D1149" s="26" t="s">
        <v>21</v>
      </c>
      <c r="E1149" s="26"/>
      <c r="F1149" s="26" t="s">
        <v>1524</v>
      </c>
      <c r="G1149" s="26"/>
      <c r="H1149" s="26" t="s">
        <v>5</v>
      </c>
      <c r="I1149" s="26">
        <v>2258</v>
      </c>
      <c r="J1149" s="26" t="s">
        <v>694</v>
      </c>
      <c r="K1149" s="26"/>
      <c r="L1149" s="26"/>
      <c r="M1149" s="26" t="s">
        <v>38</v>
      </c>
      <c r="N1149" s="26" t="s">
        <v>39</v>
      </c>
      <c r="O1149" s="27">
        <v>31792</v>
      </c>
      <c r="P1149" s="26"/>
      <c r="Q1149" s="26"/>
      <c r="R1149" s="26">
        <v>0.09</v>
      </c>
      <c r="S1149" s="26" t="s">
        <v>29</v>
      </c>
    </row>
    <row r="1150" spans="1:19">
      <c r="A1150" s="26">
        <v>45504</v>
      </c>
      <c r="B1150" s="26" t="s">
        <v>87</v>
      </c>
      <c r="C1150" s="26" t="s">
        <v>30</v>
      </c>
      <c r="D1150" s="26" t="s">
        <v>21</v>
      </c>
      <c r="E1150" s="26"/>
      <c r="F1150" s="26" t="s">
        <v>1796</v>
      </c>
      <c r="G1150" s="26"/>
      <c r="H1150" s="26" t="s">
        <v>5</v>
      </c>
      <c r="I1150" s="26">
        <v>2366</v>
      </c>
      <c r="J1150" s="26" t="s">
        <v>694</v>
      </c>
      <c r="K1150" s="26"/>
      <c r="L1150" s="26"/>
      <c r="M1150" s="26" t="s">
        <v>38</v>
      </c>
      <c r="N1150" s="26" t="s">
        <v>39</v>
      </c>
      <c r="O1150" s="27">
        <v>32533</v>
      </c>
      <c r="P1150" s="26"/>
      <c r="Q1150" s="26"/>
      <c r="R1150" s="26">
        <v>0.06</v>
      </c>
      <c r="S1150" s="26" t="s">
        <v>29</v>
      </c>
    </row>
    <row r="1151" spans="1:19" ht="43.5">
      <c r="A1151" s="26">
        <v>45502</v>
      </c>
      <c r="B1151" s="26" t="s">
        <v>87</v>
      </c>
      <c r="C1151" s="26" t="s">
        <v>30</v>
      </c>
      <c r="D1151" s="26" t="s">
        <v>21</v>
      </c>
      <c r="E1151" s="26"/>
      <c r="F1151" s="26" t="s">
        <v>2145</v>
      </c>
      <c r="G1151" s="26"/>
      <c r="H1151" s="26" t="s">
        <v>5</v>
      </c>
      <c r="I1151" s="26">
        <v>2460</v>
      </c>
      <c r="J1151" s="26" t="s">
        <v>694</v>
      </c>
      <c r="K1151" s="26"/>
      <c r="L1151" s="26"/>
      <c r="M1151" s="26" t="s">
        <v>38</v>
      </c>
      <c r="N1151" s="26" t="s">
        <v>39</v>
      </c>
      <c r="O1151" s="27">
        <v>34136</v>
      </c>
      <c r="P1151" s="26"/>
      <c r="Q1151" s="26"/>
      <c r="R1151" s="26">
        <v>4.5</v>
      </c>
      <c r="S1151" s="26" t="s">
        <v>29</v>
      </c>
    </row>
    <row r="1152" spans="1:19" ht="29.25">
      <c r="A1152" s="28">
        <v>45600</v>
      </c>
      <c r="B1152" s="28" t="s">
        <v>87</v>
      </c>
      <c r="C1152" s="28" t="s">
        <v>30</v>
      </c>
      <c r="D1152" s="28" t="s">
        <v>21</v>
      </c>
      <c r="E1152" s="28"/>
      <c r="F1152" s="28" t="s">
        <v>1005</v>
      </c>
      <c r="G1152" s="28">
        <v>0</v>
      </c>
      <c r="H1152" s="28" t="s">
        <v>143</v>
      </c>
      <c r="I1152" s="28">
        <v>14</v>
      </c>
      <c r="J1152" s="28" t="s">
        <v>694</v>
      </c>
      <c r="K1152" s="28"/>
      <c r="L1152" s="28" t="s">
        <v>240</v>
      </c>
      <c r="M1152" s="28" t="s">
        <v>38</v>
      </c>
      <c r="N1152" s="28" t="s">
        <v>144</v>
      </c>
      <c r="O1152" s="29">
        <v>30682</v>
      </c>
      <c r="P1152" s="28" t="s">
        <v>892</v>
      </c>
      <c r="Q1152" s="28"/>
      <c r="R1152" s="28">
        <v>1.43</v>
      </c>
      <c r="S1152" s="28" t="s">
        <v>29</v>
      </c>
    </row>
    <row r="1153" spans="1:19">
      <c r="A1153" s="28">
        <v>45700</v>
      </c>
      <c r="B1153" s="28" t="s">
        <v>87</v>
      </c>
      <c r="C1153" s="28" t="s">
        <v>30</v>
      </c>
      <c r="D1153" s="28" t="s">
        <v>21</v>
      </c>
      <c r="E1153" s="28" t="s">
        <v>1297</v>
      </c>
      <c r="F1153" s="28" t="s">
        <v>1298</v>
      </c>
      <c r="G1153" s="28">
        <v>0.23</v>
      </c>
      <c r="H1153" s="28" t="s">
        <v>5</v>
      </c>
      <c r="I1153" s="28">
        <v>2085</v>
      </c>
      <c r="J1153" s="28" t="s">
        <v>694</v>
      </c>
      <c r="K1153" s="28"/>
      <c r="L1153" s="28"/>
      <c r="M1153" s="28" t="s">
        <v>38</v>
      </c>
      <c r="N1153" s="28" t="s">
        <v>39</v>
      </c>
      <c r="O1153" s="29">
        <v>31413</v>
      </c>
      <c r="P1153" s="28"/>
      <c r="Q1153" s="28"/>
      <c r="R1153" s="28">
        <v>0.2</v>
      </c>
      <c r="S1153" s="28" t="s">
        <v>29</v>
      </c>
    </row>
    <row r="1154" spans="1:19" ht="29.25">
      <c r="A1154" s="24">
        <v>45800</v>
      </c>
      <c r="B1154" s="24" t="s">
        <v>87</v>
      </c>
      <c r="C1154" s="24" t="s">
        <v>30</v>
      </c>
      <c r="D1154" s="24" t="s">
        <v>30</v>
      </c>
      <c r="E1154" s="24" t="s">
        <v>238</v>
      </c>
      <c r="F1154" s="24" t="s">
        <v>239</v>
      </c>
      <c r="G1154" s="24">
        <v>37.22</v>
      </c>
      <c r="H1154" s="24" t="s">
        <v>5</v>
      </c>
      <c r="I1154" s="24" t="s">
        <v>90</v>
      </c>
      <c r="J1154" s="24" t="s">
        <v>90</v>
      </c>
      <c r="K1154" s="24"/>
      <c r="L1154" s="24" t="s">
        <v>240</v>
      </c>
      <c r="M1154" s="24" t="s">
        <v>38</v>
      </c>
      <c r="N1154" s="24" t="s">
        <v>39</v>
      </c>
      <c r="O1154" s="25">
        <v>9133</v>
      </c>
      <c r="P1154" s="24"/>
      <c r="Q1154" s="24"/>
      <c r="R1154" s="24">
        <v>44.08</v>
      </c>
      <c r="S1154" s="24" t="s">
        <v>29</v>
      </c>
    </row>
    <row r="1155" spans="1:19" ht="29.25">
      <c r="A1155" s="26">
        <v>45802</v>
      </c>
      <c r="B1155" s="26" t="s">
        <v>87</v>
      </c>
      <c r="C1155" s="26" t="s">
        <v>30</v>
      </c>
      <c r="D1155" s="26" t="s">
        <v>21</v>
      </c>
      <c r="E1155" s="26"/>
      <c r="F1155" s="26" t="s">
        <v>3213</v>
      </c>
      <c r="G1155" s="26"/>
      <c r="H1155" s="26" t="s">
        <v>5</v>
      </c>
      <c r="I1155" s="26">
        <v>4100</v>
      </c>
      <c r="J1155" s="26" t="s">
        <v>25</v>
      </c>
      <c r="K1155" s="26" t="s">
        <v>25</v>
      </c>
      <c r="L1155" s="26" t="s">
        <v>26</v>
      </c>
      <c r="M1155" s="26" t="s">
        <v>38</v>
      </c>
      <c r="N1155" s="26" t="s">
        <v>39</v>
      </c>
      <c r="O1155" s="26" t="s">
        <v>4687</v>
      </c>
      <c r="P1155" s="26"/>
      <c r="Q1155" s="26"/>
      <c r="R1155" s="26">
        <v>0.08</v>
      </c>
      <c r="S1155" s="26" t="s">
        <v>29</v>
      </c>
    </row>
    <row r="1156" spans="1:19">
      <c r="A1156" s="26">
        <v>45801</v>
      </c>
      <c r="B1156" s="26" t="s">
        <v>87</v>
      </c>
      <c r="C1156" s="26" t="s">
        <v>30</v>
      </c>
      <c r="D1156" s="26" t="s">
        <v>21</v>
      </c>
      <c r="E1156" s="26"/>
      <c r="F1156" s="26" t="s">
        <v>1227</v>
      </c>
      <c r="G1156" s="26"/>
      <c r="H1156" s="26" t="s">
        <v>5</v>
      </c>
      <c r="I1156" s="26">
        <v>2045</v>
      </c>
      <c r="J1156" s="26" t="s">
        <v>694</v>
      </c>
      <c r="K1156" s="26" t="s">
        <v>580</v>
      </c>
      <c r="L1156" s="26" t="s">
        <v>240</v>
      </c>
      <c r="M1156" s="26" t="s">
        <v>38</v>
      </c>
      <c r="N1156" s="26" t="s">
        <v>39</v>
      </c>
      <c r="O1156" s="27">
        <v>31291</v>
      </c>
      <c r="P1156" s="26"/>
      <c r="Q1156" s="26"/>
      <c r="R1156" s="26">
        <v>36.700000000000003</v>
      </c>
      <c r="S1156" s="26" t="s">
        <v>29</v>
      </c>
    </row>
    <row r="1157" spans="1:19">
      <c r="A1157" s="28">
        <v>45900</v>
      </c>
      <c r="B1157" s="28" t="s">
        <v>87</v>
      </c>
      <c r="C1157" s="28" t="s">
        <v>30</v>
      </c>
      <c r="D1157" s="28" t="s">
        <v>21</v>
      </c>
      <c r="E1157" s="28" t="s">
        <v>2147</v>
      </c>
      <c r="F1157" s="28" t="s">
        <v>2148</v>
      </c>
      <c r="G1157" s="28">
        <v>48.2</v>
      </c>
      <c r="H1157" s="28" t="s">
        <v>5</v>
      </c>
      <c r="I1157" s="28">
        <v>2101</v>
      </c>
      <c r="J1157" s="28" t="s">
        <v>694</v>
      </c>
      <c r="K1157" s="28" t="s">
        <v>580</v>
      </c>
      <c r="L1157" s="28" t="s">
        <v>240</v>
      </c>
      <c r="M1157" s="28" t="s">
        <v>38</v>
      </c>
      <c r="N1157" s="28" t="s">
        <v>39</v>
      </c>
      <c r="O1157" s="29">
        <v>34200</v>
      </c>
      <c r="P1157" s="28"/>
      <c r="Q1157" s="28"/>
      <c r="R1157" s="28">
        <v>49</v>
      </c>
      <c r="S1157" s="28" t="s">
        <v>29</v>
      </c>
    </row>
    <row r="1158" spans="1:19">
      <c r="A1158" s="28">
        <v>46000</v>
      </c>
      <c r="B1158" s="28" t="s">
        <v>87</v>
      </c>
      <c r="C1158" s="28" t="s">
        <v>30</v>
      </c>
      <c r="D1158" s="28" t="s">
        <v>21</v>
      </c>
      <c r="E1158" s="28" t="s">
        <v>1421</v>
      </c>
      <c r="F1158" s="28" t="s">
        <v>1422</v>
      </c>
      <c r="G1158" s="28">
        <v>19.899999999999999</v>
      </c>
      <c r="H1158" s="28" t="s">
        <v>24</v>
      </c>
      <c r="I1158" s="28" t="s">
        <v>1423</v>
      </c>
      <c r="J1158" s="28" t="s">
        <v>788</v>
      </c>
      <c r="K1158" s="28" t="s">
        <v>366</v>
      </c>
      <c r="L1158" s="28" t="s">
        <v>789</v>
      </c>
      <c r="M1158" s="28" t="s">
        <v>27</v>
      </c>
      <c r="N1158" s="28" t="s">
        <v>159</v>
      </c>
      <c r="O1158" s="29">
        <v>31670</v>
      </c>
      <c r="P1158" s="28"/>
      <c r="Q1158" s="28"/>
      <c r="R1158" s="28">
        <v>19.899999999999999</v>
      </c>
      <c r="S1158" s="28" t="s">
        <v>29</v>
      </c>
    </row>
    <row r="1159" spans="1:19" ht="29.25">
      <c r="A1159" s="24">
        <v>93200</v>
      </c>
      <c r="B1159" s="24" t="s">
        <v>87</v>
      </c>
      <c r="C1159" s="24" t="s">
        <v>30</v>
      </c>
      <c r="D1159" s="24" t="s">
        <v>30</v>
      </c>
      <c r="E1159" s="24" t="s">
        <v>2811</v>
      </c>
      <c r="F1159" s="24" t="s">
        <v>2812</v>
      </c>
      <c r="G1159" s="24">
        <v>10.5</v>
      </c>
      <c r="H1159" s="24" t="s">
        <v>24</v>
      </c>
      <c r="I1159" s="24" t="s">
        <v>2770</v>
      </c>
      <c r="J1159" s="24" t="s">
        <v>365</v>
      </c>
      <c r="K1159" s="24" t="s">
        <v>90</v>
      </c>
      <c r="L1159" s="24" t="s">
        <v>240</v>
      </c>
      <c r="M1159" s="24" t="s">
        <v>193</v>
      </c>
      <c r="N1159" s="24" t="s">
        <v>194</v>
      </c>
      <c r="O1159" s="25">
        <v>38869</v>
      </c>
      <c r="P1159" s="24" t="s">
        <v>2813</v>
      </c>
      <c r="Q1159" s="24"/>
      <c r="R1159" s="24">
        <v>17.25</v>
      </c>
      <c r="S1159" s="24" t="s">
        <v>29</v>
      </c>
    </row>
    <row r="1160" spans="1:19" ht="29.25">
      <c r="A1160" s="26">
        <v>60700</v>
      </c>
      <c r="B1160" s="26" t="s">
        <v>87</v>
      </c>
      <c r="C1160" s="26" t="s">
        <v>30</v>
      </c>
      <c r="D1160" s="26" t="s">
        <v>21</v>
      </c>
      <c r="E1160" s="26" t="s">
        <v>1721</v>
      </c>
      <c r="F1160" s="26" t="s">
        <v>1722</v>
      </c>
      <c r="G1160" s="26">
        <v>7</v>
      </c>
      <c r="H1160" s="26" t="s">
        <v>24</v>
      </c>
      <c r="I1160" s="26" t="s">
        <v>1723</v>
      </c>
      <c r="J1160" s="26" t="s">
        <v>694</v>
      </c>
      <c r="K1160" s="26" t="s">
        <v>580</v>
      </c>
      <c r="L1160" s="26" t="s">
        <v>240</v>
      </c>
      <c r="M1160" s="26" t="s">
        <v>193</v>
      </c>
      <c r="N1160" s="26" t="s">
        <v>194</v>
      </c>
      <c r="O1160" s="27">
        <v>32388</v>
      </c>
      <c r="P1160" s="26" t="s">
        <v>1077</v>
      </c>
      <c r="Q1160" s="26"/>
      <c r="R1160" s="26">
        <v>7</v>
      </c>
      <c r="S1160" s="26" t="s">
        <v>29</v>
      </c>
    </row>
    <row r="1161" spans="1:19" ht="29.25">
      <c r="A1161" s="26">
        <v>34300</v>
      </c>
      <c r="B1161" s="26" t="s">
        <v>87</v>
      </c>
      <c r="C1161" s="26" t="s">
        <v>30</v>
      </c>
      <c r="D1161" s="26" t="s">
        <v>21</v>
      </c>
      <c r="E1161" s="26" t="s">
        <v>1074</v>
      </c>
      <c r="F1161" s="26" t="s">
        <v>1075</v>
      </c>
      <c r="G1161" s="26">
        <v>6</v>
      </c>
      <c r="H1161" s="26" t="s">
        <v>24</v>
      </c>
      <c r="I1161" s="26" t="s">
        <v>1076</v>
      </c>
      <c r="J1161" s="26" t="s">
        <v>295</v>
      </c>
      <c r="K1161" s="26" t="s">
        <v>580</v>
      </c>
      <c r="L1161" s="26" t="s">
        <v>240</v>
      </c>
      <c r="M1161" s="26" t="s">
        <v>193</v>
      </c>
      <c r="N1161" s="26" t="s">
        <v>194</v>
      </c>
      <c r="O1161" s="27">
        <v>30944</v>
      </c>
      <c r="P1161" s="26" t="s">
        <v>1077</v>
      </c>
      <c r="Q1161" s="26"/>
      <c r="R1161" s="26">
        <v>6</v>
      </c>
      <c r="S1161" s="26" t="s">
        <v>29</v>
      </c>
    </row>
    <row r="1162" spans="1:19" ht="29.25">
      <c r="A1162" s="26">
        <v>56901</v>
      </c>
      <c r="B1162" s="26" t="s">
        <v>87</v>
      </c>
      <c r="C1162" s="26" t="s">
        <v>30</v>
      </c>
      <c r="D1162" s="26" t="s">
        <v>21</v>
      </c>
      <c r="E1162" s="26" t="s">
        <v>1702</v>
      </c>
      <c r="F1162" s="26" t="s">
        <v>1703</v>
      </c>
      <c r="G1162" s="26">
        <v>4.25</v>
      </c>
      <c r="H1162" s="26" t="s">
        <v>24</v>
      </c>
      <c r="I1162" s="26" t="s">
        <v>1704</v>
      </c>
      <c r="J1162" s="26" t="s">
        <v>694</v>
      </c>
      <c r="K1162" s="26"/>
      <c r="L1162" s="26" t="s">
        <v>240</v>
      </c>
      <c r="M1162" s="26" t="s">
        <v>193</v>
      </c>
      <c r="N1162" s="26" t="s">
        <v>194</v>
      </c>
      <c r="O1162" s="27">
        <v>32313</v>
      </c>
      <c r="P1162" s="26" t="s">
        <v>1077</v>
      </c>
      <c r="Q1162" s="26"/>
      <c r="R1162" s="26">
        <v>4.25</v>
      </c>
      <c r="S1162" s="26" t="s">
        <v>29</v>
      </c>
    </row>
    <row r="1163" spans="1:19" ht="29.25">
      <c r="A1163" s="24">
        <v>93900</v>
      </c>
      <c r="B1163" s="24" t="s">
        <v>87</v>
      </c>
      <c r="C1163" s="24" t="s">
        <v>30</v>
      </c>
      <c r="D1163" s="24" t="s">
        <v>30</v>
      </c>
      <c r="E1163" s="24" t="s">
        <v>3214</v>
      </c>
      <c r="F1163" s="24" t="s">
        <v>3215</v>
      </c>
      <c r="G1163" s="24">
        <v>1.6</v>
      </c>
      <c r="H1163" s="24" t="s">
        <v>24</v>
      </c>
      <c r="I1163" s="24"/>
      <c r="J1163" s="24" t="s">
        <v>25</v>
      </c>
      <c r="K1163" s="24" t="s">
        <v>1022</v>
      </c>
      <c r="L1163" s="24" t="s">
        <v>26</v>
      </c>
      <c r="M1163" s="24" t="s">
        <v>27</v>
      </c>
      <c r="N1163" s="24" t="s">
        <v>28</v>
      </c>
      <c r="O1163" s="263">
        <v>31044</v>
      </c>
      <c r="P1163" s="24" t="s">
        <v>3216</v>
      </c>
      <c r="Q1163" s="24"/>
      <c r="R1163" s="24">
        <v>1.3</v>
      </c>
      <c r="S1163" s="24" t="s">
        <v>29</v>
      </c>
    </row>
    <row r="1164" spans="1:19" ht="43.5">
      <c r="A1164" s="26">
        <v>47103</v>
      </c>
      <c r="B1164" s="26" t="s">
        <v>87</v>
      </c>
      <c r="C1164" s="26" t="s">
        <v>30</v>
      </c>
      <c r="D1164" s="26" t="s">
        <v>21</v>
      </c>
      <c r="E1164" s="26"/>
      <c r="F1164" s="26" t="s">
        <v>1103</v>
      </c>
      <c r="G1164" s="26">
        <v>1.25</v>
      </c>
      <c r="H1164" s="26" t="s">
        <v>24</v>
      </c>
      <c r="I1164" s="26" t="s">
        <v>1104</v>
      </c>
      <c r="J1164" s="26" t="s">
        <v>25</v>
      </c>
      <c r="K1164" s="26" t="s">
        <v>25</v>
      </c>
      <c r="L1164" s="26" t="s">
        <v>26</v>
      </c>
      <c r="M1164" s="26" t="s">
        <v>27</v>
      </c>
      <c r="N1164" s="26" t="s">
        <v>28</v>
      </c>
      <c r="O1164" s="27">
        <v>31044</v>
      </c>
      <c r="P1164" s="26" t="s">
        <v>1105</v>
      </c>
      <c r="Q1164" s="26"/>
      <c r="R1164" s="26">
        <v>1.25</v>
      </c>
      <c r="S1164" s="26" t="s">
        <v>29</v>
      </c>
    </row>
    <row r="1165" spans="1:19" ht="43.5">
      <c r="A1165" s="26">
        <v>50801</v>
      </c>
      <c r="B1165" s="26" t="s">
        <v>87</v>
      </c>
      <c r="C1165" s="26" t="s">
        <v>30</v>
      </c>
      <c r="D1165" s="26" t="s">
        <v>21</v>
      </c>
      <c r="E1165" s="26"/>
      <c r="F1165" s="26" t="s">
        <v>1332</v>
      </c>
      <c r="G1165" s="26"/>
      <c r="H1165" s="26" t="s">
        <v>24</v>
      </c>
      <c r="I1165" s="26" t="s">
        <v>1333</v>
      </c>
      <c r="J1165" s="26" t="s">
        <v>25</v>
      </c>
      <c r="K1165" s="26" t="s">
        <v>25</v>
      </c>
      <c r="L1165" s="26" t="s">
        <v>26</v>
      </c>
      <c r="M1165" s="26" t="s">
        <v>27</v>
      </c>
      <c r="N1165" s="26" t="s">
        <v>159</v>
      </c>
      <c r="O1165" s="27">
        <v>31427</v>
      </c>
      <c r="P1165" s="26" t="s">
        <v>1334</v>
      </c>
      <c r="Q1165" s="26"/>
      <c r="R1165" s="26">
        <v>0.03</v>
      </c>
      <c r="S1165" s="26" t="s">
        <v>29</v>
      </c>
    </row>
    <row r="1166" spans="1:19" ht="29.25">
      <c r="A1166" s="28">
        <v>46400</v>
      </c>
      <c r="B1166" s="28" t="s">
        <v>87</v>
      </c>
      <c r="C1166" s="28" t="s">
        <v>30</v>
      </c>
      <c r="D1166" s="28" t="s">
        <v>21</v>
      </c>
      <c r="E1166" s="28"/>
      <c r="F1166" s="28" t="s">
        <v>3217</v>
      </c>
      <c r="G1166" s="28">
        <v>0.25</v>
      </c>
      <c r="H1166" s="28" t="s">
        <v>5</v>
      </c>
      <c r="I1166" s="28">
        <v>2457</v>
      </c>
      <c r="J1166" s="28" t="s">
        <v>694</v>
      </c>
      <c r="K1166" s="28"/>
      <c r="L1166" s="28"/>
      <c r="M1166" s="28" t="s">
        <v>38</v>
      </c>
      <c r="N1166" s="28" t="s">
        <v>39</v>
      </c>
      <c r="O1166" s="28" t="s">
        <v>4687</v>
      </c>
      <c r="P1166" s="28"/>
      <c r="Q1166" s="28"/>
      <c r="R1166" s="28">
        <v>0.25</v>
      </c>
      <c r="S1166" s="28" t="s">
        <v>29</v>
      </c>
    </row>
    <row r="1167" spans="1:19">
      <c r="A1167" s="28">
        <v>46500</v>
      </c>
      <c r="B1167" s="28" t="s">
        <v>87</v>
      </c>
      <c r="C1167" s="28" t="s">
        <v>30</v>
      </c>
      <c r="D1167" s="28" t="s">
        <v>21</v>
      </c>
      <c r="E1167" s="28" t="s">
        <v>1197</v>
      </c>
      <c r="F1167" s="28" t="s">
        <v>1198</v>
      </c>
      <c r="G1167" s="28">
        <v>33.700000000000003</v>
      </c>
      <c r="H1167" s="28" t="s">
        <v>24</v>
      </c>
      <c r="I1167" s="28" t="s">
        <v>1199</v>
      </c>
      <c r="J1167" s="28" t="s">
        <v>25</v>
      </c>
      <c r="K1167" s="28" t="s">
        <v>25</v>
      </c>
      <c r="L1167" s="28" t="s">
        <v>26</v>
      </c>
      <c r="M1167" s="28" t="s">
        <v>27</v>
      </c>
      <c r="N1167" s="28" t="s">
        <v>28</v>
      </c>
      <c r="O1167" s="29">
        <v>31153</v>
      </c>
      <c r="P1167" s="28"/>
      <c r="Q1167" s="28"/>
      <c r="R1167" s="28">
        <v>33.700000000000003</v>
      </c>
      <c r="S1167" s="28" t="s">
        <v>29</v>
      </c>
    </row>
    <row r="1168" spans="1:19">
      <c r="A1168" s="28">
        <v>46600</v>
      </c>
      <c r="B1168" s="28" t="s">
        <v>87</v>
      </c>
      <c r="C1168" s="28" t="s">
        <v>30</v>
      </c>
      <c r="D1168" s="28" t="s">
        <v>21</v>
      </c>
      <c r="E1168" s="28" t="s">
        <v>1299</v>
      </c>
      <c r="F1168" s="28" t="s">
        <v>1300</v>
      </c>
      <c r="G1168" s="28">
        <v>6.9</v>
      </c>
      <c r="H1168" s="28" t="s">
        <v>24</v>
      </c>
      <c r="I1168" s="28" t="s">
        <v>1301</v>
      </c>
      <c r="J1168" s="28" t="s">
        <v>694</v>
      </c>
      <c r="K1168" s="28" t="s">
        <v>580</v>
      </c>
      <c r="L1168" s="28" t="s">
        <v>240</v>
      </c>
      <c r="M1168" s="28" t="s">
        <v>193</v>
      </c>
      <c r="N1168" s="28" t="s">
        <v>194</v>
      </c>
      <c r="O1168" s="29">
        <v>31413</v>
      </c>
      <c r="P1168" s="28"/>
      <c r="Q1168" s="28"/>
      <c r="R1168" s="28">
        <v>6.9</v>
      </c>
      <c r="S1168" s="28" t="s">
        <v>29</v>
      </c>
    </row>
    <row r="1169" spans="1:19" ht="29.25">
      <c r="A1169" s="24">
        <v>47100</v>
      </c>
      <c r="B1169" s="24" t="s">
        <v>87</v>
      </c>
      <c r="C1169" s="24" t="s">
        <v>30</v>
      </c>
      <c r="D1169" s="24" t="s">
        <v>30</v>
      </c>
      <c r="E1169" s="24" t="s">
        <v>884</v>
      </c>
      <c r="F1169" s="24" t="s">
        <v>885</v>
      </c>
      <c r="G1169" s="24">
        <v>1.05</v>
      </c>
      <c r="H1169" s="24" t="s">
        <v>24</v>
      </c>
      <c r="I1169" s="24" t="s">
        <v>90</v>
      </c>
      <c r="J1169" s="24" t="s">
        <v>25</v>
      </c>
      <c r="K1169" s="24" t="s">
        <v>25</v>
      </c>
      <c r="L1169" s="24" t="s">
        <v>26</v>
      </c>
      <c r="M1169" s="24" t="s">
        <v>27</v>
      </c>
      <c r="N1169" s="24" t="s">
        <v>28</v>
      </c>
      <c r="O1169" s="25">
        <v>30317</v>
      </c>
      <c r="P1169" s="24"/>
      <c r="Q1169" s="24"/>
      <c r="R1169" s="24">
        <v>1.05</v>
      </c>
      <c r="S1169" s="24" t="s">
        <v>29</v>
      </c>
    </row>
    <row r="1170" spans="1:19">
      <c r="A1170" s="26">
        <v>47101</v>
      </c>
      <c r="B1170" s="26" t="s">
        <v>87</v>
      </c>
      <c r="C1170" s="26" t="s">
        <v>30</v>
      </c>
      <c r="D1170" s="26" t="s">
        <v>21</v>
      </c>
      <c r="E1170" s="26"/>
      <c r="F1170" s="26" t="s">
        <v>2113</v>
      </c>
      <c r="G1170" s="26"/>
      <c r="H1170" s="26" t="s">
        <v>24</v>
      </c>
      <c r="I1170" s="26" t="s">
        <v>2114</v>
      </c>
      <c r="J1170" s="26" t="s">
        <v>694</v>
      </c>
      <c r="K1170" s="26"/>
      <c r="L1170" s="26" t="s">
        <v>240</v>
      </c>
      <c r="M1170" s="26" t="s">
        <v>27</v>
      </c>
      <c r="N1170" s="26" t="s">
        <v>28</v>
      </c>
      <c r="O1170" s="27">
        <v>33843</v>
      </c>
      <c r="P1170" s="26"/>
      <c r="Q1170" s="26"/>
      <c r="R1170" s="26">
        <v>0.06</v>
      </c>
      <c r="S1170" s="26" t="s">
        <v>29</v>
      </c>
    </row>
    <row r="1171" spans="1:19">
      <c r="A1171" s="26">
        <v>47105</v>
      </c>
      <c r="B1171" s="26" t="s">
        <v>87</v>
      </c>
      <c r="C1171" s="26" t="s">
        <v>30</v>
      </c>
      <c r="D1171" s="26" t="s">
        <v>21</v>
      </c>
      <c r="E1171" s="26"/>
      <c r="F1171" s="26" t="s">
        <v>950</v>
      </c>
      <c r="G1171" s="26"/>
      <c r="H1171" s="26" t="s">
        <v>24</v>
      </c>
      <c r="I1171" s="26" t="s">
        <v>951</v>
      </c>
      <c r="J1171" s="26" t="s">
        <v>25</v>
      </c>
      <c r="K1171" s="26" t="s">
        <v>25</v>
      </c>
      <c r="L1171" s="26" t="s">
        <v>26</v>
      </c>
      <c r="M1171" s="26" t="s">
        <v>27</v>
      </c>
      <c r="N1171" s="26" t="s">
        <v>28</v>
      </c>
      <c r="O1171" s="27">
        <v>30498</v>
      </c>
      <c r="P1171" s="26"/>
      <c r="Q1171" s="26"/>
      <c r="R1171" s="26">
        <v>0.35</v>
      </c>
      <c r="S1171" s="26" t="s">
        <v>29</v>
      </c>
    </row>
    <row r="1172" spans="1:19">
      <c r="A1172" s="26">
        <v>47102</v>
      </c>
      <c r="B1172" s="26" t="s">
        <v>87</v>
      </c>
      <c r="C1172" s="26" t="s">
        <v>30</v>
      </c>
      <c r="D1172" s="26" t="s">
        <v>21</v>
      </c>
      <c r="E1172" s="26"/>
      <c r="F1172" s="26" t="s">
        <v>1594</v>
      </c>
      <c r="G1172" s="26"/>
      <c r="H1172" s="26" t="s">
        <v>24</v>
      </c>
      <c r="I1172" s="26" t="s">
        <v>1595</v>
      </c>
      <c r="J1172" s="26" t="s">
        <v>25</v>
      </c>
      <c r="K1172" s="26" t="s">
        <v>25</v>
      </c>
      <c r="L1172" s="26" t="s">
        <v>26</v>
      </c>
      <c r="M1172" s="26" t="s">
        <v>27</v>
      </c>
      <c r="N1172" s="26" t="s">
        <v>28</v>
      </c>
      <c r="O1172" s="27">
        <v>32050</v>
      </c>
      <c r="P1172" s="26"/>
      <c r="Q1172" s="26"/>
      <c r="R1172" s="26">
        <v>0.4</v>
      </c>
      <c r="S1172" s="26" t="s">
        <v>29</v>
      </c>
    </row>
    <row r="1173" spans="1:19" ht="29.25">
      <c r="A1173" s="26">
        <v>47104</v>
      </c>
      <c r="B1173" s="26" t="s">
        <v>87</v>
      </c>
      <c r="C1173" s="26" t="s">
        <v>30</v>
      </c>
      <c r="D1173" s="26" t="s">
        <v>21</v>
      </c>
      <c r="E1173" s="26"/>
      <c r="F1173" s="26" t="s">
        <v>1180</v>
      </c>
      <c r="G1173" s="26"/>
      <c r="H1173" s="26" t="s">
        <v>24</v>
      </c>
      <c r="I1173" s="26" t="s">
        <v>1181</v>
      </c>
      <c r="J1173" s="26" t="s">
        <v>25</v>
      </c>
      <c r="K1173" s="26" t="s">
        <v>25</v>
      </c>
      <c r="L1173" s="26" t="s">
        <v>26</v>
      </c>
      <c r="M1173" s="26" t="s">
        <v>27</v>
      </c>
      <c r="N1173" s="26" t="s">
        <v>28</v>
      </c>
      <c r="O1173" s="27">
        <v>31079</v>
      </c>
      <c r="P1173" s="26"/>
      <c r="Q1173" s="26"/>
      <c r="R1173" s="26">
        <v>0.2</v>
      </c>
      <c r="S1173" s="26" t="s">
        <v>29</v>
      </c>
    </row>
    <row r="1174" spans="1:19" ht="29.25">
      <c r="A1174" s="28">
        <v>46300</v>
      </c>
      <c r="B1174" s="28" t="s">
        <v>87</v>
      </c>
      <c r="C1174" s="28" t="s">
        <v>30</v>
      </c>
      <c r="D1174" s="28" t="s">
        <v>21</v>
      </c>
      <c r="E1174" s="28"/>
      <c r="F1174" s="28" t="s">
        <v>3218</v>
      </c>
      <c r="G1174" s="28">
        <v>0</v>
      </c>
      <c r="H1174" s="28" t="s">
        <v>143</v>
      </c>
      <c r="I1174" s="28">
        <v>482</v>
      </c>
      <c r="J1174" s="28" t="s">
        <v>694</v>
      </c>
      <c r="K1174" s="28"/>
      <c r="L1174" s="28" t="s">
        <v>240</v>
      </c>
      <c r="M1174" s="28" t="s">
        <v>38</v>
      </c>
      <c r="N1174" s="28" t="s">
        <v>144</v>
      </c>
      <c r="O1174" s="28" t="s">
        <v>4687</v>
      </c>
      <c r="P1174" s="28" t="s">
        <v>892</v>
      </c>
      <c r="Q1174" s="28"/>
      <c r="R1174" s="28">
        <v>0.15</v>
      </c>
      <c r="S1174" s="28" t="s">
        <v>29</v>
      </c>
    </row>
    <row r="1175" spans="1:19" ht="29.25">
      <c r="A1175" s="28">
        <v>47200</v>
      </c>
      <c r="B1175" s="28" t="s">
        <v>87</v>
      </c>
      <c r="C1175" s="28" t="s">
        <v>30</v>
      </c>
      <c r="D1175" s="28" t="s">
        <v>21</v>
      </c>
      <c r="E1175" s="28" t="s">
        <v>1252</v>
      </c>
      <c r="F1175" s="28" t="s">
        <v>1253</v>
      </c>
      <c r="G1175" s="28">
        <v>2.5</v>
      </c>
      <c r="H1175" s="28" t="s">
        <v>24</v>
      </c>
      <c r="I1175" s="28" t="s">
        <v>1254</v>
      </c>
      <c r="J1175" s="28" t="s">
        <v>788</v>
      </c>
      <c r="K1175" s="28"/>
      <c r="L1175" s="28" t="s">
        <v>888</v>
      </c>
      <c r="M1175" s="28" t="s">
        <v>27</v>
      </c>
      <c r="N1175" s="28" t="s">
        <v>28</v>
      </c>
      <c r="O1175" s="29">
        <v>31408</v>
      </c>
      <c r="P1175" s="28"/>
      <c r="Q1175" s="28"/>
      <c r="R1175" s="28">
        <v>2.5</v>
      </c>
      <c r="S1175" s="28" t="s">
        <v>29</v>
      </c>
    </row>
    <row r="1176" spans="1:19" ht="29.25">
      <c r="A1176" s="28">
        <v>47300</v>
      </c>
      <c r="B1176" s="28" t="s">
        <v>87</v>
      </c>
      <c r="C1176" s="28" t="s">
        <v>30</v>
      </c>
      <c r="D1176" s="28" t="s">
        <v>21</v>
      </c>
      <c r="E1176" s="28" t="s">
        <v>1033</v>
      </c>
      <c r="F1176" s="28" t="s">
        <v>1034</v>
      </c>
      <c r="G1176" s="28">
        <v>3.7</v>
      </c>
      <c r="H1176" s="28" t="s">
        <v>24</v>
      </c>
      <c r="I1176" s="28" t="s">
        <v>1035</v>
      </c>
      <c r="J1176" s="28" t="s">
        <v>788</v>
      </c>
      <c r="K1176" s="28"/>
      <c r="L1176" s="28" t="s">
        <v>888</v>
      </c>
      <c r="M1176" s="28" t="s">
        <v>27</v>
      </c>
      <c r="N1176" s="28" t="s">
        <v>28</v>
      </c>
      <c r="O1176" s="29">
        <v>30693</v>
      </c>
      <c r="P1176" s="28"/>
      <c r="Q1176" s="28"/>
      <c r="R1176" s="28">
        <v>3.7</v>
      </c>
      <c r="S1176" s="28" t="s">
        <v>29</v>
      </c>
    </row>
    <row r="1177" spans="1:19" ht="29.25">
      <c r="A1177" s="28">
        <v>47400</v>
      </c>
      <c r="B1177" s="28" t="s">
        <v>87</v>
      </c>
      <c r="C1177" s="28" t="s">
        <v>30</v>
      </c>
      <c r="D1177" s="28" t="s">
        <v>21</v>
      </c>
      <c r="E1177" s="28" t="s">
        <v>902</v>
      </c>
      <c r="F1177" s="28" t="s">
        <v>903</v>
      </c>
      <c r="G1177" s="28">
        <v>2.6</v>
      </c>
      <c r="H1177" s="28" t="s">
        <v>24</v>
      </c>
      <c r="I1177" s="28" t="s">
        <v>904</v>
      </c>
      <c r="J1177" s="28" t="s">
        <v>788</v>
      </c>
      <c r="K1177" s="28"/>
      <c r="L1177" s="28" t="s">
        <v>888</v>
      </c>
      <c r="M1177" s="28" t="s">
        <v>27</v>
      </c>
      <c r="N1177" s="28" t="s">
        <v>28</v>
      </c>
      <c r="O1177" s="29">
        <v>30327</v>
      </c>
      <c r="P1177" s="28"/>
      <c r="Q1177" s="28"/>
      <c r="R1177" s="28">
        <v>2.6</v>
      </c>
      <c r="S1177" s="28" t="s">
        <v>29</v>
      </c>
    </row>
    <row r="1178" spans="1:19" ht="29.25">
      <c r="A1178" s="28">
        <v>47500</v>
      </c>
      <c r="B1178" s="28" t="s">
        <v>87</v>
      </c>
      <c r="C1178" s="28" t="s">
        <v>30</v>
      </c>
      <c r="D1178" s="28" t="s">
        <v>21</v>
      </c>
      <c r="E1178" s="28" t="s">
        <v>1066</v>
      </c>
      <c r="F1178" s="28" t="s">
        <v>1067</v>
      </c>
      <c r="G1178" s="28">
        <v>4.8</v>
      </c>
      <c r="H1178" s="28" t="s">
        <v>24</v>
      </c>
      <c r="I1178" s="28" t="s">
        <v>1068</v>
      </c>
      <c r="J1178" s="28" t="s">
        <v>788</v>
      </c>
      <c r="K1178" s="28"/>
      <c r="L1178" s="28" t="s">
        <v>888</v>
      </c>
      <c r="M1178" s="28" t="s">
        <v>27</v>
      </c>
      <c r="N1178" s="28" t="s">
        <v>28</v>
      </c>
      <c r="O1178" s="29">
        <v>30897</v>
      </c>
      <c r="P1178" s="28"/>
      <c r="Q1178" s="28"/>
      <c r="R1178" s="28">
        <v>4.8</v>
      </c>
      <c r="S1178" s="28" t="s">
        <v>29</v>
      </c>
    </row>
    <row r="1179" spans="1:19" ht="29.25">
      <c r="A1179" s="28">
        <v>47600</v>
      </c>
      <c r="B1179" s="28" t="s">
        <v>87</v>
      </c>
      <c r="C1179" s="28" t="s">
        <v>30</v>
      </c>
      <c r="D1179" s="28" t="s">
        <v>21</v>
      </c>
      <c r="E1179" s="28" t="s">
        <v>2036</v>
      </c>
      <c r="F1179" s="28" t="s">
        <v>2037</v>
      </c>
      <c r="G1179" s="28">
        <v>41.5</v>
      </c>
      <c r="H1179" s="28" t="s">
        <v>24</v>
      </c>
      <c r="I1179" s="28" t="s">
        <v>2038</v>
      </c>
      <c r="J1179" s="28" t="s">
        <v>694</v>
      </c>
      <c r="K1179" s="28" t="s">
        <v>580</v>
      </c>
      <c r="L1179" s="28" t="s">
        <v>240</v>
      </c>
      <c r="M1179" s="28" t="s">
        <v>27</v>
      </c>
      <c r="N1179" s="28" t="s">
        <v>28</v>
      </c>
      <c r="O1179" s="29">
        <v>33165</v>
      </c>
      <c r="P1179" s="28"/>
      <c r="Q1179" s="28"/>
      <c r="R1179" s="28">
        <v>41.5</v>
      </c>
      <c r="S1179" s="28" t="s">
        <v>29</v>
      </c>
    </row>
    <row r="1180" spans="1:19">
      <c r="A1180" s="28">
        <v>48200</v>
      </c>
      <c r="B1180" s="28" t="s">
        <v>87</v>
      </c>
      <c r="C1180" s="28" t="s">
        <v>30</v>
      </c>
      <c r="D1180" s="28" t="s">
        <v>21</v>
      </c>
      <c r="E1180" s="28" t="s">
        <v>2162</v>
      </c>
      <c r="F1180" s="28" t="s">
        <v>2163</v>
      </c>
      <c r="G1180" s="28">
        <v>50.3</v>
      </c>
      <c r="H1180" s="28" t="s">
        <v>143</v>
      </c>
      <c r="I1180" s="28">
        <v>431</v>
      </c>
      <c r="J1180" s="28" t="s">
        <v>694</v>
      </c>
      <c r="K1180" s="28" t="s">
        <v>580</v>
      </c>
      <c r="L1180" s="28" t="s">
        <v>240</v>
      </c>
      <c r="M1180" s="28" t="s">
        <v>38</v>
      </c>
      <c r="N1180" s="28" t="s">
        <v>144</v>
      </c>
      <c r="O1180" s="29">
        <v>34335</v>
      </c>
      <c r="P1180" s="28"/>
      <c r="Q1180" s="28"/>
      <c r="R1180" s="28">
        <v>49.9</v>
      </c>
      <c r="S1180" s="28" t="s">
        <v>29</v>
      </c>
    </row>
    <row r="1181" spans="1:19" ht="29.25">
      <c r="A1181" s="24">
        <v>48300</v>
      </c>
      <c r="B1181" s="24" t="s">
        <v>87</v>
      </c>
      <c r="C1181" s="24" t="s">
        <v>30</v>
      </c>
      <c r="D1181" s="24" t="s">
        <v>30</v>
      </c>
      <c r="E1181" s="24" t="s">
        <v>2118</v>
      </c>
      <c r="F1181" s="24" t="s">
        <v>2119</v>
      </c>
      <c r="G1181" s="24">
        <v>1.25</v>
      </c>
      <c r="H1181" s="24" t="s">
        <v>24</v>
      </c>
      <c r="I1181" s="24" t="s">
        <v>2120</v>
      </c>
      <c r="J1181" s="24" t="s">
        <v>781</v>
      </c>
      <c r="K1181" s="24" t="s">
        <v>781</v>
      </c>
      <c r="L1181" s="24" t="s">
        <v>781</v>
      </c>
      <c r="M1181" s="24" t="s">
        <v>27</v>
      </c>
      <c r="N1181" s="24" t="s">
        <v>28</v>
      </c>
      <c r="O1181" s="25">
        <v>33926</v>
      </c>
      <c r="P1181" s="24"/>
      <c r="Q1181" s="24"/>
      <c r="R1181" s="24">
        <v>1.25</v>
      </c>
      <c r="S1181" s="24" t="s">
        <v>29</v>
      </c>
    </row>
    <row r="1182" spans="1:19" ht="29.25">
      <c r="A1182" s="26">
        <v>48302</v>
      </c>
      <c r="B1182" s="26" t="s">
        <v>87</v>
      </c>
      <c r="C1182" s="26" t="s">
        <v>30</v>
      </c>
      <c r="D1182" s="26" t="s">
        <v>21</v>
      </c>
      <c r="E1182" s="26"/>
      <c r="F1182" s="26" t="s">
        <v>3221</v>
      </c>
      <c r="G1182" s="26"/>
      <c r="H1182" s="26" t="s">
        <v>24</v>
      </c>
      <c r="I1182" s="26" t="s">
        <v>3222</v>
      </c>
      <c r="J1182" s="26" t="s">
        <v>781</v>
      </c>
      <c r="K1182" s="26" t="s">
        <v>781</v>
      </c>
      <c r="L1182" s="26" t="s">
        <v>781</v>
      </c>
      <c r="M1182" s="26" t="s">
        <v>27</v>
      </c>
      <c r="N1182" s="26" t="s">
        <v>28</v>
      </c>
      <c r="O1182" s="26" t="s">
        <v>4687</v>
      </c>
      <c r="P1182" s="26"/>
      <c r="Q1182" s="26"/>
      <c r="R1182" s="26">
        <v>0.04</v>
      </c>
      <c r="S1182" s="26" t="s">
        <v>29</v>
      </c>
    </row>
    <row r="1183" spans="1:19">
      <c r="A1183" s="26">
        <v>48301</v>
      </c>
      <c r="B1183" s="26" t="s">
        <v>87</v>
      </c>
      <c r="C1183" s="26" t="s">
        <v>30</v>
      </c>
      <c r="D1183" s="26" t="s">
        <v>21</v>
      </c>
      <c r="E1183" s="26"/>
      <c r="F1183" s="26" t="s">
        <v>2121</v>
      </c>
      <c r="G1183" s="26"/>
      <c r="H1183" s="26" t="s">
        <v>24</v>
      </c>
      <c r="I1183" s="26" t="s">
        <v>2120</v>
      </c>
      <c r="J1183" s="26" t="s">
        <v>25</v>
      </c>
      <c r="K1183" s="26" t="s">
        <v>25</v>
      </c>
      <c r="L1183" s="26" t="s">
        <v>26</v>
      </c>
      <c r="M1183" s="26" t="s">
        <v>27</v>
      </c>
      <c r="N1183" s="26" t="s">
        <v>28</v>
      </c>
      <c r="O1183" s="27">
        <v>33926</v>
      </c>
      <c r="P1183" s="26"/>
      <c r="Q1183" s="26"/>
      <c r="R1183" s="26">
        <v>0.1</v>
      </c>
      <c r="S1183" s="26" t="s">
        <v>29</v>
      </c>
    </row>
    <row r="1184" spans="1:19" ht="29.25">
      <c r="A1184" s="24">
        <v>48400</v>
      </c>
      <c r="B1184" s="24" t="s">
        <v>87</v>
      </c>
      <c r="C1184" s="24" t="s">
        <v>30</v>
      </c>
      <c r="D1184" s="24" t="s">
        <v>30</v>
      </c>
      <c r="E1184" s="24" t="s">
        <v>1302</v>
      </c>
      <c r="F1184" s="24" t="s">
        <v>1303</v>
      </c>
      <c r="G1184" s="24">
        <v>0.4</v>
      </c>
      <c r="H1184" s="24" t="s">
        <v>5</v>
      </c>
      <c r="I1184" s="24" t="s">
        <v>90</v>
      </c>
      <c r="J1184" s="24" t="s">
        <v>90</v>
      </c>
      <c r="K1184" s="24" t="s">
        <v>90</v>
      </c>
      <c r="L1184" s="24" t="s">
        <v>90</v>
      </c>
      <c r="M1184" s="24" t="s">
        <v>38</v>
      </c>
      <c r="N1184" s="24" t="s">
        <v>39</v>
      </c>
      <c r="O1184" s="25">
        <v>31413</v>
      </c>
      <c r="P1184" s="24"/>
      <c r="Q1184" s="24"/>
      <c r="R1184" s="24">
        <v>0.33</v>
      </c>
      <c r="S1184" s="24" t="s">
        <v>29</v>
      </c>
    </row>
    <row r="1185" spans="1:19" ht="29.25">
      <c r="A1185" s="26">
        <v>48402</v>
      </c>
      <c r="B1185" s="26" t="s">
        <v>87</v>
      </c>
      <c r="C1185" s="26" t="s">
        <v>30</v>
      </c>
      <c r="D1185" s="26" t="s">
        <v>21</v>
      </c>
      <c r="E1185" s="26"/>
      <c r="F1185" s="26" t="s">
        <v>1794</v>
      </c>
      <c r="G1185" s="26"/>
      <c r="H1185" s="26" t="s">
        <v>5</v>
      </c>
      <c r="I1185" s="26">
        <v>4051</v>
      </c>
      <c r="J1185" s="26" t="s">
        <v>25</v>
      </c>
      <c r="K1185" s="26" t="s">
        <v>25</v>
      </c>
      <c r="L1185" s="26" t="s">
        <v>26</v>
      </c>
      <c r="M1185" s="26" t="s">
        <v>38</v>
      </c>
      <c r="N1185" s="26" t="s">
        <v>39</v>
      </c>
      <c r="O1185" s="27">
        <v>32525</v>
      </c>
      <c r="P1185" s="26"/>
      <c r="Q1185" s="26"/>
      <c r="R1185" s="26">
        <v>0.13</v>
      </c>
      <c r="S1185" s="26" t="s">
        <v>29</v>
      </c>
    </row>
    <row r="1186" spans="1:19">
      <c r="A1186" s="26">
        <v>48401</v>
      </c>
      <c r="B1186" s="26" t="s">
        <v>87</v>
      </c>
      <c r="C1186" s="26" t="s">
        <v>30</v>
      </c>
      <c r="D1186" s="26" t="s">
        <v>21</v>
      </c>
      <c r="E1186" s="26"/>
      <c r="F1186" s="26" t="s">
        <v>1392</v>
      </c>
      <c r="G1186" s="26"/>
      <c r="H1186" s="26" t="s">
        <v>5</v>
      </c>
      <c r="I1186" s="26">
        <v>4055</v>
      </c>
      <c r="J1186" s="26" t="s">
        <v>25</v>
      </c>
      <c r="K1186" s="26" t="s">
        <v>25</v>
      </c>
      <c r="L1186" s="26" t="s">
        <v>26</v>
      </c>
      <c r="M1186" s="26" t="s">
        <v>38</v>
      </c>
      <c r="N1186" s="26" t="s">
        <v>39</v>
      </c>
      <c r="O1186" s="27">
        <v>31533</v>
      </c>
      <c r="P1186" s="26"/>
      <c r="Q1186" s="26"/>
      <c r="R1186" s="26">
        <v>0.15</v>
      </c>
      <c r="S1186" s="26" t="s">
        <v>29</v>
      </c>
    </row>
    <row r="1187" spans="1:19" ht="72">
      <c r="A1187" s="24">
        <v>48600</v>
      </c>
      <c r="B1187" s="24" t="s">
        <v>87</v>
      </c>
      <c r="C1187" s="24" t="s">
        <v>21</v>
      </c>
      <c r="D1187" s="24" t="s">
        <v>30</v>
      </c>
      <c r="E1187" s="24" t="s">
        <v>3079</v>
      </c>
      <c r="F1187" s="24" t="s">
        <v>3080</v>
      </c>
      <c r="G1187" s="24">
        <v>78.2</v>
      </c>
      <c r="H1187" s="24" t="s">
        <v>24</v>
      </c>
      <c r="I1187" s="24" t="s">
        <v>3081</v>
      </c>
      <c r="J1187" s="24" t="s">
        <v>781</v>
      </c>
      <c r="K1187" s="24" t="s">
        <v>781</v>
      </c>
      <c r="L1187" s="24" t="s">
        <v>781</v>
      </c>
      <c r="M1187" s="24" t="s">
        <v>27</v>
      </c>
      <c r="N1187" s="24" t="s">
        <v>28</v>
      </c>
      <c r="O1187" s="25">
        <v>32143</v>
      </c>
      <c r="P1187" s="24" t="s">
        <v>4539</v>
      </c>
      <c r="Q1187" s="24"/>
      <c r="R1187" s="24">
        <v>78.2</v>
      </c>
      <c r="S1187" s="24" t="s">
        <v>29</v>
      </c>
    </row>
    <row r="1188" spans="1:19" ht="100.5">
      <c r="A1188" s="26">
        <v>48601</v>
      </c>
      <c r="B1188" s="26" t="s">
        <v>87</v>
      </c>
      <c r="C1188" s="26" t="s">
        <v>30</v>
      </c>
      <c r="D1188" s="26" t="s">
        <v>21</v>
      </c>
      <c r="E1188" s="26"/>
      <c r="F1188" s="26" t="s">
        <v>1304</v>
      </c>
      <c r="G1188" s="26"/>
      <c r="H1188" s="26" t="s">
        <v>24</v>
      </c>
      <c r="I1188" s="26" t="s">
        <v>1305</v>
      </c>
      <c r="J1188" s="26" t="s">
        <v>781</v>
      </c>
      <c r="K1188" s="26" t="s">
        <v>781</v>
      </c>
      <c r="L1188" s="26" t="s">
        <v>781</v>
      </c>
      <c r="M1188" s="26" t="s">
        <v>27</v>
      </c>
      <c r="N1188" s="26" t="s">
        <v>28</v>
      </c>
      <c r="O1188" s="27">
        <v>31413</v>
      </c>
      <c r="P1188" s="26" t="s">
        <v>1306</v>
      </c>
      <c r="Q1188" s="26"/>
      <c r="R1188" s="26">
        <v>110</v>
      </c>
      <c r="S1188" s="26" t="s">
        <v>29</v>
      </c>
    </row>
    <row r="1189" spans="1:19" ht="57.75">
      <c r="A1189" s="26">
        <v>48603</v>
      </c>
      <c r="B1189" s="26" t="s">
        <v>87</v>
      </c>
      <c r="C1189" s="26" t="s">
        <v>30</v>
      </c>
      <c r="D1189" s="26" t="s">
        <v>21</v>
      </c>
      <c r="E1189" s="26"/>
      <c r="F1189" s="26" t="s">
        <v>1675</v>
      </c>
      <c r="G1189" s="26"/>
      <c r="H1189" s="26" t="s">
        <v>24</v>
      </c>
      <c r="I1189" s="26" t="s">
        <v>1676</v>
      </c>
      <c r="J1189" s="26" t="s">
        <v>781</v>
      </c>
      <c r="K1189" s="26" t="s">
        <v>781</v>
      </c>
      <c r="L1189" s="26" t="s">
        <v>781</v>
      </c>
      <c r="M1189" s="26" t="s">
        <v>27</v>
      </c>
      <c r="N1189" s="26" t="s">
        <v>28</v>
      </c>
      <c r="O1189" s="27">
        <v>32234</v>
      </c>
      <c r="P1189" s="26" t="s">
        <v>1677</v>
      </c>
      <c r="Q1189" s="26"/>
      <c r="R1189" s="26">
        <v>20</v>
      </c>
      <c r="S1189" s="26" t="s">
        <v>29</v>
      </c>
    </row>
    <row r="1190" spans="1:19" ht="86.25">
      <c r="A1190" s="26">
        <v>48602</v>
      </c>
      <c r="B1190" s="26" t="s">
        <v>87</v>
      </c>
      <c r="C1190" s="26" t="s">
        <v>30</v>
      </c>
      <c r="D1190" s="26" t="s">
        <v>21</v>
      </c>
      <c r="E1190" s="26"/>
      <c r="F1190" s="26" t="s">
        <v>1542</v>
      </c>
      <c r="G1190" s="26"/>
      <c r="H1190" s="26" t="s">
        <v>24</v>
      </c>
      <c r="I1190" s="26" t="s">
        <v>1543</v>
      </c>
      <c r="J1190" s="26" t="s">
        <v>781</v>
      </c>
      <c r="K1190" s="26" t="s">
        <v>781</v>
      </c>
      <c r="L1190" s="26" t="s">
        <v>781</v>
      </c>
      <c r="M1190" s="26" t="s">
        <v>27</v>
      </c>
      <c r="N1190" s="26" t="s">
        <v>28</v>
      </c>
      <c r="O1190" s="27">
        <v>32509</v>
      </c>
      <c r="P1190" s="26" t="s">
        <v>1544</v>
      </c>
      <c r="Q1190" s="26"/>
      <c r="R1190" s="26">
        <v>70</v>
      </c>
      <c r="S1190" s="26" t="s">
        <v>29</v>
      </c>
    </row>
    <row r="1191" spans="1:19" ht="29.25">
      <c r="A1191" s="24">
        <v>48900</v>
      </c>
      <c r="B1191" s="24" t="s">
        <v>87</v>
      </c>
      <c r="C1191" s="24" t="s">
        <v>30</v>
      </c>
      <c r="D1191" s="24" t="s">
        <v>30</v>
      </c>
      <c r="E1191" s="24" t="s">
        <v>2164</v>
      </c>
      <c r="F1191" s="24" t="s">
        <v>2165</v>
      </c>
      <c r="G1191" s="24">
        <v>59.6</v>
      </c>
      <c r="H1191" s="24" t="s">
        <v>24</v>
      </c>
      <c r="I1191" s="24" t="s">
        <v>90</v>
      </c>
      <c r="J1191" s="24" t="s">
        <v>781</v>
      </c>
      <c r="K1191" s="24" t="s">
        <v>781</v>
      </c>
      <c r="L1191" s="24" t="s">
        <v>781</v>
      </c>
      <c r="M1191" s="24" t="s">
        <v>27</v>
      </c>
      <c r="N1191" s="24" t="s">
        <v>28</v>
      </c>
      <c r="O1191" s="25">
        <v>34335</v>
      </c>
      <c r="P1191" s="24"/>
      <c r="Q1191" s="24"/>
      <c r="R1191" s="24">
        <v>76.25</v>
      </c>
      <c r="S1191" s="24" t="s">
        <v>29</v>
      </c>
    </row>
    <row r="1192" spans="1:19" ht="29.25">
      <c r="A1192" s="26">
        <v>48904</v>
      </c>
      <c r="B1192" s="26" t="s">
        <v>87</v>
      </c>
      <c r="C1192" s="26" t="s">
        <v>30</v>
      </c>
      <c r="D1192" s="26" t="s">
        <v>21</v>
      </c>
      <c r="E1192" s="26"/>
      <c r="F1192" s="26" t="s">
        <v>1950</v>
      </c>
      <c r="G1192" s="26"/>
      <c r="H1192" s="26" t="s">
        <v>24</v>
      </c>
      <c r="I1192" s="26" t="s">
        <v>1951</v>
      </c>
      <c r="J1192" s="26" t="s">
        <v>781</v>
      </c>
      <c r="K1192" s="26" t="s">
        <v>781</v>
      </c>
      <c r="L1192" s="26" t="s">
        <v>781</v>
      </c>
      <c r="M1192" s="26" t="s">
        <v>27</v>
      </c>
      <c r="N1192" s="26" t="s">
        <v>28</v>
      </c>
      <c r="O1192" s="27">
        <v>32874</v>
      </c>
      <c r="P1192" s="26"/>
      <c r="Q1192" s="26"/>
      <c r="R1192" s="26">
        <v>10</v>
      </c>
      <c r="S1192" s="26" t="s">
        <v>29</v>
      </c>
    </row>
    <row r="1193" spans="1:19" ht="29.25">
      <c r="A1193" s="26">
        <v>48903</v>
      </c>
      <c r="B1193" s="26" t="s">
        <v>87</v>
      </c>
      <c r="C1193" s="26" t="s">
        <v>30</v>
      </c>
      <c r="D1193" s="26" t="s">
        <v>21</v>
      </c>
      <c r="E1193" s="26"/>
      <c r="F1193" s="26" t="s">
        <v>2062</v>
      </c>
      <c r="G1193" s="26"/>
      <c r="H1193" s="26" t="s">
        <v>24</v>
      </c>
      <c r="I1193" s="26" t="s">
        <v>2063</v>
      </c>
      <c r="J1193" s="26" t="s">
        <v>781</v>
      </c>
      <c r="K1193" s="26" t="s">
        <v>781</v>
      </c>
      <c r="L1193" s="26" t="s">
        <v>781</v>
      </c>
      <c r="M1193" s="26" t="s">
        <v>27</v>
      </c>
      <c r="N1193" s="26" t="s">
        <v>28</v>
      </c>
      <c r="O1193" s="27">
        <v>33239</v>
      </c>
      <c r="P1193" s="26"/>
      <c r="Q1193" s="26"/>
      <c r="R1193" s="26">
        <v>1.5</v>
      </c>
      <c r="S1193" s="26" t="s">
        <v>29</v>
      </c>
    </row>
    <row r="1194" spans="1:19" ht="29.25">
      <c r="A1194" s="26">
        <v>48902</v>
      </c>
      <c r="B1194" s="26" t="s">
        <v>87</v>
      </c>
      <c r="C1194" s="26" t="s">
        <v>30</v>
      </c>
      <c r="D1194" s="26" t="s">
        <v>21</v>
      </c>
      <c r="E1194" s="26"/>
      <c r="F1194" s="26" t="s">
        <v>2060</v>
      </c>
      <c r="G1194" s="26"/>
      <c r="H1194" s="26" t="s">
        <v>24</v>
      </c>
      <c r="I1194" s="26" t="s">
        <v>2061</v>
      </c>
      <c r="J1194" s="26" t="s">
        <v>781</v>
      </c>
      <c r="K1194" s="26" t="s">
        <v>781</v>
      </c>
      <c r="L1194" s="26" t="s">
        <v>781</v>
      </c>
      <c r="M1194" s="26" t="s">
        <v>27</v>
      </c>
      <c r="N1194" s="26" t="s">
        <v>28</v>
      </c>
      <c r="O1194" s="27">
        <v>33239</v>
      </c>
      <c r="P1194" s="26"/>
      <c r="Q1194" s="26"/>
      <c r="R1194" s="26">
        <v>30</v>
      </c>
      <c r="S1194" s="26" t="s">
        <v>29</v>
      </c>
    </row>
    <row r="1195" spans="1:19" ht="29.25">
      <c r="A1195" s="26">
        <v>48901</v>
      </c>
      <c r="B1195" s="26" t="s">
        <v>87</v>
      </c>
      <c r="C1195" s="26" t="s">
        <v>30</v>
      </c>
      <c r="D1195" s="26" t="s">
        <v>21</v>
      </c>
      <c r="E1195" s="26"/>
      <c r="F1195" s="26" t="s">
        <v>1952</v>
      </c>
      <c r="G1195" s="26"/>
      <c r="H1195" s="26" t="s">
        <v>24</v>
      </c>
      <c r="I1195" s="26" t="s">
        <v>1953</v>
      </c>
      <c r="J1195" s="26" t="s">
        <v>781</v>
      </c>
      <c r="K1195" s="26" t="s">
        <v>781</v>
      </c>
      <c r="L1195" s="26" t="s">
        <v>781</v>
      </c>
      <c r="M1195" s="26" t="s">
        <v>27</v>
      </c>
      <c r="N1195" s="26" t="s">
        <v>28</v>
      </c>
      <c r="O1195" s="27">
        <v>32874</v>
      </c>
      <c r="P1195" s="26"/>
      <c r="Q1195" s="26"/>
      <c r="R1195" s="26">
        <v>18.5</v>
      </c>
      <c r="S1195" s="26" t="s">
        <v>29</v>
      </c>
    </row>
    <row r="1196" spans="1:19" ht="29.25">
      <c r="A1196" s="24">
        <v>48500</v>
      </c>
      <c r="B1196" s="24" t="s">
        <v>87</v>
      </c>
      <c r="C1196" s="24" t="s">
        <v>30</v>
      </c>
      <c r="D1196" s="24" t="s">
        <v>30</v>
      </c>
      <c r="E1196" s="24" t="s">
        <v>1307</v>
      </c>
      <c r="F1196" s="24" t="s">
        <v>1308</v>
      </c>
      <c r="G1196" s="24">
        <v>10.9</v>
      </c>
      <c r="H1196" s="24" t="s">
        <v>24</v>
      </c>
      <c r="I1196" s="24" t="s">
        <v>90</v>
      </c>
      <c r="J1196" s="24" t="s">
        <v>781</v>
      </c>
      <c r="K1196" s="24" t="s">
        <v>781</v>
      </c>
      <c r="L1196" s="24" t="s">
        <v>781</v>
      </c>
      <c r="M1196" s="24" t="s">
        <v>27</v>
      </c>
      <c r="N1196" s="24" t="s">
        <v>28</v>
      </c>
      <c r="O1196" s="25">
        <v>31413</v>
      </c>
      <c r="P1196" s="24"/>
      <c r="Q1196" s="24"/>
      <c r="R1196" s="24">
        <v>15</v>
      </c>
      <c r="S1196" s="24" t="s">
        <v>29</v>
      </c>
    </row>
    <row r="1197" spans="1:19" ht="86.25">
      <c r="A1197" s="26">
        <v>48502</v>
      </c>
      <c r="B1197" s="26" t="s">
        <v>87</v>
      </c>
      <c r="C1197" s="26" t="s">
        <v>30</v>
      </c>
      <c r="D1197" s="26" t="s">
        <v>21</v>
      </c>
      <c r="E1197" s="26"/>
      <c r="F1197" s="26" t="s">
        <v>1634</v>
      </c>
      <c r="G1197" s="26"/>
      <c r="H1197" s="26" t="s">
        <v>24</v>
      </c>
      <c r="I1197" s="26" t="s">
        <v>1635</v>
      </c>
      <c r="J1197" s="26" t="s">
        <v>781</v>
      </c>
      <c r="K1197" s="26" t="s">
        <v>781</v>
      </c>
      <c r="L1197" s="26" t="s">
        <v>781</v>
      </c>
      <c r="M1197" s="26" t="s">
        <v>27</v>
      </c>
      <c r="N1197" s="26" t="s">
        <v>28</v>
      </c>
      <c r="O1197" s="27">
        <v>32143</v>
      </c>
      <c r="P1197" s="26" t="s">
        <v>1636</v>
      </c>
      <c r="Q1197" s="26"/>
      <c r="R1197" s="26">
        <v>43.1</v>
      </c>
      <c r="S1197" s="26" t="s">
        <v>29</v>
      </c>
    </row>
    <row r="1198" spans="1:19" ht="100.5">
      <c r="A1198" s="26">
        <v>48501</v>
      </c>
      <c r="B1198" s="26" t="s">
        <v>87</v>
      </c>
      <c r="C1198" s="26" t="s">
        <v>30</v>
      </c>
      <c r="D1198" s="26" t="s">
        <v>21</v>
      </c>
      <c r="E1198" s="26"/>
      <c r="F1198" s="26" t="s">
        <v>1304</v>
      </c>
      <c r="G1198" s="26"/>
      <c r="H1198" s="26" t="s">
        <v>24</v>
      </c>
      <c r="I1198" s="26" t="s">
        <v>1305</v>
      </c>
      <c r="J1198" s="26" t="s">
        <v>781</v>
      </c>
      <c r="K1198" s="26" t="s">
        <v>781</v>
      </c>
      <c r="L1198" s="26" t="s">
        <v>781</v>
      </c>
      <c r="M1198" s="26" t="s">
        <v>27</v>
      </c>
      <c r="N1198" s="26" t="s">
        <v>28</v>
      </c>
      <c r="O1198" s="27">
        <v>31413</v>
      </c>
      <c r="P1198" s="26" t="s">
        <v>1306</v>
      </c>
      <c r="Q1198" s="26"/>
      <c r="R1198" s="26">
        <v>110</v>
      </c>
      <c r="S1198" s="26" t="s">
        <v>29</v>
      </c>
    </row>
    <row r="1199" spans="1:19" ht="29.25">
      <c r="A1199" s="24">
        <v>48700</v>
      </c>
      <c r="B1199" s="24" t="s">
        <v>87</v>
      </c>
      <c r="C1199" s="24" t="s">
        <v>30</v>
      </c>
      <c r="D1199" s="24" t="s">
        <v>30</v>
      </c>
      <c r="E1199" s="24" t="s">
        <v>1637</v>
      </c>
      <c r="F1199" s="24" t="s">
        <v>1638</v>
      </c>
      <c r="G1199" s="24">
        <v>138.5</v>
      </c>
      <c r="H1199" s="24" t="s">
        <v>24</v>
      </c>
      <c r="I1199" s="24" t="s">
        <v>90</v>
      </c>
      <c r="J1199" s="24" t="s">
        <v>781</v>
      </c>
      <c r="K1199" s="24" t="s">
        <v>781</v>
      </c>
      <c r="L1199" s="24" t="s">
        <v>781</v>
      </c>
      <c r="M1199" s="24" t="s">
        <v>27</v>
      </c>
      <c r="N1199" s="24" t="s">
        <v>28</v>
      </c>
      <c r="O1199" s="25">
        <v>32143</v>
      </c>
      <c r="P1199" s="24"/>
      <c r="Q1199" s="24"/>
      <c r="R1199" s="24">
        <v>182.5</v>
      </c>
      <c r="S1199" s="24" t="s">
        <v>29</v>
      </c>
    </row>
    <row r="1200" spans="1:19" ht="100.5">
      <c r="A1200" s="26">
        <v>48701</v>
      </c>
      <c r="B1200" s="26" t="s">
        <v>87</v>
      </c>
      <c r="C1200" s="26" t="s">
        <v>30</v>
      </c>
      <c r="D1200" s="26" t="s">
        <v>21</v>
      </c>
      <c r="E1200" s="26"/>
      <c r="F1200" s="26" t="s">
        <v>1304</v>
      </c>
      <c r="G1200" s="26"/>
      <c r="H1200" s="26" t="s">
        <v>24</v>
      </c>
      <c r="I1200" s="26" t="s">
        <v>1305</v>
      </c>
      <c r="J1200" s="26" t="s">
        <v>781</v>
      </c>
      <c r="K1200" s="26" t="s">
        <v>781</v>
      </c>
      <c r="L1200" s="26" t="s">
        <v>781</v>
      </c>
      <c r="M1200" s="26" t="s">
        <v>27</v>
      </c>
      <c r="N1200" s="26" t="s">
        <v>28</v>
      </c>
      <c r="O1200" s="27">
        <v>31413</v>
      </c>
      <c r="P1200" s="26" t="s">
        <v>1306</v>
      </c>
      <c r="Q1200" s="26"/>
      <c r="R1200" s="26">
        <v>110</v>
      </c>
      <c r="S1200" s="26" t="s">
        <v>29</v>
      </c>
    </row>
    <row r="1201" spans="1:19" ht="86.25">
      <c r="A1201" s="26">
        <v>48702</v>
      </c>
      <c r="B1201" s="26" t="s">
        <v>87</v>
      </c>
      <c r="C1201" s="26" t="s">
        <v>30</v>
      </c>
      <c r="D1201" s="26" t="s">
        <v>21</v>
      </c>
      <c r="E1201" s="26"/>
      <c r="F1201" s="26" t="s">
        <v>1542</v>
      </c>
      <c r="G1201" s="26"/>
      <c r="H1201" s="26" t="s">
        <v>24</v>
      </c>
      <c r="I1201" s="26" t="s">
        <v>1543</v>
      </c>
      <c r="J1201" s="26" t="s">
        <v>781</v>
      </c>
      <c r="K1201" s="26" t="s">
        <v>781</v>
      </c>
      <c r="L1201" s="26" t="s">
        <v>781</v>
      </c>
      <c r="M1201" s="26" t="s">
        <v>27</v>
      </c>
      <c r="N1201" s="26" t="s">
        <v>28</v>
      </c>
      <c r="O1201" s="27">
        <v>32143</v>
      </c>
      <c r="P1201" s="26" t="s">
        <v>1544</v>
      </c>
      <c r="Q1201" s="26"/>
      <c r="R1201" s="26">
        <v>70</v>
      </c>
      <c r="S1201" s="26" t="s">
        <v>29</v>
      </c>
    </row>
    <row r="1202" spans="1:19" ht="29.25">
      <c r="A1202" s="26">
        <v>48703</v>
      </c>
      <c r="B1202" s="26" t="s">
        <v>87</v>
      </c>
      <c r="C1202" s="26" t="s">
        <v>30</v>
      </c>
      <c r="D1202" s="26" t="s">
        <v>21</v>
      </c>
      <c r="E1202" s="26"/>
      <c r="F1202" s="26" t="s">
        <v>1678</v>
      </c>
      <c r="G1202" s="26"/>
      <c r="H1202" s="26" t="s">
        <v>24</v>
      </c>
      <c r="I1202" s="26" t="s">
        <v>1679</v>
      </c>
      <c r="J1202" s="26" t="s">
        <v>781</v>
      </c>
      <c r="K1202" s="26" t="s">
        <v>781</v>
      </c>
      <c r="L1202" s="26" t="s">
        <v>781</v>
      </c>
      <c r="M1202" s="26" t="s">
        <v>27</v>
      </c>
      <c r="N1202" s="26" t="s">
        <v>28</v>
      </c>
      <c r="O1202" s="27">
        <v>32234</v>
      </c>
      <c r="P1202" s="26"/>
      <c r="Q1202" s="26"/>
      <c r="R1202" s="26">
        <v>30</v>
      </c>
      <c r="S1202" s="26" t="s">
        <v>29</v>
      </c>
    </row>
    <row r="1203" spans="1:19" ht="57.75">
      <c r="A1203" s="26">
        <v>48707</v>
      </c>
      <c r="B1203" s="26" t="s">
        <v>87</v>
      </c>
      <c r="C1203" s="26" t="s">
        <v>30</v>
      </c>
      <c r="D1203" s="26" t="s">
        <v>21</v>
      </c>
      <c r="E1203" s="26"/>
      <c r="F1203" s="26" t="s">
        <v>1675</v>
      </c>
      <c r="G1203" s="26"/>
      <c r="H1203" s="26" t="s">
        <v>24</v>
      </c>
      <c r="I1203" s="26" t="s">
        <v>1676</v>
      </c>
      <c r="J1203" s="26" t="s">
        <v>781</v>
      </c>
      <c r="K1203" s="26" t="s">
        <v>781</v>
      </c>
      <c r="L1203" s="26" t="s">
        <v>781</v>
      </c>
      <c r="M1203" s="26" t="s">
        <v>27</v>
      </c>
      <c r="N1203" s="26" t="s">
        <v>28</v>
      </c>
      <c r="O1203" s="27">
        <v>32234</v>
      </c>
      <c r="P1203" s="26" t="s">
        <v>1677</v>
      </c>
      <c r="Q1203" s="26"/>
      <c r="R1203" s="26">
        <v>20</v>
      </c>
      <c r="S1203" s="26" t="s">
        <v>29</v>
      </c>
    </row>
    <row r="1204" spans="1:19" ht="72">
      <c r="A1204" s="26">
        <v>48705</v>
      </c>
      <c r="B1204" s="26" t="s">
        <v>87</v>
      </c>
      <c r="C1204" s="26" t="s">
        <v>30</v>
      </c>
      <c r="D1204" s="26" t="s">
        <v>21</v>
      </c>
      <c r="E1204" s="26"/>
      <c r="F1204" s="26" t="s">
        <v>1680</v>
      </c>
      <c r="G1204" s="26"/>
      <c r="H1204" s="26" t="s">
        <v>24</v>
      </c>
      <c r="I1204" s="26" t="s">
        <v>1681</v>
      </c>
      <c r="J1204" s="26" t="s">
        <v>781</v>
      </c>
      <c r="K1204" s="26" t="s">
        <v>781</v>
      </c>
      <c r="L1204" s="26" t="s">
        <v>781</v>
      </c>
      <c r="M1204" s="26" t="s">
        <v>27</v>
      </c>
      <c r="N1204" s="26" t="s">
        <v>28</v>
      </c>
      <c r="O1204" s="27">
        <v>32234</v>
      </c>
      <c r="P1204" s="26" t="s">
        <v>1641</v>
      </c>
      <c r="Q1204" s="26"/>
      <c r="R1204" s="26">
        <v>30</v>
      </c>
      <c r="S1204" s="26" t="s">
        <v>29</v>
      </c>
    </row>
    <row r="1205" spans="1:19" ht="72">
      <c r="A1205" s="26">
        <v>48706</v>
      </c>
      <c r="B1205" s="26" t="s">
        <v>87</v>
      </c>
      <c r="C1205" s="26" t="s">
        <v>30</v>
      </c>
      <c r="D1205" s="26" t="s">
        <v>21</v>
      </c>
      <c r="E1205" s="26"/>
      <c r="F1205" s="26" t="s">
        <v>1639</v>
      </c>
      <c r="G1205" s="26"/>
      <c r="H1205" s="26" t="s">
        <v>24</v>
      </c>
      <c r="I1205" s="26" t="s">
        <v>1640</v>
      </c>
      <c r="J1205" s="26" t="s">
        <v>781</v>
      </c>
      <c r="K1205" s="26" t="s">
        <v>781</v>
      </c>
      <c r="L1205" s="26" t="s">
        <v>781</v>
      </c>
      <c r="M1205" s="26" t="s">
        <v>27</v>
      </c>
      <c r="N1205" s="26" t="s">
        <v>28</v>
      </c>
      <c r="O1205" s="27">
        <v>33239</v>
      </c>
      <c r="P1205" s="26" t="s">
        <v>1641</v>
      </c>
      <c r="Q1205" s="26"/>
      <c r="R1205" s="26">
        <v>15</v>
      </c>
      <c r="S1205" s="26" t="s">
        <v>29</v>
      </c>
    </row>
    <row r="1206" spans="1:19" ht="86.25">
      <c r="A1206" s="26">
        <v>48704</v>
      </c>
      <c r="B1206" s="26" t="s">
        <v>87</v>
      </c>
      <c r="C1206" s="26" t="s">
        <v>30</v>
      </c>
      <c r="D1206" s="26" t="s">
        <v>21</v>
      </c>
      <c r="E1206" s="26"/>
      <c r="F1206" s="26" t="s">
        <v>1634</v>
      </c>
      <c r="G1206" s="26"/>
      <c r="H1206" s="26" t="s">
        <v>24</v>
      </c>
      <c r="I1206" s="26" t="s">
        <v>1635</v>
      </c>
      <c r="J1206" s="26" t="s">
        <v>781</v>
      </c>
      <c r="K1206" s="26" t="s">
        <v>781</v>
      </c>
      <c r="L1206" s="26" t="s">
        <v>781</v>
      </c>
      <c r="M1206" s="26" t="s">
        <v>27</v>
      </c>
      <c r="N1206" s="26" t="s">
        <v>28</v>
      </c>
      <c r="O1206" s="27">
        <v>32143</v>
      </c>
      <c r="P1206" s="26" t="s">
        <v>1636</v>
      </c>
      <c r="Q1206" s="26"/>
      <c r="R1206" s="26">
        <v>43.1</v>
      </c>
      <c r="S1206" s="26" t="s">
        <v>29</v>
      </c>
    </row>
    <row r="1207" spans="1:19" ht="57.75">
      <c r="A1207" s="24">
        <v>48800</v>
      </c>
      <c r="B1207" s="24" t="s">
        <v>87</v>
      </c>
      <c r="C1207" s="24" t="s">
        <v>30</v>
      </c>
      <c r="D1207" s="24" t="s">
        <v>30</v>
      </c>
      <c r="E1207" s="24" t="s">
        <v>1484</v>
      </c>
      <c r="F1207" s="24" t="s">
        <v>1485</v>
      </c>
      <c r="G1207" s="24">
        <v>80.2</v>
      </c>
      <c r="H1207" s="24" t="s">
        <v>24</v>
      </c>
      <c r="I1207" s="24" t="s">
        <v>90</v>
      </c>
      <c r="J1207" s="24" t="s">
        <v>781</v>
      </c>
      <c r="K1207" s="24" t="s">
        <v>781</v>
      </c>
      <c r="L1207" s="24" t="s">
        <v>781</v>
      </c>
      <c r="M1207" s="24" t="s">
        <v>27</v>
      </c>
      <c r="N1207" s="24" t="s">
        <v>28</v>
      </c>
      <c r="O1207" s="25">
        <v>31778</v>
      </c>
      <c r="P1207" s="24" t="s">
        <v>1486</v>
      </c>
      <c r="Q1207" s="24"/>
      <c r="R1207" s="24">
        <v>102.5</v>
      </c>
      <c r="S1207" s="24" t="s">
        <v>29</v>
      </c>
    </row>
    <row r="1208" spans="1:19">
      <c r="A1208" s="26">
        <v>48802</v>
      </c>
      <c r="B1208" s="26" t="s">
        <v>87</v>
      </c>
      <c r="C1208" s="26" t="s">
        <v>30</v>
      </c>
      <c r="D1208" s="26" t="s">
        <v>21</v>
      </c>
      <c r="E1208" s="26"/>
      <c r="F1208" s="26" t="s">
        <v>1834</v>
      </c>
      <c r="G1208" s="26"/>
      <c r="H1208" s="26" t="s">
        <v>24</v>
      </c>
      <c r="I1208" s="26" t="s">
        <v>1835</v>
      </c>
      <c r="J1208" s="26" t="s">
        <v>788</v>
      </c>
      <c r="K1208" s="26"/>
      <c r="L1208" s="26" t="s">
        <v>888</v>
      </c>
      <c r="M1208" s="26" t="s">
        <v>27</v>
      </c>
      <c r="N1208" s="26" t="s">
        <v>28</v>
      </c>
      <c r="O1208" s="27">
        <v>32632</v>
      </c>
      <c r="P1208" s="26"/>
      <c r="Q1208" s="26"/>
      <c r="R1208" s="26">
        <v>6</v>
      </c>
      <c r="S1208" s="26" t="s">
        <v>29</v>
      </c>
    </row>
    <row r="1209" spans="1:19" ht="100.5">
      <c r="A1209" s="26">
        <v>48801</v>
      </c>
      <c r="B1209" s="26" t="s">
        <v>87</v>
      </c>
      <c r="C1209" s="26" t="s">
        <v>30</v>
      </c>
      <c r="D1209" s="26" t="s">
        <v>21</v>
      </c>
      <c r="E1209" s="26"/>
      <c r="F1209" s="26" t="s">
        <v>1304</v>
      </c>
      <c r="G1209" s="26"/>
      <c r="H1209" s="26" t="s">
        <v>24</v>
      </c>
      <c r="I1209" s="26" t="s">
        <v>1305</v>
      </c>
      <c r="J1209" s="26" t="s">
        <v>781</v>
      </c>
      <c r="K1209" s="26" t="s">
        <v>781</v>
      </c>
      <c r="L1209" s="26" t="s">
        <v>781</v>
      </c>
      <c r="M1209" s="26" t="s">
        <v>27</v>
      </c>
      <c r="N1209" s="26" t="s">
        <v>28</v>
      </c>
      <c r="O1209" s="27">
        <v>31413</v>
      </c>
      <c r="P1209" s="26" t="s">
        <v>1306</v>
      </c>
      <c r="Q1209" s="26"/>
      <c r="R1209" s="26">
        <v>110</v>
      </c>
      <c r="S1209" s="26" t="s">
        <v>29</v>
      </c>
    </row>
    <row r="1210" spans="1:19" ht="29.25">
      <c r="A1210" s="26">
        <v>48803</v>
      </c>
      <c r="B1210" s="26" t="s">
        <v>87</v>
      </c>
      <c r="C1210" s="26" t="s">
        <v>30</v>
      </c>
      <c r="D1210" s="26" t="s">
        <v>21</v>
      </c>
      <c r="E1210" s="26"/>
      <c r="F1210" s="26" t="s">
        <v>1668</v>
      </c>
      <c r="G1210" s="26"/>
      <c r="H1210" s="26" t="s">
        <v>24</v>
      </c>
      <c r="I1210" s="26" t="s">
        <v>1669</v>
      </c>
      <c r="J1210" s="26" t="s">
        <v>781</v>
      </c>
      <c r="K1210" s="26" t="s">
        <v>781</v>
      </c>
      <c r="L1210" s="26" t="s">
        <v>781</v>
      </c>
      <c r="M1210" s="26" t="s">
        <v>27</v>
      </c>
      <c r="N1210" s="26" t="s">
        <v>28</v>
      </c>
      <c r="O1210" s="27">
        <v>32204</v>
      </c>
      <c r="P1210" s="26"/>
      <c r="Q1210" s="26"/>
      <c r="R1210" s="26">
        <v>5.9</v>
      </c>
      <c r="S1210" s="26" t="s">
        <v>29</v>
      </c>
    </row>
    <row r="1211" spans="1:19" ht="86.25">
      <c r="A1211" s="26">
        <v>48804</v>
      </c>
      <c r="B1211" s="26" t="s">
        <v>87</v>
      </c>
      <c r="C1211" s="26" t="s">
        <v>30</v>
      </c>
      <c r="D1211" s="26" t="s">
        <v>21</v>
      </c>
      <c r="E1211" s="26"/>
      <c r="F1211" s="26" t="s">
        <v>1542</v>
      </c>
      <c r="G1211" s="26"/>
      <c r="H1211" s="26" t="s">
        <v>24</v>
      </c>
      <c r="I1211" s="26" t="s">
        <v>1543</v>
      </c>
      <c r="J1211" s="26" t="s">
        <v>781</v>
      </c>
      <c r="K1211" s="26" t="s">
        <v>781</v>
      </c>
      <c r="L1211" s="26" t="s">
        <v>781</v>
      </c>
      <c r="M1211" s="26" t="s">
        <v>27</v>
      </c>
      <c r="N1211" s="26" t="s">
        <v>28</v>
      </c>
      <c r="O1211" s="27">
        <v>33239</v>
      </c>
      <c r="P1211" s="26" t="s">
        <v>1544</v>
      </c>
      <c r="Q1211" s="26"/>
      <c r="R1211" s="26">
        <v>70</v>
      </c>
      <c r="S1211" s="26" t="s">
        <v>29</v>
      </c>
    </row>
    <row r="1212" spans="1:19" ht="29.25">
      <c r="A1212" s="26">
        <v>48809</v>
      </c>
      <c r="B1212" s="26" t="s">
        <v>87</v>
      </c>
      <c r="C1212" s="26" t="s">
        <v>30</v>
      </c>
      <c r="D1212" s="26" t="s">
        <v>21</v>
      </c>
      <c r="E1212" s="26"/>
      <c r="F1212" s="26" t="s">
        <v>1522</v>
      </c>
      <c r="G1212" s="26"/>
      <c r="H1212" s="26" t="s">
        <v>24</v>
      </c>
      <c r="I1212" s="26" t="s">
        <v>1523</v>
      </c>
      <c r="J1212" s="26" t="s">
        <v>781</v>
      </c>
      <c r="K1212" s="26" t="s">
        <v>781</v>
      </c>
      <c r="L1212" s="26" t="s">
        <v>781</v>
      </c>
      <c r="M1212" s="26" t="s">
        <v>27</v>
      </c>
      <c r="N1212" s="26" t="s">
        <v>28</v>
      </c>
      <c r="O1212" s="27">
        <v>31782</v>
      </c>
      <c r="P1212" s="26"/>
      <c r="Q1212" s="26"/>
      <c r="R1212" s="26">
        <v>23.8</v>
      </c>
      <c r="S1212" s="26" t="s">
        <v>29</v>
      </c>
    </row>
    <row r="1213" spans="1:19" ht="72">
      <c r="A1213" s="26">
        <v>48806</v>
      </c>
      <c r="B1213" s="26" t="s">
        <v>87</v>
      </c>
      <c r="C1213" s="26" t="s">
        <v>30</v>
      </c>
      <c r="D1213" s="26" t="s">
        <v>21</v>
      </c>
      <c r="E1213" s="26"/>
      <c r="F1213" s="26" t="s">
        <v>1680</v>
      </c>
      <c r="G1213" s="26"/>
      <c r="H1213" s="26" t="s">
        <v>24</v>
      </c>
      <c r="I1213" s="26" t="s">
        <v>1681</v>
      </c>
      <c r="J1213" s="26" t="s">
        <v>781</v>
      </c>
      <c r="K1213" s="26" t="s">
        <v>781</v>
      </c>
      <c r="L1213" s="26" t="s">
        <v>781</v>
      </c>
      <c r="M1213" s="26" t="s">
        <v>27</v>
      </c>
      <c r="N1213" s="26" t="s">
        <v>28</v>
      </c>
      <c r="O1213" s="27">
        <v>32234</v>
      </c>
      <c r="P1213" s="26" t="s">
        <v>1641</v>
      </c>
      <c r="Q1213" s="26"/>
      <c r="R1213" s="26">
        <v>30</v>
      </c>
      <c r="S1213" s="26" t="s">
        <v>29</v>
      </c>
    </row>
    <row r="1214" spans="1:19" ht="57.75">
      <c r="A1214" s="26">
        <v>48807</v>
      </c>
      <c r="B1214" s="26" t="s">
        <v>87</v>
      </c>
      <c r="C1214" s="26" t="s">
        <v>30</v>
      </c>
      <c r="D1214" s="26" t="s">
        <v>21</v>
      </c>
      <c r="E1214" s="26"/>
      <c r="F1214" s="26" t="s">
        <v>1958</v>
      </c>
      <c r="G1214" s="26"/>
      <c r="H1214" s="26" t="s">
        <v>24</v>
      </c>
      <c r="I1214" s="26" t="s">
        <v>1959</v>
      </c>
      <c r="J1214" s="26" t="s">
        <v>781</v>
      </c>
      <c r="K1214" s="26" t="s">
        <v>781</v>
      </c>
      <c r="L1214" s="26" t="s">
        <v>781</v>
      </c>
      <c r="M1214" s="26" t="s">
        <v>27</v>
      </c>
      <c r="N1214" s="26" t="s">
        <v>28</v>
      </c>
      <c r="O1214" s="27">
        <v>32875</v>
      </c>
      <c r="P1214" s="26" t="s">
        <v>1960</v>
      </c>
      <c r="Q1214" s="26"/>
      <c r="R1214" s="26">
        <v>11.9</v>
      </c>
      <c r="S1214" s="26" t="s">
        <v>29</v>
      </c>
    </row>
    <row r="1215" spans="1:19" ht="72">
      <c r="A1215" s="26">
        <v>48808</v>
      </c>
      <c r="B1215" s="26" t="s">
        <v>87</v>
      </c>
      <c r="C1215" s="26" t="s">
        <v>30</v>
      </c>
      <c r="D1215" s="26" t="s">
        <v>21</v>
      </c>
      <c r="E1215" s="26"/>
      <c r="F1215" s="26" t="s">
        <v>1639</v>
      </c>
      <c r="G1215" s="26"/>
      <c r="H1215" s="26" t="s">
        <v>24</v>
      </c>
      <c r="I1215" s="26" t="s">
        <v>1640</v>
      </c>
      <c r="J1215" s="26" t="s">
        <v>781</v>
      </c>
      <c r="K1215" s="26" t="s">
        <v>781</v>
      </c>
      <c r="L1215" s="26" t="s">
        <v>781</v>
      </c>
      <c r="M1215" s="26" t="s">
        <v>27</v>
      </c>
      <c r="N1215" s="26" t="s">
        <v>28</v>
      </c>
      <c r="O1215" s="27">
        <v>32143</v>
      </c>
      <c r="P1215" s="26" t="s">
        <v>1641</v>
      </c>
      <c r="Q1215" s="26"/>
      <c r="R1215" s="26">
        <v>15</v>
      </c>
      <c r="S1215" s="26" t="s">
        <v>29</v>
      </c>
    </row>
    <row r="1216" spans="1:19" ht="86.25">
      <c r="A1216" s="26">
        <v>48805</v>
      </c>
      <c r="B1216" s="26" t="s">
        <v>87</v>
      </c>
      <c r="C1216" s="26" t="s">
        <v>30</v>
      </c>
      <c r="D1216" s="26" t="s">
        <v>21</v>
      </c>
      <c r="E1216" s="26"/>
      <c r="F1216" s="26" t="s">
        <v>1634</v>
      </c>
      <c r="G1216" s="26"/>
      <c r="H1216" s="26" t="s">
        <v>24</v>
      </c>
      <c r="I1216" s="26" t="s">
        <v>1635</v>
      </c>
      <c r="J1216" s="26" t="s">
        <v>781</v>
      </c>
      <c r="K1216" s="26" t="s">
        <v>781</v>
      </c>
      <c r="L1216" s="26" t="s">
        <v>781</v>
      </c>
      <c r="M1216" s="26" t="s">
        <v>27</v>
      </c>
      <c r="N1216" s="26" t="s">
        <v>28</v>
      </c>
      <c r="O1216" s="27">
        <v>32143</v>
      </c>
      <c r="P1216" s="26" t="s">
        <v>1636</v>
      </c>
      <c r="Q1216" s="26"/>
      <c r="R1216" s="26">
        <v>43.1</v>
      </c>
      <c r="S1216" s="26" t="s">
        <v>29</v>
      </c>
    </row>
    <row r="1217" spans="1:19" ht="29.25">
      <c r="A1217" s="24">
        <v>49000</v>
      </c>
      <c r="B1217" s="24" t="s">
        <v>87</v>
      </c>
      <c r="C1217" s="24" t="s">
        <v>30</v>
      </c>
      <c r="D1217" s="24" t="s">
        <v>30</v>
      </c>
      <c r="E1217" s="24" t="s">
        <v>1642</v>
      </c>
      <c r="F1217" s="24" t="s">
        <v>1643</v>
      </c>
      <c r="G1217" s="24">
        <v>38.9</v>
      </c>
      <c r="H1217" s="24" t="s">
        <v>24</v>
      </c>
      <c r="I1217" s="24" t="s">
        <v>90</v>
      </c>
      <c r="J1217" s="24" t="s">
        <v>781</v>
      </c>
      <c r="K1217" s="24" t="s">
        <v>781</v>
      </c>
      <c r="L1217" s="24" t="s">
        <v>781</v>
      </c>
      <c r="M1217" s="24" t="s">
        <v>27</v>
      </c>
      <c r="N1217" s="24" t="s">
        <v>28</v>
      </c>
      <c r="O1217" s="25">
        <v>32143</v>
      </c>
      <c r="P1217" s="24"/>
      <c r="Q1217" s="24"/>
      <c r="R1217" s="24">
        <v>58.7</v>
      </c>
      <c r="S1217" s="24" t="s">
        <v>29</v>
      </c>
    </row>
    <row r="1218" spans="1:19" ht="100.5">
      <c r="A1218" s="26">
        <v>49001</v>
      </c>
      <c r="B1218" s="26" t="s">
        <v>87</v>
      </c>
      <c r="C1218" s="26" t="s">
        <v>30</v>
      </c>
      <c r="D1218" s="26" t="s">
        <v>21</v>
      </c>
      <c r="E1218" s="26"/>
      <c r="F1218" s="26" t="s">
        <v>1304</v>
      </c>
      <c r="G1218" s="26"/>
      <c r="H1218" s="26" t="s">
        <v>24</v>
      </c>
      <c r="I1218" s="26" t="s">
        <v>1305</v>
      </c>
      <c r="J1218" s="26" t="s">
        <v>781</v>
      </c>
      <c r="K1218" s="26" t="s">
        <v>781</v>
      </c>
      <c r="L1218" s="26" t="s">
        <v>781</v>
      </c>
      <c r="M1218" s="26" t="s">
        <v>27</v>
      </c>
      <c r="N1218" s="26" t="s">
        <v>28</v>
      </c>
      <c r="O1218" s="27">
        <v>31413</v>
      </c>
      <c r="P1218" s="26" t="s">
        <v>1306</v>
      </c>
      <c r="Q1218" s="26"/>
      <c r="R1218" s="26">
        <v>110</v>
      </c>
      <c r="S1218" s="26" t="s">
        <v>29</v>
      </c>
    </row>
    <row r="1219" spans="1:19" ht="29.25">
      <c r="A1219" s="26">
        <v>49002</v>
      </c>
      <c r="B1219" s="26" t="s">
        <v>87</v>
      </c>
      <c r="C1219" s="26" t="s">
        <v>30</v>
      </c>
      <c r="D1219" s="26" t="s">
        <v>21</v>
      </c>
      <c r="E1219" s="26"/>
      <c r="F1219" s="26" t="s">
        <v>1668</v>
      </c>
      <c r="G1219" s="26"/>
      <c r="H1219" s="26" t="s">
        <v>24</v>
      </c>
      <c r="I1219" s="26" t="s">
        <v>1669</v>
      </c>
      <c r="J1219" s="26" t="s">
        <v>781</v>
      </c>
      <c r="K1219" s="26" t="s">
        <v>781</v>
      </c>
      <c r="L1219" s="26" t="s">
        <v>781</v>
      </c>
      <c r="M1219" s="26" t="s">
        <v>27</v>
      </c>
      <c r="N1219" s="26" t="s">
        <v>28</v>
      </c>
      <c r="O1219" s="27">
        <v>32204</v>
      </c>
      <c r="P1219" s="26"/>
      <c r="Q1219" s="26"/>
      <c r="R1219" s="26">
        <v>5.9</v>
      </c>
      <c r="S1219" s="26" t="s">
        <v>29</v>
      </c>
    </row>
    <row r="1220" spans="1:19" ht="86.25">
      <c r="A1220" s="26">
        <v>49003</v>
      </c>
      <c r="B1220" s="26" t="s">
        <v>87</v>
      </c>
      <c r="C1220" s="26" t="s">
        <v>30</v>
      </c>
      <c r="D1220" s="26" t="s">
        <v>21</v>
      </c>
      <c r="E1220" s="26"/>
      <c r="F1220" s="26" t="s">
        <v>1542</v>
      </c>
      <c r="G1220" s="26"/>
      <c r="H1220" s="26" t="s">
        <v>24</v>
      </c>
      <c r="I1220" s="26" t="s">
        <v>1543</v>
      </c>
      <c r="J1220" s="26" t="s">
        <v>781</v>
      </c>
      <c r="K1220" s="26" t="s">
        <v>781</v>
      </c>
      <c r="L1220" s="26" t="s">
        <v>781</v>
      </c>
      <c r="M1220" s="26" t="s">
        <v>27</v>
      </c>
      <c r="N1220" s="26" t="s">
        <v>28</v>
      </c>
      <c r="O1220" s="27">
        <v>31868</v>
      </c>
      <c r="P1220" s="26" t="s">
        <v>1544</v>
      </c>
      <c r="Q1220" s="26"/>
      <c r="R1220" s="26">
        <v>70</v>
      </c>
      <c r="S1220" s="26" t="s">
        <v>29</v>
      </c>
    </row>
    <row r="1221" spans="1:19" ht="72">
      <c r="A1221" s="26">
        <v>49007</v>
      </c>
      <c r="B1221" s="26" t="s">
        <v>87</v>
      </c>
      <c r="C1221" s="26" t="s">
        <v>30</v>
      </c>
      <c r="D1221" s="26" t="s">
        <v>21</v>
      </c>
      <c r="E1221" s="26"/>
      <c r="F1221" s="26" t="s">
        <v>1639</v>
      </c>
      <c r="G1221" s="26"/>
      <c r="H1221" s="26" t="s">
        <v>24</v>
      </c>
      <c r="I1221" s="26" t="s">
        <v>1640</v>
      </c>
      <c r="J1221" s="26" t="s">
        <v>781</v>
      </c>
      <c r="K1221" s="26" t="s">
        <v>781</v>
      </c>
      <c r="L1221" s="26" t="s">
        <v>781</v>
      </c>
      <c r="M1221" s="26" t="s">
        <v>27</v>
      </c>
      <c r="N1221" s="26" t="s">
        <v>28</v>
      </c>
      <c r="O1221" s="27">
        <v>33239</v>
      </c>
      <c r="P1221" s="26" t="s">
        <v>1641</v>
      </c>
      <c r="Q1221" s="26"/>
      <c r="R1221" s="26">
        <v>15</v>
      </c>
      <c r="S1221" s="26" t="s">
        <v>29</v>
      </c>
    </row>
    <row r="1222" spans="1:19" ht="72">
      <c r="A1222" s="26">
        <v>49005</v>
      </c>
      <c r="B1222" s="26" t="s">
        <v>87</v>
      </c>
      <c r="C1222" s="26" t="s">
        <v>30</v>
      </c>
      <c r="D1222" s="26" t="s">
        <v>21</v>
      </c>
      <c r="E1222" s="26"/>
      <c r="F1222" s="26" t="s">
        <v>1680</v>
      </c>
      <c r="G1222" s="26"/>
      <c r="H1222" s="26" t="s">
        <v>24</v>
      </c>
      <c r="I1222" s="26" t="s">
        <v>1681</v>
      </c>
      <c r="J1222" s="26" t="s">
        <v>781</v>
      </c>
      <c r="K1222" s="26" t="s">
        <v>781</v>
      </c>
      <c r="L1222" s="26" t="s">
        <v>781</v>
      </c>
      <c r="M1222" s="26" t="s">
        <v>27</v>
      </c>
      <c r="N1222" s="26" t="s">
        <v>28</v>
      </c>
      <c r="O1222" s="27">
        <v>32234</v>
      </c>
      <c r="P1222" s="26" t="s">
        <v>1641</v>
      </c>
      <c r="Q1222" s="26"/>
      <c r="R1222" s="26">
        <v>30</v>
      </c>
      <c r="S1222" s="26" t="s">
        <v>29</v>
      </c>
    </row>
    <row r="1223" spans="1:19" ht="57.75">
      <c r="A1223" s="26">
        <v>49006</v>
      </c>
      <c r="B1223" s="26" t="s">
        <v>87</v>
      </c>
      <c r="C1223" s="26" t="s">
        <v>30</v>
      </c>
      <c r="D1223" s="26" t="s">
        <v>21</v>
      </c>
      <c r="E1223" s="26"/>
      <c r="F1223" s="26" t="s">
        <v>1958</v>
      </c>
      <c r="G1223" s="26"/>
      <c r="H1223" s="26" t="s">
        <v>24</v>
      </c>
      <c r="I1223" s="26" t="s">
        <v>1959</v>
      </c>
      <c r="J1223" s="26" t="s">
        <v>781</v>
      </c>
      <c r="K1223" s="26" t="s">
        <v>781</v>
      </c>
      <c r="L1223" s="26" t="s">
        <v>781</v>
      </c>
      <c r="M1223" s="26" t="s">
        <v>27</v>
      </c>
      <c r="N1223" s="26" t="s">
        <v>28</v>
      </c>
      <c r="O1223" s="27">
        <v>32875</v>
      </c>
      <c r="P1223" s="26" t="s">
        <v>1960</v>
      </c>
      <c r="Q1223" s="26"/>
      <c r="R1223" s="26">
        <v>11.9</v>
      </c>
      <c r="S1223" s="26" t="s">
        <v>29</v>
      </c>
    </row>
    <row r="1224" spans="1:19" ht="86.25">
      <c r="A1224" s="26">
        <v>49004</v>
      </c>
      <c r="B1224" s="26" t="s">
        <v>87</v>
      </c>
      <c r="C1224" s="26" t="s">
        <v>30</v>
      </c>
      <c r="D1224" s="26" t="s">
        <v>21</v>
      </c>
      <c r="E1224" s="26"/>
      <c r="F1224" s="26" t="s">
        <v>1634</v>
      </c>
      <c r="G1224" s="26"/>
      <c r="H1224" s="26" t="s">
        <v>24</v>
      </c>
      <c r="I1224" s="26" t="s">
        <v>1635</v>
      </c>
      <c r="J1224" s="26" t="s">
        <v>781</v>
      </c>
      <c r="K1224" s="26" t="s">
        <v>781</v>
      </c>
      <c r="L1224" s="26" t="s">
        <v>781</v>
      </c>
      <c r="M1224" s="26" t="s">
        <v>27</v>
      </c>
      <c r="N1224" s="26" t="s">
        <v>28</v>
      </c>
      <c r="O1224" s="27">
        <v>32143</v>
      </c>
      <c r="P1224" s="26" t="s">
        <v>1636</v>
      </c>
      <c r="Q1224" s="26"/>
      <c r="R1224" s="26">
        <v>43.1</v>
      </c>
      <c r="S1224" s="26" t="s">
        <v>29</v>
      </c>
    </row>
    <row r="1225" spans="1:19" ht="29.25">
      <c r="A1225" s="24">
        <v>49100</v>
      </c>
      <c r="B1225" s="24" t="s">
        <v>87</v>
      </c>
      <c r="C1225" s="24" t="s">
        <v>30</v>
      </c>
      <c r="D1225" s="24" t="s">
        <v>30</v>
      </c>
      <c r="E1225" s="24" t="s">
        <v>1789</v>
      </c>
      <c r="F1225" s="24" t="s">
        <v>1790</v>
      </c>
      <c r="G1225" s="24">
        <v>49.5</v>
      </c>
      <c r="H1225" s="24" t="s">
        <v>24</v>
      </c>
      <c r="I1225" s="24" t="s">
        <v>1791</v>
      </c>
      <c r="J1225" s="24" t="s">
        <v>694</v>
      </c>
      <c r="K1225" s="24" t="s">
        <v>705</v>
      </c>
      <c r="L1225" s="24" t="s">
        <v>240</v>
      </c>
      <c r="M1225" s="24" t="s">
        <v>27</v>
      </c>
      <c r="N1225" s="24" t="s">
        <v>28</v>
      </c>
      <c r="O1225" s="25">
        <v>32519</v>
      </c>
      <c r="P1225" s="24"/>
      <c r="Q1225" s="24"/>
      <c r="R1225" s="24">
        <v>69</v>
      </c>
      <c r="S1225" s="24" t="s">
        <v>29</v>
      </c>
    </row>
    <row r="1226" spans="1:19">
      <c r="A1226" s="26">
        <v>49102</v>
      </c>
      <c r="B1226" s="26" t="s">
        <v>87</v>
      </c>
      <c r="C1226" s="26" t="s">
        <v>30</v>
      </c>
      <c r="D1226" s="26" t="s">
        <v>21</v>
      </c>
      <c r="E1226" s="26"/>
      <c r="F1226" s="26" t="s">
        <v>1793</v>
      </c>
      <c r="G1226" s="26"/>
      <c r="H1226" s="26" t="s">
        <v>24</v>
      </c>
      <c r="I1226" s="26" t="s">
        <v>1791</v>
      </c>
      <c r="J1226" s="26" t="s">
        <v>694</v>
      </c>
      <c r="K1226" s="26" t="s">
        <v>366</v>
      </c>
      <c r="L1226" s="26" t="s">
        <v>712</v>
      </c>
      <c r="M1226" s="26" t="s">
        <v>27</v>
      </c>
      <c r="N1226" s="26" t="s">
        <v>28</v>
      </c>
      <c r="O1226" s="27">
        <v>32519</v>
      </c>
      <c r="P1226" s="26"/>
      <c r="Q1226" s="26"/>
      <c r="R1226" s="26">
        <v>23</v>
      </c>
      <c r="S1226" s="26" t="s">
        <v>29</v>
      </c>
    </row>
    <row r="1227" spans="1:19">
      <c r="A1227" s="26">
        <v>49101</v>
      </c>
      <c r="B1227" s="26" t="s">
        <v>87</v>
      </c>
      <c r="C1227" s="26" t="s">
        <v>30</v>
      </c>
      <c r="D1227" s="26" t="s">
        <v>21</v>
      </c>
      <c r="E1227" s="26"/>
      <c r="F1227" s="26" t="s">
        <v>1792</v>
      </c>
      <c r="G1227" s="26"/>
      <c r="H1227" s="26" t="s">
        <v>24</v>
      </c>
      <c r="I1227" s="26" t="s">
        <v>1791</v>
      </c>
      <c r="J1227" s="26" t="s">
        <v>694</v>
      </c>
      <c r="K1227" s="26" t="s">
        <v>580</v>
      </c>
      <c r="L1227" s="26" t="s">
        <v>240</v>
      </c>
      <c r="M1227" s="26" t="s">
        <v>27</v>
      </c>
      <c r="N1227" s="26" t="s">
        <v>28</v>
      </c>
      <c r="O1227" s="27">
        <v>32519</v>
      </c>
      <c r="P1227" s="26"/>
      <c r="Q1227" s="26"/>
      <c r="R1227" s="26">
        <v>46</v>
      </c>
      <c r="S1227" s="26" t="s">
        <v>29</v>
      </c>
    </row>
    <row r="1228" spans="1:19">
      <c r="A1228" s="28">
        <v>49200</v>
      </c>
      <c r="B1228" s="28" t="s">
        <v>87</v>
      </c>
      <c r="C1228" s="28" t="s">
        <v>30</v>
      </c>
      <c r="D1228" s="28" t="s">
        <v>21</v>
      </c>
      <c r="E1228" s="28" t="s">
        <v>1875</v>
      </c>
      <c r="F1228" s="28" t="s">
        <v>1876</v>
      </c>
      <c r="G1228" s="28">
        <v>63.75</v>
      </c>
      <c r="H1228" s="28" t="s">
        <v>24</v>
      </c>
      <c r="I1228" s="28" t="s">
        <v>1877</v>
      </c>
      <c r="J1228" s="28" t="s">
        <v>694</v>
      </c>
      <c r="K1228" s="28" t="s">
        <v>580</v>
      </c>
      <c r="L1228" s="28" t="s">
        <v>240</v>
      </c>
      <c r="M1228" s="28" t="s">
        <v>27</v>
      </c>
      <c r="N1228" s="28" t="s">
        <v>28</v>
      </c>
      <c r="O1228" s="29">
        <v>32793</v>
      </c>
      <c r="P1228" s="28"/>
      <c r="Q1228" s="28"/>
      <c r="R1228" s="28">
        <v>63.75</v>
      </c>
      <c r="S1228" s="28" t="s">
        <v>29</v>
      </c>
    </row>
    <row r="1229" spans="1:19">
      <c r="A1229" s="28">
        <v>49300</v>
      </c>
      <c r="B1229" s="28" t="s">
        <v>87</v>
      </c>
      <c r="C1229" s="28" t="s">
        <v>30</v>
      </c>
      <c r="D1229" s="28" t="s">
        <v>21</v>
      </c>
      <c r="E1229" s="28" t="s">
        <v>2043</v>
      </c>
      <c r="F1229" s="28" t="s">
        <v>2044</v>
      </c>
      <c r="G1229" s="28">
        <v>22.8</v>
      </c>
      <c r="H1229" s="28" t="s">
        <v>24</v>
      </c>
      <c r="I1229" s="28" t="s">
        <v>2045</v>
      </c>
      <c r="J1229" s="28" t="s">
        <v>694</v>
      </c>
      <c r="K1229" s="28" t="s">
        <v>366</v>
      </c>
      <c r="L1229" s="28" t="s">
        <v>854</v>
      </c>
      <c r="M1229" s="28" t="s">
        <v>27</v>
      </c>
      <c r="N1229" s="28" t="s">
        <v>28</v>
      </c>
      <c r="O1229" s="29">
        <v>33214</v>
      </c>
      <c r="P1229" s="28"/>
      <c r="Q1229" s="28"/>
      <c r="R1229" s="28">
        <v>22.8</v>
      </c>
      <c r="S1229" s="28" t="s">
        <v>29</v>
      </c>
    </row>
    <row r="1230" spans="1:19">
      <c r="A1230" s="28">
        <v>49400</v>
      </c>
      <c r="B1230" s="28" t="s">
        <v>87</v>
      </c>
      <c r="C1230" s="28" t="s">
        <v>30</v>
      </c>
      <c r="D1230" s="28" t="s">
        <v>21</v>
      </c>
      <c r="E1230" s="28" t="s">
        <v>1907</v>
      </c>
      <c r="F1230" s="28" t="s">
        <v>1908</v>
      </c>
      <c r="G1230" s="28">
        <v>22.8</v>
      </c>
      <c r="H1230" s="28" t="s">
        <v>24</v>
      </c>
      <c r="I1230" s="28" t="s">
        <v>1909</v>
      </c>
      <c r="J1230" s="28" t="s">
        <v>694</v>
      </c>
      <c r="K1230" s="28" t="s">
        <v>366</v>
      </c>
      <c r="L1230" s="28" t="s">
        <v>854</v>
      </c>
      <c r="M1230" s="28" t="s">
        <v>27</v>
      </c>
      <c r="N1230" s="28" t="s">
        <v>28</v>
      </c>
      <c r="O1230" s="29">
        <v>32864</v>
      </c>
      <c r="P1230" s="28"/>
      <c r="Q1230" s="28"/>
      <c r="R1230" s="28">
        <v>22.8</v>
      </c>
      <c r="S1230" s="28" t="s">
        <v>29</v>
      </c>
    </row>
    <row r="1231" spans="1:19">
      <c r="A1231" s="28">
        <v>49500</v>
      </c>
      <c r="B1231" s="28" t="s">
        <v>87</v>
      </c>
      <c r="C1231" s="28" t="s">
        <v>30</v>
      </c>
      <c r="D1231" s="28" t="s">
        <v>21</v>
      </c>
      <c r="E1231" s="28" t="s">
        <v>2024</v>
      </c>
      <c r="F1231" s="28" t="s">
        <v>2025</v>
      </c>
      <c r="G1231" s="28">
        <v>22.8</v>
      </c>
      <c r="H1231" s="28" t="s">
        <v>24</v>
      </c>
      <c r="I1231" s="28" t="s">
        <v>2026</v>
      </c>
      <c r="J1231" s="28" t="s">
        <v>694</v>
      </c>
      <c r="K1231" s="28" t="s">
        <v>366</v>
      </c>
      <c r="L1231" s="28" t="s">
        <v>854</v>
      </c>
      <c r="M1231" s="28" t="s">
        <v>27</v>
      </c>
      <c r="N1231" s="28" t="s">
        <v>28</v>
      </c>
      <c r="O1231" s="29">
        <v>33112</v>
      </c>
      <c r="P1231" s="28"/>
      <c r="Q1231" s="28"/>
      <c r="R1231" s="28">
        <v>22.8</v>
      </c>
      <c r="S1231" s="28" t="s">
        <v>29</v>
      </c>
    </row>
    <row r="1232" spans="1:19">
      <c r="A1232" s="28">
        <v>49600</v>
      </c>
      <c r="B1232" s="28" t="s">
        <v>87</v>
      </c>
      <c r="C1232" s="28" t="s">
        <v>30</v>
      </c>
      <c r="D1232" s="28" t="s">
        <v>21</v>
      </c>
      <c r="E1232" s="28" t="s">
        <v>2032</v>
      </c>
      <c r="F1232" s="28" t="s">
        <v>2033</v>
      </c>
      <c r="G1232" s="28">
        <v>22.8</v>
      </c>
      <c r="H1232" s="28" t="s">
        <v>24</v>
      </c>
      <c r="I1232" s="28" t="s">
        <v>2034</v>
      </c>
      <c r="J1232" s="28" t="s">
        <v>694</v>
      </c>
      <c r="K1232" s="28" t="s">
        <v>366</v>
      </c>
      <c r="L1232" s="28" t="s">
        <v>854</v>
      </c>
      <c r="M1232" s="28" t="s">
        <v>27</v>
      </c>
      <c r="N1232" s="28" t="s">
        <v>28</v>
      </c>
      <c r="O1232" s="29">
        <v>33156</v>
      </c>
      <c r="P1232" s="28"/>
      <c r="Q1232" s="28"/>
      <c r="R1232" s="28">
        <v>22.8</v>
      </c>
      <c r="S1232" s="28" t="s">
        <v>29</v>
      </c>
    </row>
    <row r="1233" spans="1:19">
      <c r="A1233" s="28">
        <v>49700</v>
      </c>
      <c r="B1233" s="28" t="s">
        <v>87</v>
      </c>
      <c r="C1233" s="28" t="s">
        <v>30</v>
      </c>
      <c r="D1233" s="28" t="s">
        <v>21</v>
      </c>
      <c r="E1233" s="28" t="s">
        <v>1986</v>
      </c>
      <c r="F1233" s="28" t="s">
        <v>1987</v>
      </c>
      <c r="G1233" s="28">
        <v>22.8</v>
      </c>
      <c r="H1233" s="28" t="s">
        <v>24</v>
      </c>
      <c r="I1233" s="28" t="s">
        <v>1988</v>
      </c>
      <c r="J1233" s="28" t="s">
        <v>694</v>
      </c>
      <c r="K1233" s="28" t="s">
        <v>366</v>
      </c>
      <c r="L1233" s="28" t="s">
        <v>854</v>
      </c>
      <c r="M1233" s="28" t="s">
        <v>27</v>
      </c>
      <c r="N1233" s="28" t="s">
        <v>28</v>
      </c>
      <c r="O1233" s="29">
        <v>32949</v>
      </c>
      <c r="P1233" s="28"/>
      <c r="Q1233" s="28"/>
      <c r="R1233" s="28">
        <v>22.8</v>
      </c>
      <c r="S1233" s="28" t="s">
        <v>29</v>
      </c>
    </row>
    <row r="1234" spans="1:19" ht="29.25">
      <c r="A1234" s="28">
        <v>50000</v>
      </c>
      <c r="B1234" s="28" t="s">
        <v>87</v>
      </c>
      <c r="C1234" s="28" t="s">
        <v>30</v>
      </c>
      <c r="D1234" s="28" t="s">
        <v>21</v>
      </c>
      <c r="E1234" s="28"/>
      <c r="F1234" s="28" t="s">
        <v>1614</v>
      </c>
      <c r="G1234" s="28">
        <v>0.06</v>
      </c>
      <c r="H1234" s="28" t="s">
        <v>5</v>
      </c>
      <c r="I1234" s="28">
        <v>2303</v>
      </c>
      <c r="J1234" s="28" t="s">
        <v>694</v>
      </c>
      <c r="K1234" s="28"/>
      <c r="L1234" s="28"/>
      <c r="M1234" s="28" t="s">
        <v>38</v>
      </c>
      <c r="N1234" s="28" t="s">
        <v>39</v>
      </c>
      <c r="O1234" s="29">
        <v>32119</v>
      </c>
      <c r="P1234" s="28"/>
      <c r="Q1234" s="28"/>
      <c r="R1234" s="28">
        <v>0.06</v>
      </c>
      <c r="S1234" s="28" t="s">
        <v>29</v>
      </c>
    </row>
    <row r="1235" spans="1:19">
      <c r="A1235" s="28">
        <v>50100</v>
      </c>
      <c r="B1235" s="28" t="s">
        <v>87</v>
      </c>
      <c r="C1235" s="28" t="s">
        <v>30</v>
      </c>
      <c r="D1235" s="28" t="s">
        <v>21</v>
      </c>
      <c r="E1235" s="28" t="s">
        <v>2029</v>
      </c>
      <c r="F1235" s="28" t="s">
        <v>2030</v>
      </c>
      <c r="G1235" s="28">
        <v>29.4</v>
      </c>
      <c r="H1235" s="28" t="s">
        <v>24</v>
      </c>
      <c r="I1235" s="28" t="s">
        <v>2031</v>
      </c>
      <c r="J1235" s="28" t="s">
        <v>694</v>
      </c>
      <c r="K1235" s="28" t="s">
        <v>366</v>
      </c>
      <c r="L1235" s="28" t="s">
        <v>854</v>
      </c>
      <c r="M1235" s="28" t="s">
        <v>27</v>
      </c>
      <c r="N1235" s="28" t="s">
        <v>28</v>
      </c>
      <c r="O1235" s="29">
        <v>33142</v>
      </c>
      <c r="P1235" s="28"/>
      <c r="Q1235" s="28"/>
      <c r="R1235" s="28">
        <v>29.9</v>
      </c>
      <c r="S1235" s="28" t="s">
        <v>29</v>
      </c>
    </row>
    <row r="1236" spans="1:19" ht="29.25">
      <c r="A1236" s="28">
        <v>90300</v>
      </c>
      <c r="B1236" s="28" t="s">
        <v>87</v>
      </c>
      <c r="C1236" s="28" t="s">
        <v>30</v>
      </c>
      <c r="D1236" s="28" t="s">
        <v>21</v>
      </c>
      <c r="E1236" s="28" t="s">
        <v>1850</v>
      </c>
      <c r="F1236" s="28" t="s">
        <v>1851</v>
      </c>
      <c r="G1236" s="28">
        <v>2.75</v>
      </c>
      <c r="H1236" s="28" t="s">
        <v>24</v>
      </c>
      <c r="I1236" s="28" t="s">
        <v>90</v>
      </c>
      <c r="J1236" s="28" t="s">
        <v>25</v>
      </c>
      <c r="K1236" s="28" t="s">
        <v>25</v>
      </c>
      <c r="L1236" s="28" t="s">
        <v>26</v>
      </c>
      <c r="M1236" s="28" t="s">
        <v>27</v>
      </c>
      <c r="N1236" s="28" t="s">
        <v>28</v>
      </c>
      <c r="O1236" s="29">
        <v>32674</v>
      </c>
      <c r="P1236" s="28"/>
      <c r="Q1236" s="28"/>
      <c r="R1236" s="28">
        <v>7.5</v>
      </c>
      <c r="S1236" s="28" t="s">
        <v>29</v>
      </c>
    </row>
    <row r="1237" spans="1:19" ht="29.25">
      <c r="A1237" s="24">
        <v>90400</v>
      </c>
      <c r="B1237" s="24" t="s">
        <v>87</v>
      </c>
      <c r="C1237" s="24" t="s">
        <v>30</v>
      </c>
      <c r="D1237" s="24" t="s">
        <v>30</v>
      </c>
      <c r="E1237" s="24" t="s">
        <v>1826</v>
      </c>
      <c r="F1237" s="24" t="s">
        <v>1827</v>
      </c>
      <c r="G1237" s="24">
        <v>18.75</v>
      </c>
      <c r="H1237" s="24" t="s">
        <v>24</v>
      </c>
      <c r="I1237" s="24" t="s">
        <v>90</v>
      </c>
      <c r="J1237" s="24" t="s">
        <v>25</v>
      </c>
      <c r="K1237" s="24" t="s">
        <v>25</v>
      </c>
      <c r="L1237" s="24" t="s">
        <v>26</v>
      </c>
      <c r="M1237" s="24" t="s">
        <v>27</v>
      </c>
      <c r="N1237" s="24" t="s">
        <v>28</v>
      </c>
      <c r="O1237" s="25">
        <v>32609</v>
      </c>
      <c r="P1237" s="24"/>
      <c r="Q1237" s="24"/>
      <c r="R1237" s="24">
        <v>18.75</v>
      </c>
      <c r="S1237" s="24" t="s">
        <v>29</v>
      </c>
    </row>
    <row r="1238" spans="1:19" ht="29.25">
      <c r="A1238" s="26">
        <v>50200</v>
      </c>
      <c r="B1238" s="26" t="s">
        <v>87</v>
      </c>
      <c r="C1238" s="26" t="s">
        <v>30</v>
      </c>
      <c r="D1238" s="26" t="s">
        <v>21</v>
      </c>
      <c r="E1238" s="26"/>
      <c r="F1238" s="26" t="s">
        <v>1828</v>
      </c>
      <c r="G1238" s="26"/>
      <c r="H1238" s="26" t="s">
        <v>24</v>
      </c>
      <c r="I1238" s="26" t="s">
        <v>1829</v>
      </c>
      <c r="J1238" s="26" t="s">
        <v>25</v>
      </c>
      <c r="K1238" s="26" t="s">
        <v>25</v>
      </c>
      <c r="L1238" s="26" t="s">
        <v>26</v>
      </c>
      <c r="M1238" s="26" t="s">
        <v>27</v>
      </c>
      <c r="N1238" s="26" t="s">
        <v>28</v>
      </c>
      <c r="O1238" s="27">
        <v>32609</v>
      </c>
      <c r="P1238" s="26"/>
      <c r="Q1238" s="26"/>
      <c r="R1238" s="26">
        <v>8.75</v>
      </c>
      <c r="S1238" s="26" t="s">
        <v>29</v>
      </c>
    </row>
    <row r="1239" spans="1:19" ht="29.25">
      <c r="A1239" s="26">
        <v>50300</v>
      </c>
      <c r="B1239" s="26" t="s">
        <v>87</v>
      </c>
      <c r="C1239" s="26" t="s">
        <v>30</v>
      </c>
      <c r="D1239" s="26" t="s">
        <v>21</v>
      </c>
      <c r="E1239" s="26"/>
      <c r="F1239" s="26" t="s">
        <v>1830</v>
      </c>
      <c r="G1239" s="26"/>
      <c r="H1239" s="26" t="s">
        <v>24</v>
      </c>
      <c r="I1239" s="26" t="s">
        <v>1831</v>
      </c>
      <c r="J1239" s="26" t="s">
        <v>25</v>
      </c>
      <c r="K1239" s="26" t="s">
        <v>25</v>
      </c>
      <c r="L1239" s="26" t="s">
        <v>26</v>
      </c>
      <c r="M1239" s="26" t="s">
        <v>27</v>
      </c>
      <c r="N1239" s="26" t="s">
        <v>28</v>
      </c>
      <c r="O1239" s="27">
        <v>32613</v>
      </c>
      <c r="P1239" s="26"/>
      <c r="Q1239" s="26"/>
      <c r="R1239" s="26">
        <v>10</v>
      </c>
      <c r="S1239" s="26" t="s">
        <v>29</v>
      </c>
    </row>
    <row r="1240" spans="1:19">
      <c r="A1240" s="28">
        <v>50400</v>
      </c>
      <c r="B1240" s="28" t="s">
        <v>87</v>
      </c>
      <c r="C1240" s="28" t="s">
        <v>30</v>
      </c>
      <c r="D1240" s="28" t="s">
        <v>21</v>
      </c>
      <c r="E1240" s="28" t="s">
        <v>1803</v>
      </c>
      <c r="F1240" s="28" t="s">
        <v>1804</v>
      </c>
      <c r="G1240" s="28">
        <v>52.43</v>
      </c>
      <c r="H1240" s="28" t="s">
        <v>24</v>
      </c>
      <c r="I1240" s="28" t="s">
        <v>1805</v>
      </c>
      <c r="J1240" s="28" t="s">
        <v>694</v>
      </c>
      <c r="K1240" s="28" t="s">
        <v>580</v>
      </c>
      <c r="L1240" s="28" t="s">
        <v>240</v>
      </c>
      <c r="M1240" s="28" t="s">
        <v>193</v>
      </c>
      <c r="N1240" s="28" t="s">
        <v>194</v>
      </c>
      <c r="O1240" s="29">
        <v>32563</v>
      </c>
      <c r="P1240" s="28"/>
      <c r="Q1240" s="28"/>
      <c r="R1240" s="28">
        <v>60.3</v>
      </c>
      <c r="S1240" s="28" t="s">
        <v>29</v>
      </c>
    </row>
    <row r="1241" spans="1:19" ht="29.25">
      <c r="A1241" s="24">
        <v>59600</v>
      </c>
      <c r="B1241" s="24" t="s">
        <v>87</v>
      </c>
      <c r="C1241" s="24" t="s">
        <v>30</v>
      </c>
      <c r="D1241" s="24" t="s">
        <v>30</v>
      </c>
      <c r="E1241" s="24" t="s">
        <v>1370</v>
      </c>
      <c r="F1241" s="24" t="s">
        <v>1371</v>
      </c>
      <c r="G1241" s="24">
        <v>4</v>
      </c>
      <c r="H1241" s="24" t="s">
        <v>24</v>
      </c>
      <c r="I1241" s="24" t="s">
        <v>1372</v>
      </c>
      <c r="J1241" s="24" t="s">
        <v>25</v>
      </c>
      <c r="K1241" s="24" t="s">
        <v>25</v>
      </c>
      <c r="L1241" s="24" t="s">
        <v>26</v>
      </c>
      <c r="M1241" s="24" t="s">
        <v>27</v>
      </c>
      <c r="N1241" s="24" t="s">
        <v>1373</v>
      </c>
      <c r="O1241" s="25">
        <v>31517</v>
      </c>
      <c r="P1241" s="24"/>
      <c r="Q1241" s="24"/>
      <c r="R1241" s="24">
        <v>4</v>
      </c>
      <c r="S1241" s="24" t="s">
        <v>29</v>
      </c>
    </row>
    <row r="1242" spans="1:19">
      <c r="A1242" s="26">
        <v>59601</v>
      </c>
      <c r="B1242" s="26" t="s">
        <v>87</v>
      </c>
      <c r="C1242" s="26" t="s">
        <v>30</v>
      </c>
      <c r="D1242" s="26" t="s">
        <v>21</v>
      </c>
      <c r="E1242" s="26" t="s">
        <v>1374</v>
      </c>
      <c r="F1242" s="26" t="s">
        <v>1375</v>
      </c>
      <c r="G1242" s="26">
        <v>2.2000000000000002</v>
      </c>
      <c r="H1242" s="26" t="s">
        <v>24</v>
      </c>
      <c r="I1242" s="26" t="s">
        <v>1376</v>
      </c>
      <c r="J1242" s="26" t="s">
        <v>25</v>
      </c>
      <c r="K1242" s="26" t="s">
        <v>25</v>
      </c>
      <c r="L1242" s="26" t="s">
        <v>26</v>
      </c>
      <c r="M1242" s="26" t="s">
        <v>27</v>
      </c>
      <c r="N1242" s="26" t="s">
        <v>1373</v>
      </c>
      <c r="O1242" s="27">
        <v>31517</v>
      </c>
      <c r="P1242" s="26"/>
      <c r="Q1242" s="26"/>
      <c r="R1242" s="26">
        <v>2.2000000000000002</v>
      </c>
      <c r="S1242" s="26" t="s">
        <v>29</v>
      </c>
    </row>
    <row r="1243" spans="1:19">
      <c r="A1243" s="26">
        <v>59602</v>
      </c>
      <c r="B1243" s="26" t="s">
        <v>87</v>
      </c>
      <c r="C1243" s="26" t="s">
        <v>30</v>
      </c>
      <c r="D1243" s="26" t="s">
        <v>21</v>
      </c>
      <c r="E1243" s="26" t="s">
        <v>1377</v>
      </c>
      <c r="F1243" s="26" t="s">
        <v>1378</v>
      </c>
      <c r="G1243" s="26">
        <v>1.1000000000000001</v>
      </c>
      <c r="H1243" s="26" t="s">
        <v>24</v>
      </c>
      <c r="I1243" s="26" t="s">
        <v>1376</v>
      </c>
      <c r="J1243" s="26" t="s">
        <v>25</v>
      </c>
      <c r="K1243" s="26" t="s">
        <v>25</v>
      </c>
      <c r="L1243" s="26" t="s">
        <v>26</v>
      </c>
      <c r="M1243" s="26" t="s">
        <v>27</v>
      </c>
      <c r="N1243" s="26" t="s">
        <v>1373</v>
      </c>
      <c r="O1243" s="27">
        <v>31517</v>
      </c>
      <c r="P1243" s="26"/>
      <c r="Q1243" s="26"/>
      <c r="R1243" s="26">
        <v>1.1000000000000001</v>
      </c>
      <c r="S1243" s="26" t="s">
        <v>29</v>
      </c>
    </row>
    <row r="1244" spans="1:19" ht="29.25">
      <c r="A1244" s="24">
        <v>50800</v>
      </c>
      <c r="B1244" s="24" t="s">
        <v>87</v>
      </c>
      <c r="C1244" s="24" t="s">
        <v>30</v>
      </c>
      <c r="D1244" s="24" t="s">
        <v>30</v>
      </c>
      <c r="E1244" s="24" t="s">
        <v>3223</v>
      </c>
      <c r="F1244" s="24" t="s">
        <v>3224</v>
      </c>
      <c r="G1244" s="24">
        <v>1.25</v>
      </c>
      <c r="H1244" s="24" t="s">
        <v>24</v>
      </c>
      <c r="I1244" s="24" t="s">
        <v>973</v>
      </c>
      <c r="J1244" s="24" t="s">
        <v>25</v>
      </c>
      <c r="K1244" s="24" t="s">
        <v>25</v>
      </c>
      <c r="L1244" s="24" t="s">
        <v>26</v>
      </c>
      <c r="M1244" s="24" t="s">
        <v>27</v>
      </c>
      <c r="N1244" s="24" t="s">
        <v>159</v>
      </c>
      <c r="O1244" s="263">
        <v>30655</v>
      </c>
      <c r="P1244" s="24"/>
      <c r="Q1244" s="24"/>
      <c r="R1244" s="24">
        <v>0.05</v>
      </c>
      <c r="S1244" s="24" t="s">
        <v>29</v>
      </c>
    </row>
    <row r="1245" spans="1:19">
      <c r="A1245" s="26">
        <v>50802</v>
      </c>
      <c r="B1245" s="26" t="s">
        <v>87</v>
      </c>
      <c r="C1245" s="26" t="s">
        <v>30</v>
      </c>
      <c r="D1245" s="26" t="s">
        <v>21</v>
      </c>
      <c r="E1245" s="26"/>
      <c r="F1245" s="26" t="s">
        <v>972</v>
      </c>
      <c r="G1245" s="26"/>
      <c r="H1245" s="26" t="s">
        <v>24</v>
      </c>
      <c r="I1245" s="26" t="s">
        <v>973</v>
      </c>
      <c r="J1245" s="26" t="s">
        <v>25</v>
      </c>
      <c r="K1245" s="26" t="s">
        <v>25</v>
      </c>
      <c r="L1245" s="26" t="s">
        <v>26</v>
      </c>
      <c r="M1245" s="26" t="s">
        <v>27</v>
      </c>
      <c r="N1245" s="26" t="s">
        <v>159</v>
      </c>
      <c r="O1245" s="27">
        <v>30655</v>
      </c>
      <c r="P1245" s="26"/>
      <c r="Q1245" s="26"/>
      <c r="R1245" s="26">
        <v>0.03</v>
      </c>
      <c r="S1245" s="26" t="s">
        <v>29</v>
      </c>
    </row>
    <row r="1246" spans="1:19" ht="29.25">
      <c r="A1246" s="28">
        <v>51500</v>
      </c>
      <c r="B1246" s="28" t="s">
        <v>87</v>
      </c>
      <c r="C1246" s="28" t="s">
        <v>30</v>
      </c>
      <c r="D1246" s="28" t="s">
        <v>21</v>
      </c>
      <c r="E1246" s="28" t="s">
        <v>2107</v>
      </c>
      <c r="F1246" s="28" t="s">
        <v>2108</v>
      </c>
      <c r="G1246" s="28">
        <v>14.3</v>
      </c>
      <c r="H1246" s="28" t="s">
        <v>24</v>
      </c>
      <c r="I1246" s="28" t="s">
        <v>2109</v>
      </c>
      <c r="J1246" s="28" t="s">
        <v>25</v>
      </c>
      <c r="K1246" s="28" t="s">
        <v>25</v>
      </c>
      <c r="L1246" s="28" t="s">
        <v>26</v>
      </c>
      <c r="M1246" s="28" t="s">
        <v>27</v>
      </c>
      <c r="N1246" s="28" t="s">
        <v>28</v>
      </c>
      <c r="O1246" s="29">
        <v>33679</v>
      </c>
      <c r="P1246" s="28"/>
      <c r="Q1246" s="28"/>
      <c r="R1246" s="28">
        <v>14.3</v>
      </c>
      <c r="S1246" s="28" t="s">
        <v>29</v>
      </c>
    </row>
    <row r="1247" spans="1:19" ht="29.25">
      <c r="A1247" s="28">
        <v>49800</v>
      </c>
      <c r="B1247" s="28" t="s">
        <v>87</v>
      </c>
      <c r="C1247" s="28" t="s">
        <v>30</v>
      </c>
      <c r="D1247" s="28" t="s">
        <v>21</v>
      </c>
      <c r="E1247" s="28"/>
      <c r="F1247" s="28" t="s">
        <v>3225</v>
      </c>
      <c r="G1247" s="28">
        <v>0</v>
      </c>
      <c r="H1247" s="28" t="s">
        <v>143</v>
      </c>
      <c r="I1247" s="28">
        <v>481</v>
      </c>
      <c r="J1247" s="28" t="s">
        <v>788</v>
      </c>
      <c r="K1247" s="28"/>
      <c r="L1247" s="28" t="s">
        <v>888</v>
      </c>
      <c r="M1247" s="28" t="s">
        <v>38</v>
      </c>
      <c r="N1247" s="28" t="s">
        <v>144</v>
      </c>
      <c r="O1247" s="28" t="s">
        <v>4687</v>
      </c>
      <c r="P1247" s="28" t="s">
        <v>892</v>
      </c>
      <c r="Q1247" s="28"/>
      <c r="R1247" s="28">
        <v>0.36</v>
      </c>
      <c r="S1247" s="28" t="s">
        <v>29</v>
      </c>
    </row>
    <row r="1248" spans="1:19" ht="57.75">
      <c r="A1248" s="28">
        <v>16700</v>
      </c>
      <c r="B1248" s="28" t="s">
        <v>87</v>
      </c>
      <c r="C1248" s="28" t="s">
        <v>21</v>
      </c>
      <c r="D1248" s="28" t="s">
        <v>21</v>
      </c>
      <c r="E1248" s="28" t="s">
        <v>2548</v>
      </c>
      <c r="F1248" s="28" t="s">
        <v>2549</v>
      </c>
      <c r="G1248" s="28"/>
      <c r="H1248" s="28" t="s">
        <v>5</v>
      </c>
      <c r="I1248" s="28" t="s">
        <v>369</v>
      </c>
      <c r="J1248" s="28" t="s">
        <v>4784</v>
      </c>
      <c r="K1248" s="28"/>
      <c r="L1248" s="28"/>
      <c r="M1248" s="28" t="s">
        <v>38</v>
      </c>
      <c r="N1248" s="28" t="s">
        <v>39</v>
      </c>
      <c r="O1248" s="29">
        <v>37468</v>
      </c>
      <c r="P1248" s="28" t="s">
        <v>4785</v>
      </c>
      <c r="Q1248" s="28"/>
      <c r="R1248" s="28"/>
      <c r="S1248" s="28" t="s">
        <v>29</v>
      </c>
    </row>
    <row r="1249" spans="1:19" ht="57.75">
      <c r="A1249" s="28">
        <v>16800</v>
      </c>
      <c r="B1249" s="28" t="s">
        <v>87</v>
      </c>
      <c r="C1249" s="28" t="s">
        <v>21</v>
      </c>
      <c r="D1249" s="28" t="s">
        <v>21</v>
      </c>
      <c r="E1249" s="28" t="s">
        <v>2661</v>
      </c>
      <c r="F1249" s="28" t="s">
        <v>2662</v>
      </c>
      <c r="G1249" s="28"/>
      <c r="H1249" s="28" t="s">
        <v>5</v>
      </c>
      <c r="I1249" s="28" t="s">
        <v>369</v>
      </c>
      <c r="J1249" s="28" t="s">
        <v>4784</v>
      </c>
      <c r="K1249" s="28"/>
      <c r="L1249" s="28"/>
      <c r="M1249" s="28" t="s">
        <v>38</v>
      </c>
      <c r="N1249" s="28" t="s">
        <v>39</v>
      </c>
      <c r="O1249" s="29">
        <v>37840</v>
      </c>
      <c r="P1249" s="28" t="s">
        <v>4785</v>
      </c>
      <c r="Q1249" s="28"/>
      <c r="R1249" s="28"/>
      <c r="S1249" s="28" t="s">
        <v>29</v>
      </c>
    </row>
    <row r="1250" spans="1:19">
      <c r="A1250" s="28">
        <v>51600</v>
      </c>
      <c r="B1250" s="28" t="s">
        <v>87</v>
      </c>
      <c r="C1250" s="28" t="s">
        <v>30</v>
      </c>
      <c r="D1250" s="28" t="s">
        <v>21</v>
      </c>
      <c r="E1250" s="28" t="s">
        <v>1006</v>
      </c>
      <c r="F1250" s="28" t="s">
        <v>1007</v>
      </c>
      <c r="G1250" s="28">
        <v>50</v>
      </c>
      <c r="H1250" s="28" t="s">
        <v>24</v>
      </c>
      <c r="I1250" s="28"/>
      <c r="J1250" s="28" t="s">
        <v>694</v>
      </c>
      <c r="K1250" s="28" t="s">
        <v>580</v>
      </c>
      <c r="L1250" s="28" t="s">
        <v>240</v>
      </c>
      <c r="M1250" s="28" t="s">
        <v>27</v>
      </c>
      <c r="N1250" s="28" t="s">
        <v>28</v>
      </c>
      <c r="O1250" s="29">
        <v>30682</v>
      </c>
      <c r="P1250" s="28" t="s">
        <v>1008</v>
      </c>
      <c r="Q1250" s="28"/>
      <c r="R1250" s="28">
        <v>50</v>
      </c>
      <c r="S1250" s="28" t="s">
        <v>29</v>
      </c>
    </row>
    <row r="1251" spans="1:19" ht="29.25">
      <c r="A1251" s="24">
        <v>51700</v>
      </c>
      <c r="B1251" s="24" t="s">
        <v>87</v>
      </c>
      <c r="C1251" s="24" t="s">
        <v>30</v>
      </c>
      <c r="D1251" s="24" t="s">
        <v>30</v>
      </c>
      <c r="E1251" s="24" t="s">
        <v>1162</v>
      </c>
      <c r="F1251" s="24" t="s">
        <v>1163</v>
      </c>
      <c r="G1251" s="24">
        <v>1</v>
      </c>
      <c r="H1251" s="24" t="s">
        <v>24</v>
      </c>
      <c r="I1251" s="24" t="s">
        <v>90</v>
      </c>
      <c r="J1251" s="24" t="s">
        <v>781</v>
      </c>
      <c r="K1251" s="24" t="s">
        <v>781</v>
      </c>
      <c r="L1251" s="24" t="s">
        <v>781</v>
      </c>
      <c r="M1251" s="24" t="s">
        <v>27</v>
      </c>
      <c r="N1251" s="24" t="s">
        <v>28</v>
      </c>
      <c r="O1251" s="25">
        <v>31048</v>
      </c>
      <c r="P1251" s="24"/>
      <c r="Q1251" s="24"/>
      <c r="R1251" s="24">
        <v>1</v>
      </c>
      <c r="S1251" s="24" t="s">
        <v>29</v>
      </c>
    </row>
    <row r="1252" spans="1:19" ht="29.25">
      <c r="A1252" s="26">
        <v>51703</v>
      </c>
      <c r="B1252" s="26" t="s">
        <v>87</v>
      </c>
      <c r="C1252" s="26" t="s">
        <v>30</v>
      </c>
      <c r="D1252" s="26" t="s">
        <v>21</v>
      </c>
      <c r="E1252" s="26"/>
      <c r="F1252" s="26" t="s">
        <v>1225</v>
      </c>
      <c r="G1252" s="26"/>
      <c r="H1252" s="26" t="s">
        <v>24</v>
      </c>
      <c r="I1252" s="26" t="s">
        <v>1226</v>
      </c>
      <c r="J1252" s="26" t="s">
        <v>694</v>
      </c>
      <c r="K1252" s="26"/>
      <c r="L1252" s="26" t="s">
        <v>240</v>
      </c>
      <c r="M1252" s="26" t="s">
        <v>27</v>
      </c>
      <c r="N1252" s="26" t="s">
        <v>28</v>
      </c>
      <c r="O1252" s="27">
        <v>31274</v>
      </c>
      <c r="P1252" s="26"/>
      <c r="Q1252" s="26"/>
      <c r="R1252" s="26">
        <v>0.08</v>
      </c>
      <c r="S1252" s="26" t="s">
        <v>29</v>
      </c>
    </row>
    <row r="1253" spans="1:19">
      <c r="A1253" s="26">
        <v>51708</v>
      </c>
      <c r="B1253" s="26" t="s">
        <v>87</v>
      </c>
      <c r="C1253" s="26" t="s">
        <v>30</v>
      </c>
      <c r="D1253" s="26" t="s">
        <v>21</v>
      </c>
      <c r="E1253" s="26"/>
      <c r="F1253" s="26" t="s">
        <v>2215</v>
      </c>
      <c r="G1253" s="26"/>
      <c r="H1253" s="26" t="s">
        <v>24</v>
      </c>
      <c r="I1253" s="26" t="s">
        <v>2216</v>
      </c>
      <c r="J1253" s="26" t="s">
        <v>1025</v>
      </c>
      <c r="K1253" s="26" t="s">
        <v>2138</v>
      </c>
      <c r="L1253" s="26" t="s">
        <v>1026</v>
      </c>
      <c r="M1253" s="26" t="s">
        <v>27</v>
      </c>
      <c r="N1253" s="26" t="s">
        <v>28</v>
      </c>
      <c r="O1253" s="27">
        <v>35226</v>
      </c>
      <c r="P1253" s="26"/>
      <c r="Q1253" s="26"/>
      <c r="R1253" s="26">
        <v>0.01</v>
      </c>
      <c r="S1253" s="26" t="s">
        <v>29</v>
      </c>
    </row>
    <row r="1254" spans="1:19">
      <c r="A1254" s="26">
        <v>51705</v>
      </c>
      <c r="B1254" s="26" t="s">
        <v>87</v>
      </c>
      <c r="C1254" s="26" t="s">
        <v>30</v>
      </c>
      <c r="D1254" s="26" t="s">
        <v>21</v>
      </c>
      <c r="E1254" s="26"/>
      <c r="F1254" s="26" t="s">
        <v>3228</v>
      </c>
      <c r="G1254" s="26"/>
      <c r="H1254" s="26" t="s">
        <v>24</v>
      </c>
      <c r="I1254" s="26" t="s">
        <v>3229</v>
      </c>
      <c r="J1254" s="26" t="s">
        <v>781</v>
      </c>
      <c r="K1254" s="26" t="s">
        <v>781</v>
      </c>
      <c r="L1254" s="26" t="s">
        <v>781</v>
      </c>
      <c r="M1254" s="26" t="s">
        <v>27</v>
      </c>
      <c r="N1254" s="26" t="s">
        <v>28</v>
      </c>
      <c r="O1254" s="26" t="s">
        <v>4687</v>
      </c>
      <c r="P1254" s="26"/>
      <c r="Q1254" s="26"/>
      <c r="R1254" s="26">
        <v>0</v>
      </c>
      <c r="S1254" s="26" t="s">
        <v>29</v>
      </c>
    </row>
    <row r="1255" spans="1:19">
      <c r="A1255" s="26">
        <v>51704</v>
      </c>
      <c r="B1255" s="26" t="s">
        <v>87</v>
      </c>
      <c r="C1255" s="26" t="s">
        <v>30</v>
      </c>
      <c r="D1255" s="26" t="s">
        <v>21</v>
      </c>
      <c r="E1255" s="26"/>
      <c r="F1255" s="26" t="s">
        <v>1548</v>
      </c>
      <c r="G1255" s="26"/>
      <c r="H1255" s="26" t="s">
        <v>24</v>
      </c>
      <c r="I1255" s="26" t="s">
        <v>1549</v>
      </c>
      <c r="J1255" s="26" t="s">
        <v>25</v>
      </c>
      <c r="K1255" s="26" t="s">
        <v>25</v>
      </c>
      <c r="L1255" s="26" t="s">
        <v>26</v>
      </c>
      <c r="M1255" s="26" t="s">
        <v>27</v>
      </c>
      <c r="N1255" s="26" t="s">
        <v>28</v>
      </c>
      <c r="O1255" s="27">
        <v>31898</v>
      </c>
      <c r="P1255" s="26"/>
      <c r="Q1255" s="26"/>
      <c r="R1255" s="26">
        <v>0.09</v>
      </c>
      <c r="S1255" s="26" t="s">
        <v>29</v>
      </c>
    </row>
    <row r="1256" spans="1:19">
      <c r="A1256" s="26">
        <v>51701</v>
      </c>
      <c r="B1256" s="26" t="s">
        <v>87</v>
      </c>
      <c r="C1256" s="26" t="s">
        <v>30</v>
      </c>
      <c r="D1256" s="26" t="s">
        <v>21</v>
      </c>
      <c r="E1256" s="26"/>
      <c r="F1256" s="26" t="s">
        <v>3226</v>
      </c>
      <c r="G1256" s="26"/>
      <c r="H1256" s="26" t="s">
        <v>24</v>
      </c>
      <c r="I1256" s="26" t="s">
        <v>3227</v>
      </c>
      <c r="J1256" s="26" t="s">
        <v>781</v>
      </c>
      <c r="K1256" s="26" t="s">
        <v>781</v>
      </c>
      <c r="L1256" s="26" t="s">
        <v>781</v>
      </c>
      <c r="M1256" s="26" t="s">
        <v>27</v>
      </c>
      <c r="N1256" s="26" t="s">
        <v>28</v>
      </c>
      <c r="O1256" s="26" t="s">
        <v>4687</v>
      </c>
      <c r="P1256" s="26"/>
      <c r="Q1256" s="26"/>
      <c r="R1256" s="26">
        <v>0.01</v>
      </c>
      <c r="S1256" s="26" t="s">
        <v>29</v>
      </c>
    </row>
    <row r="1257" spans="1:19" ht="29.25">
      <c r="A1257" s="26">
        <v>51709</v>
      </c>
      <c r="B1257" s="26" t="s">
        <v>87</v>
      </c>
      <c r="C1257" s="26" t="s">
        <v>30</v>
      </c>
      <c r="D1257" s="26" t="s">
        <v>21</v>
      </c>
      <c r="E1257" s="26"/>
      <c r="F1257" s="26" t="s">
        <v>2136</v>
      </c>
      <c r="G1257" s="26"/>
      <c r="H1257" s="26" t="s">
        <v>24</v>
      </c>
      <c r="I1257" s="26" t="s">
        <v>2137</v>
      </c>
      <c r="J1257" s="26" t="s">
        <v>1025</v>
      </c>
      <c r="K1257" s="26" t="s">
        <v>2138</v>
      </c>
      <c r="L1257" s="26" t="s">
        <v>1026</v>
      </c>
      <c r="M1257" s="26" t="s">
        <v>27</v>
      </c>
      <c r="N1257" s="26" t="s">
        <v>28</v>
      </c>
      <c r="O1257" s="27">
        <v>34075</v>
      </c>
      <c r="P1257" s="26"/>
      <c r="Q1257" s="26"/>
      <c r="R1257" s="26">
        <v>0.01</v>
      </c>
      <c r="S1257" s="26" t="s">
        <v>29</v>
      </c>
    </row>
    <row r="1258" spans="1:19" ht="29.25">
      <c r="A1258" s="24">
        <v>84900</v>
      </c>
      <c r="B1258" s="24" t="s">
        <v>87</v>
      </c>
      <c r="C1258" s="24" t="s">
        <v>30</v>
      </c>
      <c r="D1258" s="24" t="s">
        <v>30</v>
      </c>
      <c r="E1258" s="24" t="s">
        <v>3230</v>
      </c>
      <c r="F1258" s="24" t="s">
        <v>3231</v>
      </c>
      <c r="G1258" s="24">
        <v>535.59</v>
      </c>
      <c r="H1258" s="24" t="s">
        <v>5</v>
      </c>
      <c r="I1258" s="24" t="s">
        <v>90</v>
      </c>
      <c r="J1258" s="24" t="s">
        <v>90</v>
      </c>
      <c r="K1258" s="24" t="s">
        <v>90</v>
      </c>
      <c r="L1258" s="24" t="s">
        <v>90</v>
      </c>
      <c r="M1258" s="24" t="s">
        <v>38</v>
      </c>
      <c r="N1258" s="24" t="s">
        <v>3232</v>
      </c>
      <c r="O1258" s="24" t="s">
        <v>4687</v>
      </c>
      <c r="P1258" s="24" t="s">
        <v>3233</v>
      </c>
      <c r="Q1258" s="24"/>
      <c r="R1258" s="24">
        <v>471.7</v>
      </c>
      <c r="S1258" s="24" t="s">
        <v>3234</v>
      </c>
    </row>
    <row r="1259" spans="1:19">
      <c r="A1259" s="26">
        <v>84902</v>
      </c>
      <c r="B1259" s="26" t="s">
        <v>87</v>
      </c>
      <c r="C1259" s="26" t="s">
        <v>30</v>
      </c>
      <c r="D1259" s="26" t="s">
        <v>21</v>
      </c>
      <c r="E1259" s="26"/>
      <c r="F1259" s="26" t="s">
        <v>3236</v>
      </c>
      <c r="G1259" s="26"/>
      <c r="H1259" s="26" t="s">
        <v>3232</v>
      </c>
      <c r="I1259" s="26">
        <v>3004</v>
      </c>
      <c r="J1259" s="26" t="s">
        <v>644</v>
      </c>
      <c r="K1259" s="26" t="s">
        <v>366</v>
      </c>
      <c r="L1259" s="26" t="s">
        <v>644</v>
      </c>
      <c r="M1259" s="26" t="s">
        <v>38</v>
      </c>
      <c r="N1259" s="26" t="s">
        <v>3232</v>
      </c>
      <c r="O1259" s="26" t="s">
        <v>4687</v>
      </c>
      <c r="P1259" s="26"/>
      <c r="Q1259" s="26"/>
      <c r="R1259" s="26">
        <v>42</v>
      </c>
      <c r="S1259" s="26" t="s">
        <v>3234</v>
      </c>
    </row>
    <row r="1260" spans="1:19">
      <c r="A1260" s="26">
        <v>84903</v>
      </c>
      <c r="B1260" s="26" t="s">
        <v>87</v>
      </c>
      <c r="C1260" s="26" t="s">
        <v>30</v>
      </c>
      <c r="D1260" s="26" t="s">
        <v>21</v>
      </c>
      <c r="E1260" s="26"/>
      <c r="F1260" s="26" t="s">
        <v>3237</v>
      </c>
      <c r="G1260" s="26"/>
      <c r="H1260" s="26" t="s">
        <v>3232</v>
      </c>
      <c r="I1260" s="26">
        <v>3009</v>
      </c>
      <c r="J1260" s="26" t="s">
        <v>644</v>
      </c>
      <c r="K1260" s="26" t="s">
        <v>366</v>
      </c>
      <c r="L1260" s="26" t="s">
        <v>644</v>
      </c>
      <c r="M1260" s="26" t="s">
        <v>38</v>
      </c>
      <c r="N1260" s="26" t="s">
        <v>3232</v>
      </c>
      <c r="O1260" s="26" t="s">
        <v>4687</v>
      </c>
      <c r="P1260" s="26"/>
      <c r="Q1260" s="26"/>
      <c r="R1260" s="26">
        <v>42</v>
      </c>
      <c r="S1260" s="26" t="s">
        <v>3234</v>
      </c>
    </row>
    <row r="1261" spans="1:19">
      <c r="A1261" s="26">
        <v>84904</v>
      </c>
      <c r="B1261" s="26" t="s">
        <v>87</v>
      </c>
      <c r="C1261" s="26" t="s">
        <v>30</v>
      </c>
      <c r="D1261" s="26" t="s">
        <v>21</v>
      </c>
      <c r="E1261" s="26"/>
      <c r="F1261" s="26" t="s">
        <v>3238</v>
      </c>
      <c r="G1261" s="26"/>
      <c r="H1261" s="26" t="s">
        <v>3232</v>
      </c>
      <c r="I1261" s="26">
        <v>3001</v>
      </c>
      <c r="J1261" s="26" t="s">
        <v>644</v>
      </c>
      <c r="K1261" s="26" t="s">
        <v>366</v>
      </c>
      <c r="L1261" s="26" t="s">
        <v>644</v>
      </c>
      <c r="M1261" s="26" t="s">
        <v>38</v>
      </c>
      <c r="N1261" s="26" t="s">
        <v>3232</v>
      </c>
      <c r="O1261" s="26" t="s">
        <v>4687</v>
      </c>
      <c r="P1261" s="26"/>
      <c r="Q1261" s="26"/>
      <c r="R1261" s="26">
        <v>52</v>
      </c>
      <c r="S1261" s="26" t="s">
        <v>3234</v>
      </c>
    </row>
    <row r="1262" spans="1:19">
      <c r="A1262" s="26">
        <v>84905</v>
      </c>
      <c r="B1262" s="26" t="s">
        <v>87</v>
      </c>
      <c r="C1262" s="26" t="s">
        <v>30</v>
      </c>
      <c r="D1262" s="26" t="s">
        <v>21</v>
      </c>
      <c r="E1262" s="26"/>
      <c r="F1262" s="26" t="s">
        <v>3239</v>
      </c>
      <c r="G1262" s="26"/>
      <c r="H1262" s="26" t="s">
        <v>3232</v>
      </c>
      <c r="I1262" s="26">
        <v>3026</v>
      </c>
      <c r="J1262" s="26" t="s">
        <v>644</v>
      </c>
      <c r="K1262" s="26" t="s">
        <v>366</v>
      </c>
      <c r="L1262" s="26" t="s">
        <v>644</v>
      </c>
      <c r="M1262" s="26" t="s">
        <v>38</v>
      </c>
      <c r="N1262" s="26" t="s">
        <v>3232</v>
      </c>
      <c r="O1262" s="26" t="s">
        <v>4687</v>
      </c>
      <c r="P1262" s="26"/>
      <c r="Q1262" s="26"/>
      <c r="R1262" s="26">
        <v>42</v>
      </c>
      <c r="S1262" s="26" t="s">
        <v>3234</v>
      </c>
    </row>
    <row r="1263" spans="1:19">
      <c r="A1263" s="26">
        <v>84906</v>
      </c>
      <c r="B1263" s="26" t="s">
        <v>87</v>
      </c>
      <c r="C1263" s="26" t="s">
        <v>30</v>
      </c>
      <c r="D1263" s="26" t="s">
        <v>21</v>
      </c>
      <c r="E1263" s="26"/>
      <c r="F1263" s="26" t="s">
        <v>3240</v>
      </c>
      <c r="G1263" s="26"/>
      <c r="H1263" s="26" t="s">
        <v>3232</v>
      </c>
      <c r="I1263" s="26">
        <v>3010</v>
      </c>
      <c r="J1263" s="26" t="s">
        <v>644</v>
      </c>
      <c r="K1263" s="26" t="s">
        <v>366</v>
      </c>
      <c r="L1263" s="26" t="s">
        <v>644</v>
      </c>
      <c r="M1263" s="26" t="s">
        <v>38</v>
      </c>
      <c r="N1263" s="26" t="s">
        <v>3232</v>
      </c>
      <c r="O1263" s="26" t="s">
        <v>4687</v>
      </c>
      <c r="P1263" s="26"/>
      <c r="Q1263" s="26"/>
      <c r="R1263" s="26">
        <v>38</v>
      </c>
      <c r="S1263" s="26" t="s">
        <v>3234</v>
      </c>
    </row>
    <row r="1264" spans="1:19">
      <c r="A1264" s="26">
        <v>84907</v>
      </c>
      <c r="B1264" s="26" t="s">
        <v>87</v>
      </c>
      <c r="C1264" s="26" t="s">
        <v>30</v>
      </c>
      <c r="D1264" s="26" t="s">
        <v>21</v>
      </c>
      <c r="E1264" s="26"/>
      <c r="F1264" s="26" t="s">
        <v>3241</v>
      </c>
      <c r="G1264" s="26"/>
      <c r="H1264" s="26" t="s">
        <v>3232</v>
      </c>
      <c r="I1264" s="26">
        <v>3012</v>
      </c>
      <c r="J1264" s="26" t="s">
        <v>644</v>
      </c>
      <c r="K1264" s="26" t="s">
        <v>366</v>
      </c>
      <c r="L1264" s="26" t="s">
        <v>644</v>
      </c>
      <c r="M1264" s="26" t="s">
        <v>38</v>
      </c>
      <c r="N1264" s="26" t="s">
        <v>3232</v>
      </c>
      <c r="O1264" s="26" t="s">
        <v>4687</v>
      </c>
      <c r="P1264" s="26"/>
      <c r="Q1264" s="26"/>
      <c r="R1264" s="26">
        <v>19</v>
      </c>
      <c r="S1264" s="26" t="s">
        <v>3234</v>
      </c>
    </row>
    <row r="1265" spans="1:19">
      <c r="A1265" s="26">
        <v>84901</v>
      </c>
      <c r="B1265" s="26" t="s">
        <v>87</v>
      </c>
      <c r="C1265" s="26" t="s">
        <v>30</v>
      </c>
      <c r="D1265" s="26" t="s">
        <v>21</v>
      </c>
      <c r="E1265" s="26"/>
      <c r="F1265" s="26" t="s">
        <v>3235</v>
      </c>
      <c r="G1265" s="26"/>
      <c r="H1265" s="26" t="s">
        <v>3232</v>
      </c>
      <c r="I1265" s="26">
        <v>1038</v>
      </c>
      <c r="J1265" s="26" t="s">
        <v>788</v>
      </c>
      <c r="K1265" s="26"/>
      <c r="L1265" s="26"/>
      <c r="M1265" s="26" t="s">
        <v>38</v>
      </c>
      <c r="N1265" s="26" t="s">
        <v>3232</v>
      </c>
      <c r="O1265" s="26" t="s">
        <v>4687</v>
      </c>
      <c r="P1265" s="26"/>
      <c r="Q1265" s="26"/>
      <c r="R1265" s="26">
        <v>49.9</v>
      </c>
      <c r="S1265" s="26" t="s">
        <v>3234</v>
      </c>
    </row>
    <row r="1266" spans="1:19" ht="29.25">
      <c r="A1266" s="26">
        <v>84909</v>
      </c>
      <c r="B1266" s="26" t="s">
        <v>87</v>
      </c>
      <c r="C1266" s="26" t="s">
        <v>30</v>
      </c>
      <c r="D1266" s="26" t="s">
        <v>21</v>
      </c>
      <c r="E1266" s="26"/>
      <c r="F1266" s="26" t="s">
        <v>3243</v>
      </c>
      <c r="G1266" s="26"/>
      <c r="H1266" s="26" t="s">
        <v>3232</v>
      </c>
      <c r="I1266" s="26">
        <v>3039</v>
      </c>
      <c r="J1266" s="26" t="s">
        <v>644</v>
      </c>
      <c r="K1266" s="26" t="s">
        <v>366</v>
      </c>
      <c r="L1266" s="26" t="s">
        <v>644</v>
      </c>
      <c r="M1266" s="26" t="s">
        <v>38</v>
      </c>
      <c r="N1266" s="26" t="s">
        <v>3232</v>
      </c>
      <c r="O1266" s="26" t="s">
        <v>4687</v>
      </c>
      <c r="P1266" s="26"/>
      <c r="Q1266" s="26"/>
      <c r="R1266" s="26">
        <v>10</v>
      </c>
      <c r="S1266" s="26" t="s">
        <v>3234</v>
      </c>
    </row>
    <row r="1267" spans="1:19" ht="29.25">
      <c r="A1267" s="26">
        <v>84910</v>
      </c>
      <c r="B1267" s="26" t="s">
        <v>87</v>
      </c>
      <c r="C1267" s="26" t="s">
        <v>30</v>
      </c>
      <c r="D1267" s="26" t="s">
        <v>21</v>
      </c>
      <c r="E1267" s="26"/>
      <c r="F1267" s="26" t="s">
        <v>3244</v>
      </c>
      <c r="G1267" s="26"/>
      <c r="H1267" s="26" t="s">
        <v>3232</v>
      </c>
      <c r="I1267" s="26">
        <v>3028</v>
      </c>
      <c r="J1267" s="26" t="s">
        <v>644</v>
      </c>
      <c r="K1267" s="26" t="s">
        <v>366</v>
      </c>
      <c r="L1267" s="26" t="s">
        <v>644</v>
      </c>
      <c r="M1267" s="26" t="s">
        <v>38</v>
      </c>
      <c r="N1267" s="26" t="s">
        <v>3232</v>
      </c>
      <c r="O1267" s="26" t="s">
        <v>4687</v>
      </c>
      <c r="P1267" s="26"/>
      <c r="Q1267" s="26"/>
      <c r="R1267" s="26">
        <v>20</v>
      </c>
      <c r="S1267" s="26" t="s">
        <v>3234</v>
      </c>
    </row>
    <row r="1268" spans="1:19" ht="29.25">
      <c r="A1268" s="26">
        <v>84911</v>
      </c>
      <c r="B1268" s="26" t="s">
        <v>87</v>
      </c>
      <c r="C1268" s="26" t="s">
        <v>30</v>
      </c>
      <c r="D1268" s="26" t="s">
        <v>21</v>
      </c>
      <c r="E1268" s="26"/>
      <c r="F1268" s="26" t="s">
        <v>3245</v>
      </c>
      <c r="G1268" s="26"/>
      <c r="H1268" s="26" t="s">
        <v>3232</v>
      </c>
      <c r="I1268" s="26">
        <v>3025</v>
      </c>
      <c r="J1268" s="26" t="s">
        <v>644</v>
      </c>
      <c r="K1268" s="26" t="s">
        <v>366</v>
      </c>
      <c r="L1268" s="26" t="s">
        <v>644</v>
      </c>
      <c r="M1268" s="26" t="s">
        <v>38</v>
      </c>
      <c r="N1268" s="26" t="s">
        <v>3232</v>
      </c>
      <c r="O1268" s="26" t="s">
        <v>4687</v>
      </c>
      <c r="P1268" s="26"/>
      <c r="Q1268" s="26"/>
      <c r="R1268" s="26">
        <v>49.8</v>
      </c>
      <c r="S1268" s="26" t="s">
        <v>3234</v>
      </c>
    </row>
    <row r="1269" spans="1:19" ht="29.25">
      <c r="A1269" s="26">
        <v>84912</v>
      </c>
      <c r="B1269" s="26" t="s">
        <v>87</v>
      </c>
      <c r="C1269" s="26" t="s">
        <v>30</v>
      </c>
      <c r="D1269" s="26" t="s">
        <v>21</v>
      </c>
      <c r="E1269" s="26"/>
      <c r="F1269" s="26" t="s">
        <v>3246</v>
      </c>
      <c r="G1269" s="26"/>
      <c r="H1269" s="26" t="s">
        <v>3232</v>
      </c>
      <c r="I1269" s="26">
        <v>3021</v>
      </c>
      <c r="J1269" s="26" t="s">
        <v>644</v>
      </c>
      <c r="K1269" s="26" t="s">
        <v>366</v>
      </c>
      <c r="L1269" s="26" t="s">
        <v>644</v>
      </c>
      <c r="M1269" s="26" t="s">
        <v>38</v>
      </c>
      <c r="N1269" s="26" t="s">
        <v>3232</v>
      </c>
      <c r="O1269" s="26" t="s">
        <v>4687</v>
      </c>
      <c r="P1269" s="26"/>
      <c r="Q1269" s="26"/>
      <c r="R1269" s="26">
        <v>37</v>
      </c>
      <c r="S1269" s="26" t="s">
        <v>3234</v>
      </c>
    </row>
    <row r="1270" spans="1:19" ht="29.25">
      <c r="A1270" s="26">
        <v>84913</v>
      </c>
      <c r="B1270" s="26" t="s">
        <v>87</v>
      </c>
      <c r="C1270" s="26" t="s">
        <v>30</v>
      </c>
      <c r="D1270" s="26" t="s">
        <v>21</v>
      </c>
      <c r="E1270" s="26"/>
      <c r="F1270" s="26" t="s">
        <v>3247</v>
      </c>
      <c r="G1270" s="26"/>
      <c r="H1270" s="26" t="s">
        <v>3232</v>
      </c>
      <c r="I1270" s="26">
        <v>3006</v>
      </c>
      <c r="J1270" s="26" t="s">
        <v>644</v>
      </c>
      <c r="K1270" s="26" t="s">
        <v>366</v>
      </c>
      <c r="L1270" s="26" t="s">
        <v>644</v>
      </c>
      <c r="M1270" s="26" t="s">
        <v>38</v>
      </c>
      <c r="N1270" s="26" t="s">
        <v>3232</v>
      </c>
      <c r="O1270" s="26" t="s">
        <v>4687</v>
      </c>
      <c r="P1270" s="26"/>
      <c r="Q1270" s="26"/>
      <c r="R1270" s="26">
        <v>34</v>
      </c>
      <c r="S1270" s="26" t="s">
        <v>3234</v>
      </c>
    </row>
    <row r="1271" spans="1:19">
      <c r="A1271" s="26">
        <v>84908</v>
      </c>
      <c r="B1271" s="26" t="s">
        <v>87</v>
      </c>
      <c r="C1271" s="26" t="s">
        <v>30</v>
      </c>
      <c r="D1271" s="26" t="s">
        <v>21</v>
      </c>
      <c r="E1271" s="26"/>
      <c r="F1271" s="26" t="s">
        <v>3242</v>
      </c>
      <c r="G1271" s="26"/>
      <c r="H1271" s="26" t="s">
        <v>3232</v>
      </c>
      <c r="I1271" s="26">
        <v>3050</v>
      </c>
      <c r="J1271" s="26" t="s">
        <v>644</v>
      </c>
      <c r="K1271" s="26" t="s">
        <v>366</v>
      </c>
      <c r="L1271" s="26" t="s">
        <v>644</v>
      </c>
      <c r="M1271" s="26" t="s">
        <v>38</v>
      </c>
      <c r="N1271" s="26" t="s">
        <v>3232</v>
      </c>
      <c r="O1271" s="26" t="s">
        <v>4687</v>
      </c>
      <c r="P1271" s="26"/>
      <c r="Q1271" s="26"/>
      <c r="R1271" s="26">
        <v>36</v>
      </c>
      <c r="S1271" s="26" t="s">
        <v>3234</v>
      </c>
    </row>
    <row r="1272" spans="1:19">
      <c r="A1272" s="28">
        <v>51800</v>
      </c>
      <c r="B1272" s="28" t="s">
        <v>87</v>
      </c>
      <c r="C1272" s="28" t="s">
        <v>30</v>
      </c>
      <c r="D1272" s="28" t="s">
        <v>21</v>
      </c>
      <c r="E1272" s="28" t="s">
        <v>956</v>
      </c>
      <c r="F1272" s="28" t="s">
        <v>957</v>
      </c>
      <c r="G1272" s="28">
        <v>5</v>
      </c>
      <c r="H1272" s="28" t="s">
        <v>24</v>
      </c>
      <c r="I1272" s="28" t="s">
        <v>958</v>
      </c>
      <c r="J1272" s="28" t="s">
        <v>25</v>
      </c>
      <c r="K1272" s="28" t="s">
        <v>25</v>
      </c>
      <c r="L1272" s="28" t="s">
        <v>26</v>
      </c>
      <c r="M1272" s="28" t="s">
        <v>27</v>
      </c>
      <c r="N1272" s="28" t="s">
        <v>28</v>
      </c>
      <c r="O1272" s="29">
        <v>30574</v>
      </c>
      <c r="P1272" s="28"/>
      <c r="Q1272" s="28"/>
      <c r="R1272" s="28">
        <v>5</v>
      </c>
      <c r="S1272" s="28" t="s">
        <v>29</v>
      </c>
    </row>
    <row r="1273" spans="1:19" ht="29.25">
      <c r="A1273" s="28">
        <v>52000</v>
      </c>
      <c r="B1273" s="28" t="s">
        <v>87</v>
      </c>
      <c r="C1273" s="28" t="s">
        <v>30</v>
      </c>
      <c r="D1273" s="28" t="s">
        <v>21</v>
      </c>
      <c r="E1273" s="28" t="s">
        <v>1699</v>
      </c>
      <c r="F1273" s="28" t="s">
        <v>1700</v>
      </c>
      <c r="G1273" s="28">
        <v>21.25</v>
      </c>
      <c r="H1273" s="28" t="s">
        <v>24</v>
      </c>
      <c r="I1273" s="28" t="s">
        <v>1701</v>
      </c>
      <c r="J1273" s="28" t="s">
        <v>781</v>
      </c>
      <c r="K1273" s="28" t="s">
        <v>781</v>
      </c>
      <c r="L1273" s="28" t="s">
        <v>781</v>
      </c>
      <c r="M1273" s="28" t="s">
        <v>27</v>
      </c>
      <c r="N1273" s="28" t="s">
        <v>28</v>
      </c>
      <c r="O1273" s="29">
        <v>32308</v>
      </c>
      <c r="P1273" s="28"/>
      <c r="Q1273" s="28"/>
      <c r="R1273" s="28">
        <v>21.25</v>
      </c>
      <c r="S1273" s="28" t="s">
        <v>29</v>
      </c>
    </row>
    <row r="1274" spans="1:19" ht="29.25">
      <c r="A1274" s="28">
        <v>52100</v>
      </c>
      <c r="B1274" s="28" t="s">
        <v>87</v>
      </c>
      <c r="C1274" s="28" t="s">
        <v>30</v>
      </c>
      <c r="D1274" s="28" t="s">
        <v>21</v>
      </c>
      <c r="E1274" s="28" t="s">
        <v>1487</v>
      </c>
      <c r="F1274" s="28" t="s">
        <v>1488</v>
      </c>
      <c r="G1274" s="28">
        <v>20.7</v>
      </c>
      <c r="H1274" s="28" t="s">
        <v>24</v>
      </c>
      <c r="I1274" s="28" t="s">
        <v>1489</v>
      </c>
      <c r="J1274" s="28" t="s">
        <v>694</v>
      </c>
      <c r="K1274" s="28" t="s">
        <v>366</v>
      </c>
      <c r="L1274" s="28" t="s">
        <v>928</v>
      </c>
      <c r="M1274" s="28" t="s">
        <v>27</v>
      </c>
      <c r="N1274" s="28" t="s">
        <v>28</v>
      </c>
      <c r="O1274" s="29">
        <v>31778</v>
      </c>
      <c r="P1274" s="28"/>
      <c r="Q1274" s="28"/>
      <c r="R1274" s="28">
        <v>20.7</v>
      </c>
      <c r="S1274" s="28" t="s">
        <v>29</v>
      </c>
    </row>
    <row r="1275" spans="1:19" ht="29.25">
      <c r="A1275" s="24">
        <v>52500</v>
      </c>
      <c r="B1275" s="24" t="s">
        <v>87</v>
      </c>
      <c r="C1275" s="24" t="s">
        <v>30</v>
      </c>
      <c r="D1275" s="24" t="s">
        <v>30</v>
      </c>
      <c r="E1275" s="24" t="s">
        <v>3248</v>
      </c>
      <c r="F1275" s="24" t="s">
        <v>3249</v>
      </c>
      <c r="G1275" s="24">
        <v>0.3</v>
      </c>
      <c r="H1275" s="24" t="s">
        <v>5</v>
      </c>
      <c r="I1275" s="24" t="s">
        <v>90</v>
      </c>
      <c r="J1275" s="24" t="s">
        <v>90</v>
      </c>
      <c r="K1275" s="24" t="s">
        <v>90</v>
      </c>
      <c r="L1275" s="24" t="s">
        <v>90</v>
      </c>
      <c r="M1275" s="24" t="s">
        <v>38</v>
      </c>
      <c r="N1275" s="24" t="s">
        <v>39</v>
      </c>
      <c r="O1275" s="24" t="s">
        <v>4687</v>
      </c>
      <c r="P1275" s="24"/>
      <c r="Q1275" s="24"/>
      <c r="R1275" s="24">
        <v>0.27</v>
      </c>
      <c r="S1275" s="24" t="s">
        <v>29</v>
      </c>
    </row>
    <row r="1276" spans="1:19" ht="29.25">
      <c r="A1276" s="28">
        <v>52300</v>
      </c>
      <c r="B1276" s="28" t="s">
        <v>87</v>
      </c>
      <c r="C1276" s="28" t="s">
        <v>30</v>
      </c>
      <c r="D1276" s="28" t="s">
        <v>21</v>
      </c>
      <c r="E1276" s="28"/>
      <c r="F1276" s="28" t="s">
        <v>3250</v>
      </c>
      <c r="G1276" s="28">
        <v>0</v>
      </c>
      <c r="H1276" s="28" t="s">
        <v>143</v>
      </c>
      <c r="I1276" s="28">
        <v>480</v>
      </c>
      <c r="J1276" s="28" t="s">
        <v>788</v>
      </c>
      <c r="K1276" s="28"/>
      <c r="L1276" s="28" t="s">
        <v>888</v>
      </c>
      <c r="M1276" s="28" t="s">
        <v>38</v>
      </c>
      <c r="N1276" s="28" t="s">
        <v>144</v>
      </c>
      <c r="O1276" s="28" t="s">
        <v>4687</v>
      </c>
      <c r="P1276" s="28" t="s">
        <v>892</v>
      </c>
      <c r="Q1276" s="28"/>
      <c r="R1276" s="28">
        <v>0.3</v>
      </c>
      <c r="S1276" s="28" t="s">
        <v>29</v>
      </c>
    </row>
    <row r="1277" spans="1:19">
      <c r="A1277" s="28">
        <v>52700</v>
      </c>
      <c r="B1277" s="28" t="s">
        <v>87</v>
      </c>
      <c r="C1277" s="28" t="s">
        <v>30</v>
      </c>
      <c r="D1277" s="28" t="s">
        <v>21</v>
      </c>
      <c r="E1277" s="28" t="s">
        <v>1786</v>
      </c>
      <c r="F1277" s="28" t="s">
        <v>1787</v>
      </c>
      <c r="G1277" s="28">
        <v>52.4</v>
      </c>
      <c r="H1277" s="28" t="s">
        <v>24</v>
      </c>
      <c r="I1277" s="28" t="s">
        <v>1788</v>
      </c>
      <c r="J1277" s="28" t="s">
        <v>694</v>
      </c>
      <c r="K1277" s="28" t="s">
        <v>580</v>
      </c>
      <c r="L1277" s="28" t="s">
        <v>240</v>
      </c>
      <c r="M1277" s="28" t="s">
        <v>193</v>
      </c>
      <c r="N1277" s="28" t="s">
        <v>194</v>
      </c>
      <c r="O1277" s="29">
        <v>32515</v>
      </c>
      <c r="P1277" s="28"/>
      <c r="Q1277" s="28"/>
      <c r="R1277" s="28">
        <v>60</v>
      </c>
      <c r="S1277" s="28" t="s">
        <v>29</v>
      </c>
    </row>
    <row r="1278" spans="1:19" ht="29.25">
      <c r="A1278" s="28">
        <v>52800</v>
      </c>
      <c r="B1278" s="28" t="s">
        <v>87</v>
      </c>
      <c r="C1278" s="28" t="s">
        <v>30</v>
      </c>
      <c r="D1278" s="28" t="s">
        <v>21</v>
      </c>
      <c r="E1278" s="28" t="s">
        <v>1836</v>
      </c>
      <c r="F1278" s="28" t="s">
        <v>1837</v>
      </c>
      <c r="G1278" s="28">
        <v>18.399999999999999</v>
      </c>
      <c r="H1278" s="28" t="s">
        <v>24</v>
      </c>
      <c r="I1278" s="28" t="s">
        <v>1838</v>
      </c>
      <c r="J1278" s="28" t="s">
        <v>25</v>
      </c>
      <c r="K1278" s="28" t="s">
        <v>25</v>
      </c>
      <c r="L1278" s="28" t="s">
        <v>26</v>
      </c>
      <c r="M1278" s="28" t="s">
        <v>193</v>
      </c>
      <c r="N1278" s="28" t="s">
        <v>194</v>
      </c>
      <c r="O1278" s="29">
        <v>32646</v>
      </c>
      <c r="P1278" s="28"/>
      <c r="Q1278" s="28"/>
      <c r="R1278" s="28">
        <v>18.399999999999999</v>
      </c>
      <c r="S1278" s="28" t="s">
        <v>29</v>
      </c>
    </row>
    <row r="1279" spans="1:19">
      <c r="A1279" s="28">
        <v>84400</v>
      </c>
      <c r="B1279" s="28" t="s">
        <v>87</v>
      </c>
      <c r="C1279" s="28" t="s">
        <v>21</v>
      </c>
      <c r="D1279" s="28" t="s">
        <v>21</v>
      </c>
      <c r="E1279" s="28"/>
      <c r="F1279" s="28" t="s">
        <v>3251</v>
      </c>
      <c r="G1279" s="28">
        <v>0</v>
      </c>
      <c r="H1279" s="28" t="s">
        <v>24</v>
      </c>
      <c r="I1279" s="28" t="s">
        <v>3252</v>
      </c>
      <c r="J1279" s="28" t="s">
        <v>694</v>
      </c>
      <c r="K1279" s="28" t="s">
        <v>580</v>
      </c>
      <c r="L1279" s="28" t="s">
        <v>240</v>
      </c>
      <c r="M1279" s="28" t="s">
        <v>193</v>
      </c>
      <c r="N1279" s="28" t="s">
        <v>194</v>
      </c>
      <c r="O1279" s="28" t="s">
        <v>4687</v>
      </c>
      <c r="P1279" s="28" t="s">
        <v>1887</v>
      </c>
      <c r="Q1279" s="28"/>
      <c r="R1279" s="28">
        <v>4.5</v>
      </c>
      <c r="S1279" s="28" t="s">
        <v>29</v>
      </c>
    </row>
    <row r="1280" spans="1:19" ht="29.25">
      <c r="A1280" s="28">
        <v>53100</v>
      </c>
      <c r="B1280" s="28" t="s">
        <v>87</v>
      </c>
      <c r="C1280" s="28" t="s">
        <v>30</v>
      </c>
      <c r="D1280" s="28" t="s">
        <v>21</v>
      </c>
      <c r="E1280" s="28" t="s">
        <v>1309</v>
      </c>
      <c r="F1280" s="28" t="s">
        <v>1310</v>
      </c>
      <c r="G1280" s="28">
        <v>53.22</v>
      </c>
      <c r="H1280" s="28" t="s">
        <v>5</v>
      </c>
      <c r="I1280" s="28">
        <v>1090</v>
      </c>
      <c r="J1280" s="28" t="s">
        <v>788</v>
      </c>
      <c r="K1280" s="28" t="s">
        <v>366</v>
      </c>
      <c r="L1280" s="28" t="s">
        <v>888</v>
      </c>
      <c r="M1280" s="28" t="s">
        <v>38</v>
      </c>
      <c r="N1280" s="28" t="s">
        <v>39</v>
      </c>
      <c r="O1280" s="29">
        <v>31413</v>
      </c>
      <c r="P1280" s="28"/>
      <c r="Q1280" s="28"/>
      <c r="R1280" s="28">
        <v>55.69</v>
      </c>
      <c r="S1280" s="28" t="s">
        <v>29</v>
      </c>
    </row>
    <row r="1281" spans="1:19" ht="29.25">
      <c r="A1281" s="24">
        <v>85100</v>
      </c>
      <c r="B1281" s="24" t="s">
        <v>87</v>
      </c>
      <c r="C1281" s="24" t="s">
        <v>30</v>
      </c>
      <c r="D1281" s="24" t="s">
        <v>30</v>
      </c>
      <c r="E1281" s="24" t="s">
        <v>3253</v>
      </c>
      <c r="F1281" s="24" t="s">
        <v>3254</v>
      </c>
      <c r="G1281" s="24">
        <v>37.92</v>
      </c>
      <c r="H1281" s="24" t="s">
        <v>5</v>
      </c>
      <c r="I1281" s="24"/>
      <c r="J1281" s="24" t="s">
        <v>90</v>
      </c>
      <c r="K1281" s="24"/>
      <c r="L1281" s="24"/>
      <c r="M1281" s="24" t="s">
        <v>38</v>
      </c>
      <c r="N1281" s="24" t="s">
        <v>3255</v>
      </c>
      <c r="O1281" s="24" t="s">
        <v>4687</v>
      </c>
      <c r="P1281" s="24" t="s">
        <v>3233</v>
      </c>
      <c r="Q1281" s="24"/>
      <c r="R1281" s="24">
        <v>28.85</v>
      </c>
      <c r="S1281" s="24" t="s">
        <v>3234</v>
      </c>
    </row>
    <row r="1282" spans="1:19" ht="29.25">
      <c r="A1282" s="26">
        <v>85101</v>
      </c>
      <c r="B1282" s="26" t="s">
        <v>87</v>
      </c>
      <c r="C1282" s="26" t="s">
        <v>30</v>
      </c>
      <c r="D1282" s="26" t="s">
        <v>21</v>
      </c>
      <c r="E1282" s="26"/>
      <c r="F1282" s="26" t="s">
        <v>3256</v>
      </c>
      <c r="G1282" s="26"/>
      <c r="H1282" s="26" t="s">
        <v>5</v>
      </c>
      <c r="I1282" s="26">
        <v>1018</v>
      </c>
      <c r="J1282" s="26" t="s">
        <v>788</v>
      </c>
      <c r="K1282" s="26"/>
      <c r="L1282" s="26"/>
      <c r="M1282" s="26" t="s">
        <v>38</v>
      </c>
      <c r="N1282" s="26" t="s">
        <v>39</v>
      </c>
      <c r="O1282" s="26" t="s">
        <v>4687</v>
      </c>
      <c r="P1282" s="26"/>
      <c r="Q1282" s="26"/>
      <c r="R1282" s="26">
        <v>12</v>
      </c>
      <c r="S1282" s="26" t="s">
        <v>3234</v>
      </c>
    </row>
    <row r="1283" spans="1:19" ht="29.25">
      <c r="A1283" s="26">
        <v>85103</v>
      </c>
      <c r="B1283" s="26" t="s">
        <v>87</v>
      </c>
      <c r="C1283" s="26" t="s">
        <v>30</v>
      </c>
      <c r="D1283" s="26" t="s">
        <v>21</v>
      </c>
      <c r="E1283" s="26"/>
      <c r="F1283" s="26" t="s">
        <v>3258</v>
      </c>
      <c r="G1283" s="26"/>
      <c r="H1283" s="26" t="s">
        <v>5</v>
      </c>
      <c r="I1283" s="26">
        <v>4005</v>
      </c>
      <c r="J1283" s="26" t="s">
        <v>25</v>
      </c>
      <c r="K1283" s="26" t="s">
        <v>25</v>
      </c>
      <c r="L1283" s="26" t="s">
        <v>26</v>
      </c>
      <c r="M1283" s="26" t="s">
        <v>38</v>
      </c>
      <c r="N1283" s="26" t="s">
        <v>39</v>
      </c>
      <c r="O1283" s="26" t="s">
        <v>4687</v>
      </c>
      <c r="P1283" s="26"/>
      <c r="Q1283" s="26"/>
      <c r="R1283" s="26">
        <v>10.1</v>
      </c>
      <c r="S1283" s="26" t="s">
        <v>3234</v>
      </c>
    </row>
    <row r="1284" spans="1:19" ht="29.25">
      <c r="A1284" s="26">
        <v>85102</v>
      </c>
      <c r="B1284" s="26" t="s">
        <v>87</v>
      </c>
      <c r="C1284" s="26" t="s">
        <v>30</v>
      </c>
      <c r="D1284" s="26" t="s">
        <v>21</v>
      </c>
      <c r="E1284" s="26"/>
      <c r="F1284" s="26" t="s">
        <v>3257</v>
      </c>
      <c r="G1284" s="26"/>
      <c r="H1284" s="26" t="s">
        <v>5</v>
      </c>
      <c r="I1284" s="26">
        <v>1022</v>
      </c>
      <c r="J1284" s="26" t="s">
        <v>788</v>
      </c>
      <c r="K1284" s="26"/>
      <c r="L1284" s="26"/>
      <c r="M1284" s="26" t="s">
        <v>38</v>
      </c>
      <c r="N1284" s="26" t="s">
        <v>39</v>
      </c>
      <c r="O1284" s="26" t="s">
        <v>4687</v>
      </c>
      <c r="P1284" s="26"/>
      <c r="Q1284" s="26"/>
      <c r="R1284" s="26">
        <v>12</v>
      </c>
      <c r="S1284" s="26" t="s">
        <v>3234</v>
      </c>
    </row>
    <row r="1285" spans="1:19" ht="29.25">
      <c r="A1285" s="24">
        <v>53300</v>
      </c>
      <c r="B1285" s="24" t="s">
        <v>87</v>
      </c>
      <c r="C1285" s="24" t="s">
        <v>30</v>
      </c>
      <c r="D1285" s="24" t="s">
        <v>30</v>
      </c>
      <c r="E1285" s="24" t="s">
        <v>1644</v>
      </c>
      <c r="F1285" s="24" t="s">
        <v>1645</v>
      </c>
      <c r="G1285" s="24">
        <v>14.64</v>
      </c>
      <c r="H1285" s="24" t="s">
        <v>5</v>
      </c>
      <c r="I1285" s="24" t="s">
        <v>90</v>
      </c>
      <c r="J1285" s="24" t="s">
        <v>90</v>
      </c>
      <c r="K1285" s="24"/>
      <c r="L1285" s="24" t="s">
        <v>888</v>
      </c>
      <c r="M1285" s="24" t="s">
        <v>38</v>
      </c>
      <c r="N1285" s="24" t="s">
        <v>39</v>
      </c>
      <c r="O1285" s="25">
        <v>32143</v>
      </c>
      <c r="P1285" s="24"/>
      <c r="Q1285" s="24"/>
      <c r="R1285" s="24">
        <v>12.76</v>
      </c>
      <c r="S1285" s="24" t="s">
        <v>29</v>
      </c>
    </row>
    <row r="1286" spans="1:19" ht="29.25">
      <c r="A1286" s="26">
        <v>53302</v>
      </c>
      <c r="B1286" s="26" t="s">
        <v>87</v>
      </c>
      <c r="C1286" s="26" t="s">
        <v>30</v>
      </c>
      <c r="D1286" s="26" t="s">
        <v>21</v>
      </c>
      <c r="E1286" s="26"/>
      <c r="F1286" s="26" t="s">
        <v>1984</v>
      </c>
      <c r="G1286" s="26"/>
      <c r="H1286" s="26" t="s">
        <v>5</v>
      </c>
      <c r="I1286" s="26">
        <v>2396</v>
      </c>
      <c r="J1286" s="26" t="s">
        <v>694</v>
      </c>
      <c r="K1286" s="26"/>
      <c r="L1286" s="26"/>
      <c r="M1286" s="26" t="s">
        <v>38</v>
      </c>
      <c r="N1286" s="26" t="s">
        <v>39</v>
      </c>
      <c r="O1286" s="27">
        <v>32947</v>
      </c>
      <c r="P1286" s="26"/>
      <c r="Q1286" s="26"/>
      <c r="R1286" s="26">
        <v>0.06</v>
      </c>
      <c r="S1286" s="26" t="s">
        <v>29</v>
      </c>
    </row>
    <row r="1287" spans="1:19" ht="29.25">
      <c r="A1287" s="26">
        <v>53301</v>
      </c>
      <c r="B1287" s="26" t="s">
        <v>87</v>
      </c>
      <c r="C1287" s="26" t="s">
        <v>30</v>
      </c>
      <c r="D1287" s="26" t="s">
        <v>21</v>
      </c>
      <c r="E1287" s="26"/>
      <c r="F1287" s="26" t="s">
        <v>1686</v>
      </c>
      <c r="G1287" s="26"/>
      <c r="H1287" s="26" t="s">
        <v>5</v>
      </c>
      <c r="I1287" s="26">
        <v>1082</v>
      </c>
      <c r="J1287" s="26" t="s">
        <v>788</v>
      </c>
      <c r="K1287" s="26"/>
      <c r="L1287" s="26"/>
      <c r="M1287" s="26" t="s">
        <v>38</v>
      </c>
      <c r="N1287" s="26" t="s">
        <v>39</v>
      </c>
      <c r="O1287" s="27">
        <v>32283</v>
      </c>
      <c r="P1287" s="26"/>
      <c r="Q1287" s="26"/>
      <c r="R1287" s="26">
        <v>7</v>
      </c>
      <c r="S1287" s="26" t="s">
        <v>29</v>
      </c>
    </row>
    <row r="1288" spans="1:19" ht="29.25">
      <c r="A1288" s="24">
        <v>53400</v>
      </c>
      <c r="B1288" s="24" t="s">
        <v>87</v>
      </c>
      <c r="C1288" s="24" t="s">
        <v>30</v>
      </c>
      <c r="D1288" s="24" t="s">
        <v>30</v>
      </c>
      <c r="E1288" s="24" t="s">
        <v>2129</v>
      </c>
      <c r="F1288" s="24" t="s">
        <v>2130</v>
      </c>
      <c r="G1288" s="24">
        <v>17.5</v>
      </c>
      <c r="H1288" s="24" t="s">
        <v>5</v>
      </c>
      <c r="I1288" s="24" t="s">
        <v>90</v>
      </c>
      <c r="J1288" s="24" t="s">
        <v>90</v>
      </c>
      <c r="K1288" s="24"/>
      <c r="L1288" s="24" t="s">
        <v>888</v>
      </c>
      <c r="M1288" s="24" t="s">
        <v>38</v>
      </c>
      <c r="N1288" s="24" t="s">
        <v>39</v>
      </c>
      <c r="O1288" s="25">
        <v>33970</v>
      </c>
      <c r="P1288" s="24"/>
      <c r="Q1288" s="24"/>
      <c r="R1288" s="24">
        <v>17.41</v>
      </c>
      <c r="S1288" s="24" t="s">
        <v>29</v>
      </c>
    </row>
    <row r="1289" spans="1:19" ht="29.25">
      <c r="A1289" s="26">
        <v>53401</v>
      </c>
      <c r="B1289" s="26" t="s">
        <v>87</v>
      </c>
      <c r="C1289" s="26" t="s">
        <v>30</v>
      </c>
      <c r="D1289" s="26" t="s">
        <v>21</v>
      </c>
      <c r="E1289" s="26"/>
      <c r="F1289" s="26" t="s">
        <v>2193</v>
      </c>
      <c r="G1289" s="26"/>
      <c r="H1289" s="26" t="s">
        <v>5</v>
      </c>
      <c r="I1289" s="26">
        <v>2475</v>
      </c>
      <c r="J1289" s="26" t="s">
        <v>694</v>
      </c>
      <c r="K1289" s="26"/>
      <c r="L1289" s="26"/>
      <c r="M1289" s="26" t="s">
        <v>38</v>
      </c>
      <c r="N1289" s="26" t="s">
        <v>39</v>
      </c>
      <c r="O1289" s="27">
        <v>34899</v>
      </c>
      <c r="P1289" s="26"/>
      <c r="Q1289" s="26"/>
      <c r="R1289" s="26">
        <v>2.75</v>
      </c>
      <c r="S1289" s="26" t="s">
        <v>29</v>
      </c>
    </row>
    <row r="1290" spans="1:19">
      <c r="A1290" s="26">
        <v>53403</v>
      </c>
      <c r="B1290" s="26" t="s">
        <v>87</v>
      </c>
      <c r="C1290" s="26" t="s">
        <v>30</v>
      </c>
      <c r="D1290" s="26" t="s">
        <v>21</v>
      </c>
      <c r="E1290" s="26"/>
      <c r="F1290" s="26" t="s">
        <v>2144</v>
      </c>
      <c r="G1290" s="26"/>
      <c r="H1290" s="26" t="s">
        <v>5</v>
      </c>
      <c r="I1290" s="26">
        <v>2441</v>
      </c>
      <c r="J1290" s="26" t="s">
        <v>694</v>
      </c>
      <c r="K1290" s="26"/>
      <c r="L1290" s="26"/>
      <c r="M1290" s="26" t="s">
        <v>38</v>
      </c>
      <c r="N1290" s="26" t="s">
        <v>39</v>
      </c>
      <c r="O1290" s="27">
        <v>34129</v>
      </c>
      <c r="P1290" s="26"/>
      <c r="Q1290" s="26"/>
      <c r="R1290" s="26">
        <v>0.35</v>
      </c>
      <c r="S1290" s="26" t="s">
        <v>29</v>
      </c>
    </row>
    <row r="1291" spans="1:19" ht="29.25">
      <c r="A1291" s="26">
        <v>53402</v>
      </c>
      <c r="B1291" s="26" t="s">
        <v>87</v>
      </c>
      <c r="C1291" s="26" t="s">
        <v>30</v>
      </c>
      <c r="D1291" s="26" t="s">
        <v>21</v>
      </c>
      <c r="E1291" s="26"/>
      <c r="F1291" s="26" t="s">
        <v>1434</v>
      </c>
      <c r="G1291" s="26"/>
      <c r="H1291" s="26" t="s">
        <v>5</v>
      </c>
      <c r="I1291" s="26">
        <v>1026</v>
      </c>
      <c r="J1291" s="26" t="s">
        <v>788</v>
      </c>
      <c r="K1291" s="26"/>
      <c r="L1291" s="26"/>
      <c r="M1291" s="26" t="s">
        <v>38</v>
      </c>
      <c r="N1291" s="26" t="s">
        <v>39</v>
      </c>
      <c r="O1291" s="27">
        <v>31729</v>
      </c>
      <c r="P1291" s="26"/>
      <c r="Q1291" s="26"/>
      <c r="R1291" s="26">
        <v>10.5</v>
      </c>
      <c r="S1291" s="26" t="s">
        <v>29</v>
      </c>
    </row>
    <row r="1292" spans="1:19" ht="43.5">
      <c r="A1292" s="24">
        <v>92200</v>
      </c>
      <c r="B1292" s="24" t="s">
        <v>87</v>
      </c>
      <c r="C1292" s="24" t="s">
        <v>30</v>
      </c>
      <c r="D1292" s="24" t="s">
        <v>30</v>
      </c>
      <c r="E1292" s="24" t="s">
        <v>2768</v>
      </c>
      <c r="F1292" s="24" t="s">
        <v>2769</v>
      </c>
      <c r="G1292" s="24">
        <v>40.65</v>
      </c>
      <c r="H1292" s="24" t="s">
        <v>24</v>
      </c>
      <c r="I1292" s="24" t="s">
        <v>2770</v>
      </c>
      <c r="J1292" s="24" t="s">
        <v>365</v>
      </c>
      <c r="K1292" s="24" t="s">
        <v>366</v>
      </c>
      <c r="L1292" s="24" t="s">
        <v>928</v>
      </c>
      <c r="M1292" s="24" t="s">
        <v>27</v>
      </c>
      <c r="N1292" s="24" t="s">
        <v>28</v>
      </c>
      <c r="O1292" s="25">
        <v>38687</v>
      </c>
      <c r="P1292" s="24" t="s">
        <v>2771</v>
      </c>
      <c r="Q1292" s="24"/>
      <c r="R1292" s="24">
        <v>40.65</v>
      </c>
      <c r="S1292" s="24" t="s">
        <v>29</v>
      </c>
    </row>
    <row r="1293" spans="1:19" ht="43.5">
      <c r="A1293" s="26">
        <v>50600</v>
      </c>
      <c r="B1293" s="26" t="s">
        <v>87</v>
      </c>
      <c r="C1293" s="26" t="s">
        <v>30</v>
      </c>
      <c r="D1293" s="26" t="s">
        <v>21</v>
      </c>
      <c r="E1293" s="26" t="s">
        <v>1862</v>
      </c>
      <c r="F1293" s="26" t="s">
        <v>1863</v>
      </c>
      <c r="G1293" s="26">
        <v>36.799999999999997</v>
      </c>
      <c r="H1293" s="26" t="s">
        <v>24</v>
      </c>
      <c r="I1293" s="26" t="s">
        <v>1864</v>
      </c>
      <c r="J1293" s="26" t="s">
        <v>788</v>
      </c>
      <c r="K1293" s="26" t="s">
        <v>366</v>
      </c>
      <c r="L1293" s="26" t="s">
        <v>789</v>
      </c>
      <c r="M1293" s="26" t="s">
        <v>27</v>
      </c>
      <c r="N1293" s="26" t="s">
        <v>790</v>
      </c>
      <c r="O1293" s="27">
        <v>32715</v>
      </c>
      <c r="P1293" s="26" t="s">
        <v>791</v>
      </c>
      <c r="Q1293" s="26"/>
      <c r="R1293" s="26">
        <v>36.799999999999997</v>
      </c>
      <c r="S1293" s="26" t="s">
        <v>29</v>
      </c>
    </row>
    <row r="1294" spans="1:19" ht="43.5">
      <c r="A1294" s="26">
        <v>29800</v>
      </c>
      <c r="B1294" s="26" t="s">
        <v>87</v>
      </c>
      <c r="C1294" s="26" t="s">
        <v>30</v>
      </c>
      <c r="D1294" s="26" t="s">
        <v>21</v>
      </c>
      <c r="E1294" s="26" t="s">
        <v>785</v>
      </c>
      <c r="F1294" s="26" t="s">
        <v>786</v>
      </c>
      <c r="G1294" s="26">
        <v>16.5</v>
      </c>
      <c r="H1294" s="26" t="s">
        <v>24</v>
      </c>
      <c r="I1294" s="26" t="s">
        <v>787</v>
      </c>
      <c r="J1294" s="26" t="s">
        <v>788</v>
      </c>
      <c r="K1294" s="26" t="s">
        <v>366</v>
      </c>
      <c r="L1294" s="26" t="s">
        <v>789</v>
      </c>
      <c r="M1294" s="26" t="s">
        <v>27</v>
      </c>
      <c r="N1294" s="26" t="s">
        <v>790</v>
      </c>
      <c r="O1294" s="27">
        <v>29864</v>
      </c>
      <c r="P1294" s="26" t="s">
        <v>791</v>
      </c>
      <c r="Q1294" s="26"/>
      <c r="R1294" s="26">
        <v>16.5</v>
      </c>
      <c r="S1294" s="26" t="s">
        <v>29</v>
      </c>
    </row>
    <row r="1295" spans="1:19" ht="43.5">
      <c r="A1295" s="26">
        <v>75200</v>
      </c>
      <c r="B1295" s="26" t="s">
        <v>87</v>
      </c>
      <c r="C1295" s="26" t="s">
        <v>30</v>
      </c>
      <c r="D1295" s="26" t="s">
        <v>21</v>
      </c>
      <c r="E1295" s="26" t="s">
        <v>1214</v>
      </c>
      <c r="F1295" s="26" t="s">
        <v>1215</v>
      </c>
      <c r="G1295" s="26">
        <v>1.25</v>
      </c>
      <c r="H1295" s="26" t="s">
        <v>24</v>
      </c>
      <c r="I1295" s="26" t="s">
        <v>1216</v>
      </c>
      <c r="J1295" s="26" t="s">
        <v>644</v>
      </c>
      <c r="K1295" s="26" t="s">
        <v>366</v>
      </c>
      <c r="L1295" s="26" t="s">
        <v>644</v>
      </c>
      <c r="M1295" s="26" t="s">
        <v>27</v>
      </c>
      <c r="N1295" s="26" t="s">
        <v>790</v>
      </c>
      <c r="O1295" s="27">
        <v>31209</v>
      </c>
      <c r="P1295" s="26" t="s">
        <v>791</v>
      </c>
      <c r="Q1295" s="26"/>
      <c r="R1295" s="26">
        <v>1.25</v>
      </c>
      <c r="S1295" s="26" t="s">
        <v>29</v>
      </c>
    </row>
    <row r="1296" spans="1:19" ht="43.5">
      <c r="A1296" s="26">
        <v>34800</v>
      </c>
      <c r="B1296" s="26" t="s">
        <v>87</v>
      </c>
      <c r="C1296" s="26" t="s">
        <v>30</v>
      </c>
      <c r="D1296" s="26" t="s">
        <v>21</v>
      </c>
      <c r="E1296" s="26" t="s">
        <v>1731</v>
      </c>
      <c r="F1296" s="26" t="s">
        <v>1732</v>
      </c>
      <c r="G1296" s="26">
        <v>2.6</v>
      </c>
      <c r="H1296" s="26" t="s">
        <v>24</v>
      </c>
      <c r="I1296" s="26" t="s">
        <v>1733</v>
      </c>
      <c r="J1296" s="26" t="s">
        <v>644</v>
      </c>
      <c r="K1296" s="26" t="s">
        <v>366</v>
      </c>
      <c r="L1296" s="26" t="s">
        <v>644</v>
      </c>
      <c r="M1296" s="26" t="s">
        <v>27</v>
      </c>
      <c r="N1296" s="26" t="s">
        <v>790</v>
      </c>
      <c r="O1296" s="27">
        <v>32397</v>
      </c>
      <c r="P1296" s="26" t="s">
        <v>791</v>
      </c>
      <c r="Q1296" s="26"/>
      <c r="R1296" s="26">
        <v>2.6</v>
      </c>
      <c r="S1296" s="26" t="s">
        <v>29</v>
      </c>
    </row>
    <row r="1297" spans="1:19" ht="29.25">
      <c r="A1297" s="24">
        <v>53700</v>
      </c>
      <c r="B1297" s="24" t="s">
        <v>87</v>
      </c>
      <c r="C1297" s="24" t="s">
        <v>30</v>
      </c>
      <c r="D1297" s="24" t="s">
        <v>30</v>
      </c>
      <c r="E1297" s="24" t="s">
        <v>695</v>
      </c>
      <c r="F1297" s="24" t="s">
        <v>696</v>
      </c>
      <c r="G1297" s="24">
        <v>5</v>
      </c>
      <c r="H1297" s="24" t="s">
        <v>5</v>
      </c>
      <c r="I1297" s="24" t="s">
        <v>90</v>
      </c>
      <c r="J1297" s="24" t="s">
        <v>90</v>
      </c>
      <c r="K1297" s="24"/>
      <c r="L1297" s="24" t="s">
        <v>240</v>
      </c>
      <c r="M1297" s="24" t="s">
        <v>38</v>
      </c>
      <c r="N1297" s="24" t="s">
        <v>39</v>
      </c>
      <c r="O1297" s="25">
        <v>27760</v>
      </c>
      <c r="P1297" s="24"/>
      <c r="Q1297" s="24"/>
      <c r="R1297" s="24">
        <v>5</v>
      </c>
      <c r="S1297" s="24" t="s">
        <v>29</v>
      </c>
    </row>
    <row r="1298" spans="1:19" ht="29.25">
      <c r="A1298" s="26">
        <v>53701</v>
      </c>
      <c r="B1298" s="26" t="s">
        <v>87</v>
      </c>
      <c r="C1298" s="26" t="s">
        <v>30</v>
      </c>
      <c r="D1298" s="26" t="s">
        <v>21</v>
      </c>
      <c r="E1298" s="26"/>
      <c r="F1298" s="26" t="s">
        <v>3259</v>
      </c>
      <c r="G1298" s="26"/>
      <c r="H1298" s="26" t="s">
        <v>5</v>
      </c>
      <c r="I1298" s="26">
        <v>4050</v>
      </c>
      <c r="J1298" s="26" t="s">
        <v>25</v>
      </c>
      <c r="K1298" s="26"/>
      <c r="L1298" s="26"/>
      <c r="M1298" s="26" t="s">
        <v>38</v>
      </c>
      <c r="N1298" s="26" t="s">
        <v>39</v>
      </c>
      <c r="O1298" s="26" t="s">
        <v>4687</v>
      </c>
      <c r="P1298" s="26"/>
      <c r="Q1298" s="26"/>
      <c r="R1298" s="26">
        <v>0.28000000000000003</v>
      </c>
      <c r="S1298" s="26" t="s">
        <v>29</v>
      </c>
    </row>
    <row r="1299" spans="1:19">
      <c r="A1299" s="26">
        <v>53702</v>
      </c>
      <c r="B1299" s="26" t="s">
        <v>87</v>
      </c>
      <c r="C1299" s="26" t="s">
        <v>30</v>
      </c>
      <c r="D1299" s="26" t="s">
        <v>21</v>
      </c>
      <c r="E1299" s="26"/>
      <c r="F1299" s="26" t="s">
        <v>1707</v>
      </c>
      <c r="G1299" s="26"/>
      <c r="H1299" s="26" t="s">
        <v>5</v>
      </c>
      <c r="I1299" s="26">
        <v>2003</v>
      </c>
      <c r="J1299" s="26" t="s">
        <v>694</v>
      </c>
      <c r="K1299" s="26"/>
      <c r="L1299" s="26"/>
      <c r="M1299" s="26" t="s">
        <v>38</v>
      </c>
      <c r="N1299" s="26" t="s">
        <v>39</v>
      </c>
      <c r="O1299" s="27">
        <v>32335</v>
      </c>
      <c r="P1299" s="26"/>
      <c r="Q1299" s="26"/>
      <c r="R1299" s="26">
        <v>5</v>
      </c>
      <c r="S1299" s="26" t="s">
        <v>29</v>
      </c>
    </row>
    <row r="1300" spans="1:19">
      <c r="A1300" s="28">
        <v>53800</v>
      </c>
      <c r="B1300" s="28" t="s">
        <v>87</v>
      </c>
      <c r="C1300" s="28" t="s">
        <v>30</v>
      </c>
      <c r="D1300" s="28" t="s">
        <v>21</v>
      </c>
      <c r="E1300" s="28" t="s">
        <v>2070</v>
      </c>
      <c r="F1300" s="28" t="s">
        <v>2071</v>
      </c>
      <c r="G1300" s="28">
        <v>55.3</v>
      </c>
      <c r="H1300" s="28" t="s">
        <v>24</v>
      </c>
      <c r="I1300" s="28" t="s">
        <v>2072</v>
      </c>
      <c r="J1300" s="28" t="s">
        <v>694</v>
      </c>
      <c r="K1300" s="28" t="s">
        <v>580</v>
      </c>
      <c r="L1300" s="28" t="s">
        <v>240</v>
      </c>
      <c r="M1300" s="28" t="s">
        <v>193</v>
      </c>
      <c r="N1300" s="28" t="s">
        <v>194</v>
      </c>
      <c r="O1300" s="29">
        <v>33313</v>
      </c>
      <c r="P1300" s="28"/>
      <c r="Q1300" s="28"/>
      <c r="R1300" s="28">
        <v>55.3</v>
      </c>
      <c r="S1300" s="28" t="s">
        <v>29</v>
      </c>
    </row>
    <row r="1301" spans="1:19" ht="29.25">
      <c r="A1301" s="24">
        <v>93700</v>
      </c>
      <c r="B1301" s="24" t="s">
        <v>87</v>
      </c>
      <c r="C1301" s="24" t="s">
        <v>30</v>
      </c>
      <c r="D1301" s="24" t="s">
        <v>30</v>
      </c>
      <c r="E1301" s="24" t="s">
        <v>3260</v>
      </c>
      <c r="F1301" s="24" t="s">
        <v>3261</v>
      </c>
      <c r="G1301" s="24">
        <v>3.2</v>
      </c>
      <c r="H1301" s="24" t="s">
        <v>24</v>
      </c>
      <c r="I1301" s="24"/>
      <c r="J1301" s="24" t="s">
        <v>25</v>
      </c>
      <c r="K1301" s="24" t="s">
        <v>1022</v>
      </c>
      <c r="L1301" s="24" t="s">
        <v>26</v>
      </c>
      <c r="M1301" s="24" t="s">
        <v>27</v>
      </c>
      <c r="N1301" s="24" t="s">
        <v>28</v>
      </c>
      <c r="O1301" s="263">
        <v>30416</v>
      </c>
      <c r="P1301" s="24" t="s">
        <v>3208</v>
      </c>
      <c r="Q1301" s="24"/>
      <c r="R1301" s="24">
        <v>3.5</v>
      </c>
      <c r="S1301" s="24" t="s">
        <v>29</v>
      </c>
    </row>
    <row r="1302" spans="1:19" ht="29.25">
      <c r="A1302" s="26">
        <v>50900</v>
      </c>
      <c r="B1302" s="26" t="s">
        <v>87</v>
      </c>
      <c r="C1302" s="26" t="s">
        <v>30</v>
      </c>
      <c r="D1302" s="26" t="s">
        <v>21</v>
      </c>
      <c r="E1302" s="26" t="s">
        <v>931</v>
      </c>
      <c r="F1302" s="26" t="s">
        <v>932</v>
      </c>
      <c r="G1302" s="26">
        <v>2.2000000000000002</v>
      </c>
      <c r="H1302" s="26" t="s">
        <v>24</v>
      </c>
      <c r="I1302" s="26" t="s">
        <v>933</v>
      </c>
      <c r="J1302" s="26" t="s">
        <v>25</v>
      </c>
      <c r="K1302" s="26" t="s">
        <v>25</v>
      </c>
      <c r="L1302" s="26" t="s">
        <v>26</v>
      </c>
      <c r="M1302" s="26" t="s">
        <v>27</v>
      </c>
      <c r="N1302" s="26" t="s">
        <v>159</v>
      </c>
      <c r="O1302" s="27">
        <v>30416</v>
      </c>
      <c r="P1302" s="26" t="s">
        <v>934</v>
      </c>
      <c r="Q1302" s="26"/>
      <c r="R1302" s="26">
        <v>2.5</v>
      </c>
      <c r="S1302" s="26" t="s">
        <v>29</v>
      </c>
    </row>
    <row r="1303" spans="1:19" ht="29.25">
      <c r="A1303" s="26">
        <v>51706</v>
      </c>
      <c r="B1303" s="26" t="s">
        <v>87</v>
      </c>
      <c r="C1303" s="26" t="s">
        <v>30</v>
      </c>
      <c r="D1303" s="26" t="s">
        <v>21</v>
      </c>
      <c r="E1303" s="26" t="s">
        <v>1662</v>
      </c>
      <c r="F1303" s="26" t="s">
        <v>1663</v>
      </c>
      <c r="G1303" s="26">
        <v>1</v>
      </c>
      <c r="H1303" s="26" t="s">
        <v>24</v>
      </c>
      <c r="I1303" s="26" t="s">
        <v>1664</v>
      </c>
      <c r="J1303" s="26" t="s">
        <v>25</v>
      </c>
      <c r="K1303" s="26" t="s">
        <v>25</v>
      </c>
      <c r="L1303" s="26" t="s">
        <v>26</v>
      </c>
      <c r="M1303" s="26" t="s">
        <v>27</v>
      </c>
      <c r="N1303" s="26" t="s">
        <v>28</v>
      </c>
      <c r="O1303" s="27">
        <v>32196</v>
      </c>
      <c r="P1303" s="26" t="s">
        <v>934</v>
      </c>
      <c r="Q1303" s="26"/>
      <c r="R1303" s="26">
        <v>1</v>
      </c>
      <c r="S1303" s="26" t="s">
        <v>29</v>
      </c>
    </row>
    <row r="1304" spans="1:19" ht="29.25">
      <c r="A1304" s="24">
        <v>54100</v>
      </c>
      <c r="B1304" s="24" t="s">
        <v>87</v>
      </c>
      <c r="C1304" s="24" t="s">
        <v>30</v>
      </c>
      <c r="D1304" s="24" t="s">
        <v>30</v>
      </c>
      <c r="E1304" s="24" t="s">
        <v>1311</v>
      </c>
      <c r="F1304" s="24" t="s">
        <v>1312</v>
      </c>
      <c r="G1304" s="24">
        <v>175</v>
      </c>
      <c r="H1304" s="24" t="s">
        <v>5</v>
      </c>
      <c r="I1304" s="24" t="s">
        <v>90</v>
      </c>
      <c r="J1304" s="24" t="s">
        <v>1025</v>
      </c>
      <c r="K1304" s="24" t="s">
        <v>366</v>
      </c>
      <c r="L1304" s="24" t="s">
        <v>1026</v>
      </c>
      <c r="M1304" s="24" t="s">
        <v>38</v>
      </c>
      <c r="N1304" s="24" t="s">
        <v>39</v>
      </c>
      <c r="O1304" s="25">
        <v>31413</v>
      </c>
      <c r="P1304" s="24"/>
      <c r="Q1304" s="24"/>
      <c r="R1304" s="24">
        <v>150</v>
      </c>
      <c r="S1304" s="24" t="s">
        <v>29</v>
      </c>
    </row>
    <row r="1305" spans="1:19">
      <c r="A1305" s="26">
        <v>54101</v>
      </c>
      <c r="B1305" s="26" t="s">
        <v>87</v>
      </c>
      <c r="C1305" s="26" t="s">
        <v>30</v>
      </c>
      <c r="D1305" s="26" t="s">
        <v>21</v>
      </c>
      <c r="E1305" s="26"/>
      <c r="F1305" s="26" t="s">
        <v>1441</v>
      </c>
      <c r="G1305" s="26"/>
      <c r="H1305" s="26" t="s">
        <v>5</v>
      </c>
      <c r="I1305" s="26">
        <v>5017</v>
      </c>
      <c r="J1305" s="26" t="s">
        <v>1025</v>
      </c>
      <c r="K1305" s="26" t="s">
        <v>366</v>
      </c>
      <c r="L1305" s="26" t="s">
        <v>1026</v>
      </c>
      <c r="M1305" s="26" t="s">
        <v>38</v>
      </c>
      <c r="N1305" s="26" t="s">
        <v>39</v>
      </c>
      <c r="O1305" s="27">
        <v>31764</v>
      </c>
      <c r="P1305" s="26"/>
      <c r="Q1305" s="26"/>
      <c r="R1305" s="26">
        <v>30</v>
      </c>
      <c r="S1305" s="26" t="s">
        <v>29</v>
      </c>
    </row>
    <row r="1306" spans="1:19">
      <c r="A1306" s="26">
        <v>54102</v>
      </c>
      <c r="B1306" s="26" t="s">
        <v>87</v>
      </c>
      <c r="C1306" s="26" t="s">
        <v>30</v>
      </c>
      <c r="D1306" s="26" t="s">
        <v>21</v>
      </c>
      <c r="E1306" s="26"/>
      <c r="F1306" s="26" t="s">
        <v>1444</v>
      </c>
      <c r="G1306" s="26"/>
      <c r="H1306" s="26" t="s">
        <v>5</v>
      </c>
      <c r="I1306" s="26">
        <v>5018</v>
      </c>
      <c r="J1306" s="26" t="s">
        <v>1025</v>
      </c>
      <c r="K1306" s="26" t="s">
        <v>366</v>
      </c>
      <c r="L1306" s="26" t="s">
        <v>1026</v>
      </c>
      <c r="M1306" s="26" t="s">
        <v>38</v>
      </c>
      <c r="N1306" s="26" t="s">
        <v>39</v>
      </c>
      <c r="O1306" s="27">
        <v>31769</v>
      </c>
      <c r="P1306" s="26"/>
      <c r="Q1306" s="26"/>
      <c r="R1306" s="26">
        <v>30</v>
      </c>
      <c r="S1306" s="26" t="s">
        <v>29</v>
      </c>
    </row>
    <row r="1307" spans="1:19">
      <c r="A1307" s="26">
        <v>54105</v>
      </c>
      <c r="B1307" s="26" t="s">
        <v>87</v>
      </c>
      <c r="C1307" s="26" t="s">
        <v>30</v>
      </c>
      <c r="D1307" s="26" t="s">
        <v>21</v>
      </c>
      <c r="E1307" s="26"/>
      <c r="F1307" s="26" t="s">
        <v>1761</v>
      </c>
      <c r="G1307" s="26"/>
      <c r="H1307" s="26" t="s">
        <v>5</v>
      </c>
      <c r="I1307" s="26">
        <v>5021</v>
      </c>
      <c r="J1307" s="26" t="s">
        <v>1025</v>
      </c>
      <c r="K1307" s="26" t="s">
        <v>366</v>
      </c>
      <c r="L1307" s="26" t="s">
        <v>1026</v>
      </c>
      <c r="M1307" s="26" t="s">
        <v>38</v>
      </c>
      <c r="N1307" s="26" t="s">
        <v>39</v>
      </c>
      <c r="O1307" s="27">
        <v>32506</v>
      </c>
      <c r="P1307" s="26"/>
      <c r="Q1307" s="26"/>
      <c r="R1307" s="26">
        <v>30</v>
      </c>
      <c r="S1307" s="26" t="s">
        <v>29</v>
      </c>
    </row>
    <row r="1308" spans="1:19">
      <c r="A1308" s="26">
        <v>54104</v>
      </c>
      <c r="B1308" s="26" t="s">
        <v>87</v>
      </c>
      <c r="C1308" s="26" t="s">
        <v>30</v>
      </c>
      <c r="D1308" s="26" t="s">
        <v>21</v>
      </c>
      <c r="E1308" s="26"/>
      <c r="F1308" s="26" t="s">
        <v>1760</v>
      </c>
      <c r="G1308" s="26"/>
      <c r="H1308" s="26" t="s">
        <v>5</v>
      </c>
      <c r="I1308" s="26">
        <v>5020</v>
      </c>
      <c r="J1308" s="26" t="s">
        <v>1025</v>
      </c>
      <c r="K1308" s="26" t="s">
        <v>366</v>
      </c>
      <c r="L1308" s="26" t="s">
        <v>1026</v>
      </c>
      <c r="M1308" s="26" t="s">
        <v>38</v>
      </c>
      <c r="N1308" s="26" t="s">
        <v>39</v>
      </c>
      <c r="O1308" s="27">
        <v>32502</v>
      </c>
      <c r="P1308" s="26"/>
      <c r="Q1308" s="26"/>
      <c r="R1308" s="26">
        <v>30</v>
      </c>
      <c r="S1308" s="26" t="s">
        <v>29</v>
      </c>
    </row>
    <row r="1309" spans="1:19">
      <c r="A1309" s="26">
        <v>54103</v>
      </c>
      <c r="B1309" s="26" t="s">
        <v>87</v>
      </c>
      <c r="C1309" s="26" t="s">
        <v>30</v>
      </c>
      <c r="D1309" s="26" t="s">
        <v>21</v>
      </c>
      <c r="E1309" s="26"/>
      <c r="F1309" s="26" t="s">
        <v>1593</v>
      </c>
      <c r="G1309" s="26"/>
      <c r="H1309" s="26" t="s">
        <v>5</v>
      </c>
      <c r="I1309" s="26">
        <v>5019</v>
      </c>
      <c r="J1309" s="26" t="s">
        <v>1025</v>
      </c>
      <c r="K1309" s="26" t="s">
        <v>366</v>
      </c>
      <c r="L1309" s="26" t="s">
        <v>1026</v>
      </c>
      <c r="M1309" s="26" t="s">
        <v>38</v>
      </c>
      <c r="N1309" s="26" t="s">
        <v>39</v>
      </c>
      <c r="O1309" s="27">
        <v>32049</v>
      </c>
      <c r="P1309" s="26"/>
      <c r="Q1309" s="26"/>
      <c r="R1309" s="26">
        <v>30</v>
      </c>
      <c r="S1309" s="26" t="s">
        <v>29</v>
      </c>
    </row>
    <row r="1310" spans="1:19" ht="29.25">
      <c r="A1310" s="24">
        <v>54200</v>
      </c>
      <c r="B1310" s="24" t="s">
        <v>87</v>
      </c>
      <c r="C1310" s="24" t="s">
        <v>30</v>
      </c>
      <c r="D1310" s="24" t="s">
        <v>30</v>
      </c>
      <c r="E1310" s="24" t="s">
        <v>1313</v>
      </c>
      <c r="F1310" s="24" t="s">
        <v>1314</v>
      </c>
      <c r="G1310" s="24">
        <v>184</v>
      </c>
      <c r="H1310" s="24" t="s">
        <v>5</v>
      </c>
      <c r="I1310" s="24" t="s">
        <v>90</v>
      </c>
      <c r="J1310" s="24" t="s">
        <v>1025</v>
      </c>
      <c r="K1310" s="24" t="s">
        <v>366</v>
      </c>
      <c r="L1310" s="24" t="s">
        <v>1026</v>
      </c>
      <c r="M1310" s="24" t="s">
        <v>38</v>
      </c>
      <c r="N1310" s="24" t="s">
        <v>39</v>
      </c>
      <c r="O1310" s="25">
        <v>31413</v>
      </c>
      <c r="P1310" s="24"/>
      <c r="Q1310" s="24"/>
      <c r="R1310" s="24">
        <v>160</v>
      </c>
      <c r="S1310" s="24" t="s">
        <v>29</v>
      </c>
    </row>
    <row r="1311" spans="1:19">
      <c r="A1311" s="26">
        <v>54202</v>
      </c>
      <c r="B1311" s="26" t="s">
        <v>87</v>
      </c>
      <c r="C1311" s="26" t="s">
        <v>30</v>
      </c>
      <c r="D1311" s="26" t="s">
        <v>21</v>
      </c>
      <c r="E1311" s="26"/>
      <c r="F1311" s="26" t="s">
        <v>2035</v>
      </c>
      <c r="G1311" s="26"/>
      <c r="H1311" s="26" t="s">
        <v>5</v>
      </c>
      <c r="I1311" s="26">
        <v>5051</v>
      </c>
      <c r="J1311" s="26" t="s">
        <v>1025</v>
      </c>
      <c r="K1311" s="26" t="s">
        <v>366</v>
      </c>
      <c r="L1311" s="26" t="s">
        <v>1026</v>
      </c>
      <c r="M1311" s="26" t="s">
        <v>38</v>
      </c>
      <c r="N1311" s="26" t="s">
        <v>39</v>
      </c>
      <c r="O1311" s="27">
        <v>33157</v>
      </c>
      <c r="P1311" s="26"/>
      <c r="Q1311" s="26"/>
      <c r="R1311" s="26">
        <v>80</v>
      </c>
      <c r="S1311" s="26" t="s">
        <v>29</v>
      </c>
    </row>
    <row r="1312" spans="1:19">
      <c r="A1312" s="26">
        <v>54201</v>
      </c>
      <c r="B1312" s="26" t="s">
        <v>87</v>
      </c>
      <c r="C1312" s="26" t="s">
        <v>30</v>
      </c>
      <c r="D1312" s="26" t="s">
        <v>21</v>
      </c>
      <c r="E1312" s="26"/>
      <c r="F1312" s="26" t="s">
        <v>1921</v>
      </c>
      <c r="G1312" s="26"/>
      <c r="H1312" s="26" t="s">
        <v>5</v>
      </c>
      <c r="I1312" s="26">
        <v>5050</v>
      </c>
      <c r="J1312" s="26" t="s">
        <v>1025</v>
      </c>
      <c r="K1312" s="26" t="s">
        <v>366</v>
      </c>
      <c r="L1312" s="26" t="s">
        <v>1026</v>
      </c>
      <c r="M1312" s="26" t="s">
        <v>38</v>
      </c>
      <c r="N1312" s="26" t="s">
        <v>39</v>
      </c>
      <c r="O1312" s="27">
        <v>32871</v>
      </c>
      <c r="P1312" s="26"/>
      <c r="Q1312" s="26"/>
      <c r="R1312" s="26">
        <v>80</v>
      </c>
      <c r="S1312" s="26" t="s">
        <v>29</v>
      </c>
    </row>
    <row r="1313" spans="1:19" ht="29.25">
      <c r="A1313" s="28">
        <v>54800</v>
      </c>
      <c r="B1313" s="28" t="s">
        <v>87</v>
      </c>
      <c r="C1313" s="28" t="s">
        <v>30</v>
      </c>
      <c r="D1313" s="28" t="s">
        <v>21</v>
      </c>
      <c r="E1313" s="28" t="s">
        <v>1182</v>
      </c>
      <c r="F1313" s="28" t="s">
        <v>1183</v>
      </c>
      <c r="G1313" s="28">
        <v>3.75</v>
      </c>
      <c r="H1313" s="28" t="s">
        <v>24</v>
      </c>
      <c r="I1313" s="28" t="s">
        <v>1184</v>
      </c>
      <c r="J1313" s="28" t="s">
        <v>25</v>
      </c>
      <c r="K1313" s="28" t="s">
        <v>25</v>
      </c>
      <c r="L1313" s="28" t="s">
        <v>26</v>
      </c>
      <c r="M1313" s="28" t="s">
        <v>27</v>
      </c>
      <c r="N1313" s="28" t="s">
        <v>28</v>
      </c>
      <c r="O1313" s="29">
        <v>31080</v>
      </c>
      <c r="P1313" s="28"/>
      <c r="Q1313" s="28"/>
      <c r="R1313" s="28">
        <v>3.75</v>
      </c>
      <c r="S1313" s="28" t="s">
        <v>29</v>
      </c>
    </row>
    <row r="1314" spans="1:19">
      <c r="A1314" s="28">
        <v>54900</v>
      </c>
      <c r="B1314" s="28" t="s">
        <v>87</v>
      </c>
      <c r="C1314" s="28" t="s">
        <v>30</v>
      </c>
      <c r="D1314" s="28" t="s">
        <v>21</v>
      </c>
      <c r="E1314" s="28" t="s">
        <v>1748</v>
      </c>
      <c r="F1314" s="28" t="s">
        <v>1749</v>
      </c>
      <c r="G1314" s="28">
        <v>32.5</v>
      </c>
      <c r="H1314" s="28" t="s">
        <v>24</v>
      </c>
      <c r="I1314" s="28" t="s">
        <v>1750</v>
      </c>
      <c r="J1314" s="28" t="s">
        <v>25</v>
      </c>
      <c r="K1314" s="28" t="s">
        <v>25</v>
      </c>
      <c r="L1314" s="28" t="s">
        <v>26</v>
      </c>
      <c r="M1314" s="28" t="s">
        <v>27</v>
      </c>
      <c r="N1314" s="28" t="s">
        <v>28</v>
      </c>
      <c r="O1314" s="29">
        <v>32484</v>
      </c>
      <c r="P1314" s="28"/>
      <c r="Q1314" s="28"/>
      <c r="R1314" s="28">
        <v>32.5</v>
      </c>
      <c r="S1314" s="28" t="s">
        <v>29</v>
      </c>
    </row>
    <row r="1315" spans="1:19">
      <c r="A1315" s="28">
        <v>55000</v>
      </c>
      <c r="B1315" s="28" t="s">
        <v>87</v>
      </c>
      <c r="C1315" s="28" t="s">
        <v>30</v>
      </c>
      <c r="D1315" s="28" t="s">
        <v>21</v>
      </c>
      <c r="E1315" s="28"/>
      <c r="F1315" s="28" t="s">
        <v>1954</v>
      </c>
      <c r="G1315" s="28">
        <v>0</v>
      </c>
      <c r="H1315" s="28" t="s">
        <v>5</v>
      </c>
      <c r="I1315" s="28">
        <v>3051</v>
      </c>
      <c r="J1315" s="28" t="s">
        <v>644</v>
      </c>
      <c r="K1315" s="28" t="s">
        <v>366</v>
      </c>
      <c r="L1315" s="28" t="s">
        <v>644</v>
      </c>
      <c r="M1315" s="28" t="s">
        <v>38</v>
      </c>
      <c r="N1315" s="28" t="s">
        <v>39</v>
      </c>
      <c r="O1315" s="29">
        <v>32874</v>
      </c>
      <c r="P1315" s="28" t="s">
        <v>1955</v>
      </c>
      <c r="Q1315" s="28"/>
      <c r="R1315" s="28">
        <v>12</v>
      </c>
      <c r="S1315" s="28" t="s">
        <v>29</v>
      </c>
    </row>
    <row r="1316" spans="1:19" ht="29.25">
      <c r="A1316" s="24">
        <v>55100</v>
      </c>
      <c r="B1316" s="24" t="s">
        <v>87</v>
      </c>
      <c r="C1316" s="24" t="s">
        <v>30</v>
      </c>
      <c r="D1316" s="24" t="s">
        <v>30</v>
      </c>
      <c r="E1316" s="24" t="s">
        <v>1525</v>
      </c>
      <c r="F1316" s="24" t="s">
        <v>1526</v>
      </c>
      <c r="G1316" s="24">
        <v>114.8</v>
      </c>
      <c r="H1316" s="24" t="s">
        <v>24</v>
      </c>
      <c r="I1316" s="24" t="s">
        <v>1527</v>
      </c>
      <c r="J1316" s="24" t="s">
        <v>694</v>
      </c>
      <c r="K1316" s="24"/>
      <c r="L1316" s="24" t="s">
        <v>240</v>
      </c>
      <c r="M1316" s="24" t="s">
        <v>27</v>
      </c>
      <c r="N1316" s="24" t="s">
        <v>28</v>
      </c>
      <c r="O1316" s="25">
        <v>31831</v>
      </c>
      <c r="P1316" s="24"/>
      <c r="Q1316" s="24"/>
      <c r="R1316" s="24">
        <v>127</v>
      </c>
      <c r="S1316" s="24" t="s">
        <v>29</v>
      </c>
    </row>
    <row r="1317" spans="1:19" ht="29.25">
      <c r="A1317" s="26">
        <v>55101</v>
      </c>
      <c r="B1317" s="26" t="s">
        <v>87</v>
      </c>
      <c r="C1317" s="26" t="s">
        <v>30</v>
      </c>
      <c r="D1317" s="26" t="s">
        <v>21</v>
      </c>
      <c r="E1317" s="26" t="s">
        <v>1528</v>
      </c>
      <c r="F1317" s="26" t="s">
        <v>1529</v>
      </c>
      <c r="G1317" s="26"/>
      <c r="H1317" s="26" t="s">
        <v>24</v>
      </c>
      <c r="I1317" s="26" t="s">
        <v>1527</v>
      </c>
      <c r="J1317" s="26" t="s">
        <v>694</v>
      </c>
      <c r="K1317" s="26"/>
      <c r="L1317" s="26" t="s">
        <v>240</v>
      </c>
      <c r="M1317" s="26" t="s">
        <v>27</v>
      </c>
      <c r="N1317" s="26" t="s">
        <v>28</v>
      </c>
      <c r="O1317" s="27">
        <v>31831</v>
      </c>
      <c r="P1317" s="26"/>
      <c r="Q1317" s="26"/>
      <c r="R1317" s="26">
        <v>46</v>
      </c>
      <c r="S1317" s="26" t="s">
        <v>29</v>
      </c>
    </row>
    <row r="1318" spans="1:19" ht="29.25">
      <c r="A1318" s="26">
        <v>55102</v>
      </c>
      <c r="B1318" s="26" t="s">
        <v>87</v>
      </c>
      <c r="C1318" s="26" t="s">
        <v>30</v>
      </c>
      <c r="D1318" s="26" t="s">
        <v>21</v>
      </c>
      <c r="E1318" s="26" t="s">
        <v>1530</v>
      </c>
      <c r="F1318" s="26" t="s">
        <v>1529</v>
      </c>
      <c r="G1318" s="26"/>
      <c r="H1318" s="26" t="s">
        <v>24</v>
      </c>
      <c r="I1318" s="26" t="s">
        <v>1527</v>
      </c>
      <c r="J1318" s="26" t="s">
        <v>694</v>
      </c>
      <c r="K1318" s="26"/>
      <c r="L1318" s="26" t="s">
        <v>240</v>
      </c>
      <c r="M1318" s="26" t="s">
        <v>27</v>
      </c>
      <c r="N1318" s="26" t="s">
        <v>28</v>
      </c>
      <c r="O1318" s="27">
        <v>31831</v>
      </c>
      <c r="P1318" s="26"/>
      <c r="Q1318" s="26"/>
      <c r="R1318" s="26">
        <v>46</v>
      </c>
      <c r="S1318" s="26" t="s">
        <v>29</v>
      </c>
    </row>
    <row r="1319" spans="1:19" ht="29.25">
      <c r="A1319" s="26">
        <v>55103</v>
      </c>
      <c r="B1319" s="26" t="s">
        <v>87</v>
      </c>
      <c r="C1319" s="26" t="s">
        <v>30</v>
      </c>
      <c r="D1319" s="26" t="s">
        <v>21</v>
      </c>
      <c r="E1319" s="26" t="s">
        <v>1531</v>
      </c>
      <c r="F1319" s="26" t="s">
        <v>1529</v>
      </c>
      <c r="G1319" s="26"/>
      <c r="H1319" s="26" t="s">
        <v>24</v>
      </c>
      <c r="I1319" s="26" t="s">
        <v>1527</v>
      </c>
      <c r="J1319" s="26" t="s">
        <v>694</v>
      </c>
      <c r="K1319" s="26"/>
      <c r="L1319" s="26" t="s">
        <v>240</v>
      </c>
      <c r="M1319" s="26" t="s">
        <v>27</v>
      </c>
      <c r="N1319" s="26" t="s">
        <v>28</v>
      </c>
      <c r="O1319" s="27">
        <v>31831</v>
      </c>
      <c r="P1319" s="26"/>
      <c r="Q1319" s="26"/>
      <c r="R1319" s="26">
        <v>35</v>
      </c>
      <c r="S1319" s="26" t="s">
        <v>29</v>
      </c>
    </row>
    <row r="1320" spans="1:19" ht="29.25">
      <c r="A1320" s="24">
        <v>55300</v>
      </c>
      <c r="B1320" s="24" t="s">
        <v>87</v>
      </c>
      <c r="C1320" s="24" t="s">
        <v>30</v>
      </c>
      <c r="D1320" s="24" t="s">
        <v>30</v>
      </c>
      <c r="E1320" s="24" t="s">
        <v>1956</v>
      </c>
      <c r="F1320" s="24" t="s">
        <v>1957</v>
      </c>
      <c r="G1320" s="24">
        <v>2.5</v>
      </c>
      <c r="H1320" s="24" t="s">
        <v>24</v>
      </c>
      <c r="I1320" s="24" t="s">
        <v>90</v>
      </c>
      <c r="J1320" s="24" t="s">
        <v>25</v>
      </c>
      <c r="K1320" s="24" t="s">
        <v>25</v>
      </c>
      <c r="L1320" s="24" t="s">
        <v>26</v>
      </c>
      <c r="M1320" s="24" t="s">
        <v>27</v>
      </c>
      <c r="N1320" s="24" t="s">
        <v>28</v>
      </c>
      <c r="O1320" s="25">
        <v>32874</v>
      </c>
      <c r="P1320" s="24"/>
      <c r="Q1320" s="24"/>
      <c r="R1320" s="24">
        <v>1.45</v>
      </c>
      <c r="S1320" s="24" t="s">
        <v>29</v>
      </c>
    </row>
    <row r="1321" spans="1:19">
      <c r="A1321" s="26">
        <v>55301</v>
      </c>
      <c r="B1321" s="26" t="s">
        <v>87</v>
      </c>
      <c r="C1321" s="26" t="s">
        <v>30</v>
      </c>
      <c r="D1321" s="26" t="s">
        <v>21</v>
      </c>
      <c r="E1321" s="26"/>
      <c r="F1321" s="26" t="s">
        <v>2020</v>
      </c>
      <c r="G1321" s="26"/>
      <c r="H1321" s="26" t="s">
        <v>24</v>
      </c>
      <c r="I1321" s="26" t="s">
        <v>2021</v>
      </c>
      <c r="J1321" s="26" t="s">
        <v>25</v>
      </c>
      <c r="K1321" s="26" t="s">
        <v>25</v>
      </c>
      <c r="L1321" s="26" t="s">
        <v>26</v>
      </c>
      <c r="M1321" s="26" t="s">
        <v>27</v>
      </c>
      <c r="N1321" s="26" t="s">
        <v>28</v>
      </c>
      <c r="O1321" s="27">
        <v>33104</v>
      </c>
      <c r="P1321" s="26"/>
      <c r="Q1321" s="26"/>
      <c r="R1321" s="26">
        <v>1</v>
      </c>
      <c r="S1321" s="26" t="s">
        <v>29</v>
      </c>
    </row>
    <row r="1322" spans="1:19" ht="29.25">
      <c r="A1322" s="26">
        <v>55302</v>
      </c>
      <c r="B1322" s="26" t="s">
        <v>87</v>
      </c>
      <c r="C1322" s="26" t="s">
        <v>30</v>
      </c>
      <c r="D1322" s="26" t="s">
        <v>21</v>
      </c>
      <c r="E1322" s="26"/>
      <c r="F1322" s="26" t="s">
        <v>2022</v>
      </c>
      <c r="G1322" s="26"/>
      <c r="H1322" s="26" t="s">
        <v>24</v>
      </c>
      <c r="I1322" s="26" t="s">
        <v>2023</v>
      </c>
      <c r="J1322" s="26" t="s">
        <v>25</v>
      </c>
      <c r="K1322" s="26" t="s">
        <v>25</v>
      </c>
      <c r="L1322" s="26" t="s">
        <v>26</v>
      </c>
      <c r="M1322" s="26" t="s">
        <v>27</v>
      </c>
      <c r="N1322" s="26" t="s">
        <v>28</v>
      </c>
      <c r="O1322" s="27">
        <v>33108</v>
      </c>
      <c r="P1322" s="26"/>
      <c r="Q1322" s="26"/>
      <c r="R1322" s="26">
        <v>0.45</v>
      </c>
      <c r="S1322" s="26" t="s">
        <v>29</v>
      </c>
    </row>
    <row r="1323" spans="1:19">
      <c r="A1323" s="28">
        <v>55400</v>
      </c>
      <c r="B1323" s="28" t="s">
        <v>87</v>
      </c>
      <c r="C1323" s="28" t="s">
        <v>30</v>
      </c>
      <c r="D1323" s="28" t="s">
        <v>21</v>
      </c>
      <c r="E1323" s="28" t="s">
        <v>2092</v>
      </c>
      <c r="F1323" s="28" t="s">
        <v>2093</v>
      </c>
      <c r="G1323" s="28">
        <v>57.9</v>
      </c>
      <c r="H1323" s="28" t="s">
        <v>24</v>
      </c>
      <c r="I1323" s="28" t="s">
        <v>2094</v>
      </c>
      <c r="J1323" s="28" t="s">
        <v>694</v>
      </c>
      <c r="K1323" s="28" t="s">
        <v>580</v>
      </c>
      <c r="L1323" s="28" t="s">
        <v>240</v>
      </c>
      <c r="M1323" s="28" t="s">
        <v>193</v>
      </c>
      <c r="N1323" s="28" t="s">
        <v>194</v>
      </c>
      <c r="O1323" s="29">
        <v>33527</v>
      </c>
      <c r="P1323" s="28"/>
      <c r="Q1323" s="28"/>
      <c r="R1323" s="28">
        <v>57.9</v>
      </c>
      <c r="S1323" s="28" t="s">
        <v>29</v>
      </c>
    </row>
    <row r="1324" spans="1:19" ht="29.25">
      <c r="A1324" s="28">
        <v>55500</v>
      </c>
      <c r="B1324" s="28" t="s">
        <v>87</v>
      </c>
      <c r="C1324" s="28" t="s">
        <v>30</v>
      </c>
      <c r="D1324" s="28" t="s">
        <v>21</v>
      </c>
      <c r="E1324" s="28" t="s">
        <v>1355</v>
      </c>
      <c r="F1324" s="28" t="s">
        <v>1356</v>
      </c>
      <c r="G1324" s="28">
        <v>1.5</v>
      </c>
      <c r="H1324" s="28" t="s">
        <v>24</v>
      </c>
      <c r="I1324" s="28" t="s">
        <v>1357</v>
      </c>
      <c r="J1324" s="28" t="s">
        <v>25</v>
      </c>
      <c r="K1324" s="28" t="s">
        <v>25</v>
      </c>
      <c r="L1324" s="28" t="s">
        <v>26</v>
      </c>
      <c r="M1324" s="28" t="s">
        <v>27</v>
      </c>
      <c r="N1324" s="28" t="s">
        <v>28</v>
      </c>
      <c r="O1324" s="29">
        <v>31464</v>
      </c>
      <c r="P1324" s="28"/>
      <c r="Q1324" s="28"/>
      <c r="R1324" s="28">
        <v>1.5</v>
      </c>
      <c r="S1324" s="28" t="s">
        <v>29</v>
      </c>
    </row>
    <row r="1325" spans="1:19" ht="29.25">
      <c r="A1325" s="28">
        <v>56000</v>
      </c>
      <c r="B1325" s="28" t="s">
        <v>87</v>
      </c>
      <c r="C1325" s="28" t="s">
        <v>30</v>
      </c>
      <c r="D1325" s="28" t="s">
        <v>21</v>
      </c>
      <c r="E1325" s="28" t="s">
        <v>1858</v>
      </c>
      <c r="F1325" s="28" t="s">
        <v>1859</v>
      </c>
      <c r="G1325" s="28">
        <v>33</v>
      </c>
      <c r="H1325" s="28" t="s">
        <v>24</v>
      </c>
      <c r="I1325" s="28" t="s">
        <v>1860</v>
      </c>
      <c r="J1325" s="28" t="s">
        <v>788</v>
      </c>
      <c r="K1325" s="28" t="s">
        <v>366</v>
      </c>
      <c r="L1325" s="28" t="s">
        <v>1861</v>
      </c>
      <c r="M1325" s="28" t="s">
        <v>27</v>
      </c>
      <c r="N1325" s="28" t="s">
        <v>28</v>
      </c>
      <c r="O1325" s="29">
        <v>32688</v>
      </c>
      <c r="P1325" s="28"/>
      <c r="Q1325" s="28"/>
      <c r="R1325" s="28">
        <v>33</v>
      </c>
      <c r="S1325" s="28" t="s">
        <v>29</v>
      </c>
    </row>
    <row r="1326" spans="1:19" ht="29.25">
      <c r="A1326" s="28">
        <v>56200</v>
      </c>
      <c r="B1326" s="28" t="s">
        <v>87</v>
      </c>
      <c r="C1326" s="28" t="s">
        <v>30</v>
      </c>
      <c r="D1326" s="28" t="s">
        <v>21</v>
      </c>
      <c r="E1326" s="28" t="s">
        <v>782</v>
      </c>
      <c r="F1326" s="28" t="s">
        <v>783</v>
      </c>
      <c r="G1326" s="28">
        <v>3.75</v>
      </c>
      <c r="H1326" s="28" t="s">
        <v>24</v>
      </c>
      <c r="I1326" s="28" t="s">
        <v>784</v>
      </c>
      <c r="J1326" s="28" t="s">
        <v>25</v>
      </c>
      <c r="K1326" s="28" t="s">
        <v>25</v>
      </c>
      <c r="L1326" s="28" t="s">
        <v>26</v>
      </c>
      <c r="M1326" s="28" t="s">
        <v>27</v>
      </c>
      <c r="N1326" s="28" t="s">
        <v>28</v>
      </c>
      <c r="O1326" s="29">
        <v>29852</v>
      </c>
      <c r="P1326" s="28"/>
      <c r="Q1326" s="28"/>
      <c r="R1326" s="28">
        <v>3.75</v>
      </c>
      <c r="S1326" s="28" t="s">
        <v>29</v>
      </c>
    </row>
    <row r="1327" spans="1:19" ht="29.25">
      <c r="A1327" s="24">
        <v>56300</v>
      </c>
      <c r="B1327" s="24" t="s">
        <v>87</v>
      </c>
      <c r="C1327" s="24" t="s">
        <v>30</v>
      </c>
      <c r="D1327" s="24" t="s">
        <v>30</v>
      </c>
      <c r="E1327" s="24" t="s">
        <v>3262</v>
      </c>
      <c r="F1327" s="24" t="s">
        <v>3263</v>
      </c>
      <c r="G1327" s="24">
        <v>1</v>
      </c>
      <c r="H1327" s="24" t="s">
        <v>24</v>
      </c>
      <c r="I1327" s="24" t="s">
        <v>90</v>
      </c>
      <c r="J1327" s="24" t="s">
        <v>25</v>
      </c>
      <c r="K1327" s="24" t="s">
        <v>25</v>
      </c>
      <c r="L1327" s="24" t="s">
        <v>26</v>
      </c>
      <c r="M1327" s="24" t="s">
        <v>193</v>
      </c>
      <c r="N1327" s="24" t="s">
        <v>194</v>
      </c>
      <c r="O1327" s="24" t="s">
        <v>4687</v>
      </c>
      <c r="P1327" s="24"/>
      <c r="Q1327" s="24"/>
      <c r="R1327" s="24">
        <v>1</v>
      </c>
      <c r="S1327" s="24" t="s">
        <v>29</v>
      </c>
    </row>
    <row r="1328" spans="1:19" ht="29.25">
      <c r="A1328" s="26">
        <v>56301</v>
      </c>
      <c r="B1328" s="26" t="s">
        <v>87</v>
      </c>
      <c r="C1328" s="26" t="s">
        <v>30</v>
      </c>
      <c r="D1328" s="26" t="s">
        <v>21</v>
      </c>
      <c r="E1328" s="26"/>
      <c r="F1328" s="26" t="s">
        <v>3264</v>
      </c>
      <c r="G1328" s="26"/>
      <c r="H1328" s="26" t="s">
        <v>24</v>
      </c>
      <c r="I1328" s="26" t="s">
        <v>3265</v>
      </c>
      <c r="J1328" s="26" t="s">
        <v>25</v>
      </c>
      <c r="K1328" s="26" t="s">
        <v>25</v>
      </c>
      <c r="L1328" s="26" t="s">
        <v>26</v>
      </c>
      <c r="M1328" s="26" t="s">
        <v>193</v>
      </c>
      <c r="N1328" s="26" t="s">
        <v>194</v>
      </c>
      <c r="O1328" s="26" t="s">
        <v>4687</v>
      </c>
      <c r="P1328" s="26"/>
      <c r="Q1328" s="26"/>
      <c r="R1328" s="26">
        <v>0.78</v>
      </c>
      <c r="S1328" s="26" t="s">
        <v>29</v>
      </c>
    </row>
    <row r="1329" spans="1:19" ht="29.25">
      <c r="A1329" s="28">
        <v>56400</v>
      </c>
      <c r="B1329" s="28" t="s">
        <v>87</v>
      </c>
      <c r="C1329" s="28" t="s">
        <v>30</v>
      </c>
      <c r="D1329" s="28" t="s">
        <v>21</v>
      </c>
      <c r="E1329" s="28"/>
      <c r="F1329" s="28" t="s">
        <v>2260</v>
      </c>
      <c r="G1329" s="28">
        <v>0.05</v>
      </c>
      <c r="H1329" s="28" t="s">
        <v>5</v>
      </c>
      <c r="I1329" s="28">
        <v>4145</v>
      </c>
      <c r="J1329" s="28" t="s">
        <v>25</v>
      </c>
      <c r="K1329" s="28" t="s">
        <v>25</v>
      </c>
      <c r="L1329" s="28" t="s">
        <v>26</v>
      </c>
      <c r="M1329" s="28" t="s">
        <v>38</v>
      </c>
      <c r="N1329" s="28" t="s">
        <v>39</v>
      </c>
      <c r="O1329" s="29">
        <v>36557</v>
      </c>
      <c r="P1329" s="28"/>
      <c r="Q1329" s="28"/>
      <c r="R1329" s="28">
        <v>0.05</v>
      </c>
      <c r="S1329" s="28" t="s">
        <v>29</v>
      </c>
    </row>
    <row r="1330" spans="1:19" ht="29.25">
      <c r="A1330" s="24">
        <v>56500</v>
      </c>
      <c r="B1330" s="24" t="s">
        <v>87</v>
      </c>
      <c r="C1330" s="24" t="s">
        <v>30</v>
      </c>
      <c r="D1330" s="24" t="s">
        <v>30</v>
      </c>
      <c r="E1330" s="24" t="s">
        <v>886</v>
      </c>
      <c r="F1330" s="24" t="s">
        <v>887</v>
      </c>
      <c r="G1330" s="24">
        <v>2.9</v>
      </c>
      <c r="H1330" s="24" t="s">
        <v>5</v>
      </c>
      <c r="I1330" s="24" t="s">
        <v>90</v>
      </c>
      <c r="J1330" s="24" t="s">
        <v>90</v>
      </c>
      <c r="K1330" s="24"/>
      <c r="L1330" s="24" t="s">
        <v>888</v>
      </c>
      <c r="M1330" s="24" t="s">
        <v>38</v>
      </c>
      <c r="N1330" s="24" t="s">
        <v>39</v>
      </c>
      <c r="O1330" s="25">
        <v>30317</v>
      </c>
      <c r="P1330" s="24"/>
      <c r="Q1330" s="24"/>
      <c r="R1330" s="24">
        <v>2.9</v>
      </c>
      <c r="S1330" s="24" t="s">
        <v>29</v>
      </c>
    </row>
    <row r="1331" spans="1:19" ht="29.25">
      <c r="A1331" s="26">
        <v>56501</v>
      </c>
      <c r="B1331" s="26" t="s">
        <v>87</v>
      </c>
      <c r="C1331" s="26" t="s">
        <v>30</v>
      </c>
      <c r="D1331" s="26" t="s">
        <v>21</v>
      </c>
      <c r="E1331" s="26"/>
      <c r="F1331" s="26" t="s">
        <v>1684</v>
      </c>
      <c r="G1331" s="26"/>
      <c r="H1331" s="26" t="s">
        <v>5</v>
      </c>
      <c r="I1331" s="26">
        <v>2265</v>
      </c>
      <c r="J1331" s="26" t="s">
        <v>694</v>
      </c>
      <c r="K1331" s="26"/>
      <c r="L1331" s="26"/>
      <c r="M1331" s="26" t="s">
        <v>38</v>
      </c>
      <c r="N1331" s="26" t="s">
        <v>39</v>
      </c>
      <c r="O1331" s="27">
        <v>32273</v>
      </c>
      <c r="P1331" s="26"/>
      <c r="Q1331" s="26"/>
      <c r="R1331" s="26">
        <v>0.1</v>
      </c>
      <c r="S1331" s="26" t="s">
        <v>29</v>
      </c>
    </row>
    <row r="1332" spans="1:19">
      <c r="A1332" s="26">
        <v>56505</v>
      </c>
      <c r="B1332" s="26" t="s">
        <v>87</v>
      </c>
      <c r="C1332" s="26" t="s">
        <v>30</v>
      </c>
      <c r="D1332" s="26" t="s">
        <v>21</v>
      </c>
      <c r="E1332" s="26"/>
      <c r="F1332" s="26" t="s">
        <v>3266</v>
      </c>
      <c r="G1332" s="26"/>
      <c r="H1332" s="26" t="s">
        <v>5</v>
      </c>
      <c r="I1332" s="26">
        <v>2062</v>
      </c>
      <c r="J1332" s="26" t="s">
        <v>694</v>
      </c>
      <c r="K1332" s="26"/>
      <c r="L1332" s="26"/>
      <c r="M1332" s="26" t="s">
        <v>38</v>
      </c>
      <c r="N1332" s="26" t="s">
        <v>39</v>
      </c>
      <c r="O1332" s="26" t="s">
        <v>4687</v>
      </c>
      <c r="P1332" s="26"/>
      <c r="Q1332" s="26"/>
      <c r="R1332" s="26">
        <v>0.06</v>
      </c>
      <c r="S1332" s="26" t="s">
        <v>29</v>
      </c>
    </row>
    <row r="1333" spans="1:19" ht="29.25">
      <c r="A1333" s="26">
        <v>56503</v>
      </c>
      <c r="B1333" s="26" t="s">
        <v>87</v>
      </c>
      <c r="C1333" s="26" t="s">
        <v>30</v>
      </c>
      <c r="D1333" s="26" t="s">
        <v>21</v>
      </c>
      <c r="E1333" s="26"/>
      <c r="F1333" s="26" t="s">
        <v>964</v>
      </c>
      <c r="G1333" s="26"/>
      <c r="H1333" s="26" t="s">
        <v>5</v>
      </c>
      <c r="I1333" s="26">
        <v>1009</v>
      </c>
      <c r="J1333" s="26" t="s">
        <v>788</v>
      </c>
      <c r="K1333" s="26"/>
      <c r="L1333" s="26"/>
      <c r="M1333" s="26" t="s">
        <v>38</v>
      </c>
      <c r="N1333" s="26" t="s">
        <v>39</v>
      </c>
      <c r="O1333" s="27">
        <v>30642</v>
      </c>
      <c r="P1333" s="26"/>
      <c r="Q1333" s="26"/>
      <c r="R1333" s="26">
        <v>2.5499999999999998</v>
      </c>
      <c r="S1333" s="26" t="s">
        <v>29</v>
      </c>
    </row>
    <row r="1334" spans="1:19" ht="29.25">
      <c r="A1334" s="24">
        <v>56600</v>
      </c>
      <c r="B1334" s="24" t="s">
        <v>87</v>
      </c>
      <c r="C1334" s="24" t="s">
        <v>30</v>
      </c>
      <c r="D1334" s="24" t="s">
        <v>30</v>
      </c>
      <c r="E1334" s="24" t="s">
        <v>3267</v>
      </c>
      <c r="F1334" s="24" t="s">
        <v>3268</v>
      </c>
      <c r="G1334" s="24">
        <v>1.25</v>
      </c>
      <c r="H1334" s="24" t="s">
        <v>24</v>
      </c>
      <c r="I1334" s="24" t="s">
        <v>90</v>
      </c>
      <c r="J1334" s="24" t="s">
        <v>25</v>
      </c>
      <c r="K1334" s="24" t="s">
        <v>25</v>
      </c>
      <c r="L1334" s="24" t="s">
        <v>26</v>
      </c>
      <c r="M1334" s="24" t="s">
        <v>27</v>
      </c>
      <c r="N1334" s="24" t="s">
        <v>28</v>
      </c>
      <c r="O1334" s="263">
        <v>32478</v>
      </c>
      <c r="P1334" s="24"/>
      <c r="Q1334" s="24"/>
      <c r="R1334" s="24">
        <v>0.8</v>
      </c>
      <c r="S1334" s="24" t="s">
        <v>29</v>
      </c>
    </row>
    <row r="1335" spans="1:19" ht="29.25">
      <c r="A1335" s="26">
        <v>56601</v>
      </c>
      <c r="B1335" s="26" t="s">
        <v>87</v>
      </c>
      <c r="C1335" s="26" t="s">
        <v>30</v>
      </c>
      <c r="D1335" s="26" t="s">
        <v>21</v>
      </c>
      <c r="E1335" s="26"/>
      <c r="F1335" s="26" t="s">
        <v>1739</v>
      </c>
      <c r="G1335" s="26"/>
      <c r="H1335" s="26" t="s">
        <v>24</v>
      </c>
      <c r="I1335" s="26" t="s">
        <v>1740</v>
      </c>
      <c r="J1335" s="26" t="s">
        <v>25</v>
      </c>
      <c r="K1335" s="26" t="s">
        <v>25</v>
      </c>
      <c r="L1335" s="26" t="s">
        <v>26</v>
      </c>
      <c r="M1335" s="26" t="s">
        <v>27</v>
      </c>
      <c r="N1335" s="26" t="s">
        <v>28</v>
      </c>
      <c r="O1335" s="27">
        <v>32478</v>
      </c>
      <c r="P1335" s="26"/>
      <c r="Q1335" s="26"/>
      <c r="R1335" s="26">
        <v>0.8</v>
      </c>
      <c r="S1335" s="26" t="s">
        <v>29</v>
      </c>
    </row>
    <row r="1336" spans="1:19">
      <c r="A1336" s="28">
        <v>56800</v>
      </c>
      <c r="B1336" s="28" t="s">
        <v>87</v>
      </c>
      <c r="C1336" s="28" t="s">
        <v>30</v>
      </c>
      <c r="D1336" s="28" t="s">
        <v>21</v>
      </c>
      <c r="E1336" s="28" t="s">
        <v>1817</v>
      </c>
      <c r="F1336" s="28" t="s">
        <v>1818</v>
      </c>
      <c r="G1336" s="28">
        <v>52.9</v>
      </c>
      <c r="H1336" s="28" t="s">
        <v>24</v>
      </c>
      <c r="I1336" s="28" t="s">
        <v>1819</v>
      </c>
      <c r="J1336" s="28" t="s">
        <v>694</v>
      </c>
      <c r="K1336" s="28" t="s">
        <v>580</v>
      </c>
      <c r="L1336" s="28" t="s">
        <v>240</v>
      </c>
      <c r="M1336" s="28" t="s">
        <v>193</v>
      </c>
      <c r="N1336" s="28" t="s">
        <v>194</v>
      </c>
      <c r="O1336" s="29">
        <v>32583</v>
      </c>
      <c r="P1336" s="28"/>
      <c r="Q1336" s="28"/>
      <c r="R1336" s="28">
        <v>52.9</v>
      </c>
      <c r="S1336" s="28" t="s">
        <v>29</v>
      </c>
    </row>
    <row r="1337" spans="1:19" ht="43.5">
      <c r="A1337" s="24">
        <v>56900</v>
      </c>
      <c r="B1337" s="24" t="s">
        <v>87</v>
      </c>
      <c r="C1337" s="24" t="s">
        <v>30</v>
      </c>
      <c r="D1337" s="24" t="s">
        <v>30</v>
      </c>
      <c r="E1337" s="24" t="s">
        <v>3269</v>
      </c>
      <c r="F1337" s="24" t="s">
        <v>3270</v>
      </c>
      <c r="G1337" s="24">
        <v>1.2</v>
      </c>
      <c r="H1337" s="24" t="s">
        <v>24</v>
      </c>
      <c r="I1337" s="24" t="s">
        <v>90</v>
      </c>
      <c r="J1337" s="24" t="s">
        <v>788</v>
      </c>
      <c r="K1337" s="24"/>
      <c r="L1337" s="24" t="s">
        <v>888</v>
      </c>
      <c r="M1337" s="24" t="s">
        <v>193</v>
      </c>
      <c r="N1337" s="24" t="s">
        <v>194</v>
      </c>
      <c r="O1337" s="263">
        <v>33274</v>
      </c>
      <c r="P1337" s="24"/>
      <c r="Q1337" s="24"/>
      <c r="R1337" s="24">
        <v>0.05</v>
      </c>
      <c r="S1337" s="24" t="s">
        <v>29</v>
      </c>
    </row>
    <row r="1338" spans="1:19" ht="29.25">
      <c r="A1338" s="26">
        <v>56902</v>
      </c>
      <c r="B1338" s="26" t="s">
        <v>87</v>
      </c>
      <c r="C1338" s="26" t="s">
        <v>30</v>
      </c>
      <c r="D1338" s="26" t="s">
        <v>21</v>
      </c>
      <c r="E1338" s="26"/>
      <c r="F1338" s="26" t="s">
        <v>2065</v>
      </c>
      <c r="G1338" s="26"/>
      <c r="H1338" s="26" t="s">
        <v>24</v>
      </c>
      <c r="I1338" s="26" t="s">
        <v>2066</v>
      </c>
      <c r="J1338" s="26" t="s">
        <v>788</v>
      </c>
      <c r="K1338" s="26"/>
      <c r="L1338" s="26"/>
      <c r="M1338" s="26" t="s">
        <v>193</v>
      </c>
      <c r="N1338" s="26" t="s">
        <v>194</v>
      </c>
      <c r="O1338" s="27">
        <v>33274</v>
      </c>
      <c r="P1338" s="26"/>
      <c r="Q1338" s="26"/>
      <c r="R1338" s="26">
        <v>0.05</v>
      </c>
      <c r="S1338" s="26" t="s">
        <v>29</v>
      </c>
    </row>
    <row r="1339" spans="1:19" ht="29.25">
      <c r="A1339" s="24">
        <v>57000</v>
      </c>
      <c r="B1339" s="24" t="s">
        <v>87</v>
      </c>
      <c r="C1339" s="24" t="s">
        <v>30</v>
      </c>
      <c r="D1339" s="24" t="s">
        <v>30</v>
      </c>
      <c r="E1339" s="24" t="s">
        <v>3271</v>
      </c>
      <c r="F1339" s="24" t="s">
        <v>3272</v>
      </c>
      <c r="G1339" s="24">
        <v>1.25</v>
      </c>
      <c r="H1339" s="24" t="s">
        <v>24</v>
      </c>
      <c r="I1339" s="24" t="s">
        <v>90</v>
      </c>
      <c r="J1339" s="24" t="s">
        <v>694</v>
      </c>
      <c r="K1339" s="24"/>
      <c r="L1339" s="24" t="s">
        <v>240</v>
      </c>
      <c r="M1339" s="24" t="s">
        <v>27</v>
      </c>
      <c r="N1339" s="24" t="s">
        <v>28</v>
      </c>
      <c r="O1339" s="24" t="s">
        <v>4687</v>
      </c>
      <c r="P1339" s="24"/>
      <c r="Q1339" s="24"/>
      <c r="R1339" s="24">
        <v>0.06</v>
      </c>
      <c r="S1339" s="24" t="s">
        <v>29</v>
      </c>
    </row>
    <row r="1340" spans="1:19">
      <c r="A1340" s="26">
        <v>57001</v>
      </c>
      <c r="B1340" s="26" t="s">
        <v>87</v>
      </c>
      <c r="C1340" s="26" t="s">
        <v>30</v>
      </c>
      <c r="D1340" s="26" t="s">
        <v>21</v>
      </c>
      <c r="E1340" s="26"/>
      <c r="F1340" s="26" t="s">
        <v>3273</v>
      </c>
      <c r="G1340" s="26"/>
      <c r="H1340" s="26" t="s">
        <v>24</v>
      </c>
      <c r="I1340" s="26" t="s">
        <v>3274</v>
      </c>
      <c r="J1340" s="26" t="s">
        <v>694</v>
      </c>
      <c r="K1340" s="26"/>
      <c r="L1340" s="26" t="s">
        <v>240</v>
      </c>
      <c r="M1340" s="26" t="s">
        <v>27</v>
      </c>
      <c r="N1340" s="26" t="s">
        <v>28</v>
      </c>
      <c r="O1340" s="26" t="s">
        <v>4687</v>
      </c>
      <c r="P1340" s="26"/>
      <c r="Q1340" s="26"/>
      <c r="R1340" s="26">
        <v>0.06</v>
      </c>
      <c r="S1340" s="26" t="s">
        <v>29</v>
      </c>
    </row>
    <row r="1341" spans="1:19" ht="29.25">
      <c r="A1341" s="24">
        <v>94100</v>
      </c>
      <c r="B1341" s="24" t="s">
        <v>87</v>
      </c>
      <c r="C1341" s="24" t="s">
        <v>30</v>
      </c>
      <c r="D1341" s="24" t="s">
        <v>30</v>
      </c>
      <c r="E1341" s="24" t="s">
        <v>3275</v>
      </c>
      <c r="F1341" s="24" t="s">
        <v>3276</v>
      </c>
      <c r="G1341" s="24">
        <v>2.2999999999999998</v>
      </c>
      <c r="H1341" s="24" t="s">
        <v>24</v>
      </c>
      <c r="I1341" s="24"/>
      <c r="J1341" s="24" t="s">
        <v>365</v>
      </c>
      <c r="K1341" s="24" t="s">
        <v>1022</v>
      </c>
      <c r="L1341" s="24" t="s">
        <v>928</v>
      </c>
      <c r="M1341" s="24" t="s">
        <v>27</v>
      </c>
      <c r="N1341" s="24" t="s">
        <v>28</v>
      </c>
      <c r="O1341" s="263">
        <v>31707</v>
      </c>
      <c r="P1341" s="24" t="s">
        <v>3216</v>
      </c>
      <c r="Q1341" s="24"/>
      <c r="R1341" s="24">
        <v>2.2999999999999998</v>
      </c>
      <c r="S1341" s="24" t="s">
        <v>29</v>
      </c>
    </row>
    <row r="1342" spans="1:19" ht="57.75">
      <c r="A1342" s="26">
        <v>58001</v>
      </c>
      <c r="B1342" s="26" t="s">
        <v>87</v>
      </c>
      <c r="C1342" s="26" t="s">
        <v>30</v>
      </c>
      <c r="D1342" s="26" t="s">
        <v>21</v>
      </c>
      <c r="E1342" s="26"/>
      <c r="F1342" s="26" t="s">
        <v>1427</v>
      </c>
      <c r="G1342" s="26">
        <v>2.2000000000000002</v>
      </c>
      <c r="H1342" s="26" t="s">
        <v>24</v>
      </c>
      <c r="I1342" s="26" t="s">
        <v>1428</v>
      </c>
      <c r="J1342" s="26" t="s">
        <v>788</v>
      </c>
      <c r="K1342" s="26"/>
      <c r="L1342" s="26"/>
      <c r="M1342" s="26" t="s">
        <v>27</v>
      </c>
      <c r="N1342" s="26" t="s">
        <v>28</v>
      </c>
      <c r="O1342" s="27">
        <v>31707</v>
      </c>
      <c r="P1342" s="26" t="s">
        <v>1429</v>
      </c>
      <c r="Q1342" s="26"/>
      <c r="R1342" s="26">
        <v>2.2000000000000002</v>
      </c>
      <c r="S1342" s="26" t="s">
        <v>29</v>
      </c>
    </row>
    <row r="1343" spans="1:19" ht="43.5">
      <c r="A1343" s="26">
        <v>59706</v>
      </c>
      <c r="B1343" s="26" t="s">
        <v>87</v>
      </c>
      <c r="C1343" s="26" t="s">
        <v>30</v>
      </c>
      <c r="D1343" s="26" t="s">
        <v>21</v>
      </c>
      <c r="E1343" s="26"/>
      <c r="F1343" s="26" t="s">
        <v>3277</v>
      </c>
      <c r="G1343" s="26"/>
      <c r="H1343" s="26" t="s">
        <v>24</v>
      </c>
      <c r="I1343" s="26" t="s">
        <v>3278</v>
      </c>
      <c r="J1343" s="26" t="s">
        <v>694</v>
      </c>
      <c r="K1343" s="26"/>
      <c r="L1343" s="26" t="s">
        <v>240</v>
      </c>
      <c r="M1343" s="26" t="s">
        <v>27</v>
      </c>
      <c r="N1343" s="26" t="s">
        <v>28</v>
      </c>
      <c r="O1343" s="26" t="s">
        <v>4687</v>
      </c>
      <c r="P1343" s="26" t="s">
        <v>1874</v>
      </c>
      <c r="Q1343" s="26"/>
      <c r="R1343" s="26">
        <v>0.06</v>
      </c>
      <c r="S1343" s="26" t="s">
        <v>29</v>
      </c>
    </row>
    <row r="1344" spans="1:19" ht="43.5">
      <c r="A1344" s="26">
        <v>59701</v>
      </c>
      <c r="B1344" s="26" t="s">
        <v>87</v>
      </c>
      <c r="C1344" s="26" t="s">
        <v>30</v>
      </c>
      <c r="D1344" s="26" t="s">
        <v>21</v>
      </c>
      <c r="E1344" s="26"/>
      <c r="F1344" s="26" t="s">
        <v>1872</v>
      </c>
      <c r="G1344" s="26"/>
      <c r="H1344" s="26" t="s">
        <v>24</v>
      </c>
      <c r="I1344" s="26" t="s">
        <v>1873</v>
      </c>
      <c r="J1344" s="26" t="s">
        <v>694</v>
      </c>
      <c r="K1344" s="26"/>
      <c r="L1344" s="26" t="s">
        <v>240</v>
      </c>
      <c r="M1344" s="26" t="s">
        <v>27</v>
      </c>
      <c r="N1344" s="26" t="s">
        <v>28</v>
      </c>
      <c r="O1344" s="27">
        <v>32787</v>
      </c>
      <c r="P1344" s="26" t="s">
        <v>1874</v>
      </c>
      <c r="Q1344" s="26"/>
      <c r="R1344" s="26">
        <v>0.06</v>
      </c>
      <c r="S1344" s="26" t="s">
        <v>29</v>
      </c>
    </row>
    <row r="1345" spans="1:19" ht="29.25">
      <c r="A1345" s="28">
        <v>57100</v>
      </c>
      <c r="B1345" s="28" t="s">
        <v>87</v>
      </c>
      <c r="C1345" s="28" t="s">
        <v>30</v>
      </c>
      <c r="D1345" s="28" t="s">
        <v>21</v>
      </c>
      <c r="E1345" s="28"/>
      <c r="F1345" s="28" t="s">
        <v>3279</v>
      </c>
      <c r="G1345" s="28">
        <v>0.95</v>
      </c>
      <c r="H1345" s="28" t="s">
        <v>5</v>
      </c>
      <c r="I1345" s="28">
        <v>1108</v>
      </c>
      <c r="J1345" s="28" t="s">
        <v>788</v>
      </c>
      <c r="K1345" s="28"/>
      <c r="L1345" s="28"/>
      <c r="M1345" s="28" t="s">
        <v>38</v>
      </c>
      <c r="N1345" s="28" t="s">
        <v>39</v>
      </c>
      <c r="O1345" s="28" t="s">
        <v>4687</v>
      </c>
      <c r="P1345" s="28"/>
      <c r="Q1345" s="28"/>
      <c r="R1345" s="28">
        <v>0.95</v>
      </c>
      <c r="S1345" s="28" t="s">
        <v>29</v>
      </c>
    </row>
    <row r="1346" spans="1:19" ht="29.25">
      <c r="A1346" s="24">
        <v>57400</v>
      </c>
      <c r="B1346" s="24" t="s">
        <v>87</v>
      </c>
      <c r="C1346" s="24" t="s">
        <v>30</v>
      </c>
      <c r="D1346" s="24" t="s">
        <v>30</v>
      </c>
      <c r="E1346" s="24" t="s">
        <v>763</v>
      </c>
      <c r="F1346" s="24" t="s">
        <v>764</v>
      </c>
      <c r="G1346" s="24">
        <v>50</v>
      </c>
      <c r="H1346" s="24" t="s">
        <v>143</v>
      </c>
      <c r="I1346" s="24" t="s">
        <v>90</v>
      </c>
      <c r="J1346" s="24" t="s">
        <v>90</v>
      </c>
      <c r="K1346" s="24" t="s">
        <v>90</v>
      </c>
      <c r="L1346" s="24" t="s">
        <v>26</v>
      </c>
      <c r="M1346" s="24" t="s">
        <v>38</v>
      </c>
      <c r="N1346" s="24" t="s">
        <v>144</v>
      </c>
      <c r="O1346" s="25">
        <v>29221</v>
      </c>
      <c r="P1346" s="24"/>
      <c r="Q1346" s="24"/>
      <c r="R1346" s="24">
        <v>18.53</v>
      </c>
      <c r="S1346" s="24" t="s">
        <v>29</v>
      </c>
    </row>
    <row r="1347" spans="1:19">
      <c r="A1347" s="26">
        <v>57416</v>
      </c>
      <c r="B1347" s="26" t="s">
        <v>87</v>
      </c>
      <c r="C1347" s="26" t="s">
        <v>30</v>
      </c>
      <c r="D1347" s="26" t="s">
        <v>21</v>
      </c>
      <c r="E1347" s="26"/>
      <c r="F1347" s="26" t="s">
        <v>1315</v>
      </c>
      <c r="G1347" s="26"/>
      <c r="H1347" s="26" t="s">
        <v>143</v>
      </c>
      <c r="I1347" s="26">
        <v>77</v>
      </c>
      <c r="J1347" s="26" t="s">
        <v>694</v>
      </c>
      <c r="K1347" s="26"/>
      <c r="L1347" s="26" t="s">
        <v>240</v>
      </c>
      <c r="M1347" s="26" t="s">
        <v>38</v>
      </c>
      <c r="N1347" s="26" t="s">
        <v>144</v>
      </c>
      <c r="O1347" s="27">
        <v>31413</v>
      </c>
      <c r="P1347" s="26"/>
      <c r="Q1347" s="26"/>
      <c r="R1347" s="26">
        <v>1.3</v>
      </c>
      <c r="S1347" s="26" t="s">
        <v>29</v>
      </c>
    </row>
    <row r="1348" spans="1:19" ht="29.25">
      <c r="A1348" s="26">
        <v>57415</v>
      </c>
      <c r="B1348" s="26" t="s">
        <v>87</v>
      </c>
      <c r="C1348" s="26" t="s">
        <v>30</v>
      </c>
      <c r="D1348" s="26" t="s">
        <v>21</v>
      </c>
      <c r="E1348" s="26"/>
      <c r="F1348" s="26" t="s">
        <v>142</v>
      </c>
      <c r="G1348" s="26"/>
      <c r="H1348" s="26" t="s">
        <v>143</v>
      </c>
      <c r="I1348" s="26">
        <v>225</v>
      </c>
      <c r="J1348" s="26" t="s">
        <v>25</v>
      </c>
      <c r="K1348" s="26" t="s">
        <v>25</v>
      </c>
      <c r="L1348" s="26" t="s">
        <v>26</v>
      </c>
      <c r="M1348" s="26" t="s">
        <v>38</v>
      </c>
      <c r="N1348" s="26" t="s">
        <v>144</v>
      </c>
      <c r="O1348" s="27">
        <v>5480</v>
      </c>
      <c r="P1348" s="26"/>
      <c r="Q1348" s="26"/>
      <c r="R1348" s="26">
        <v>0.45</v>
      </c>
      <c r="S1348" s="26" t="s">
        <v>29</v>
      </c>
    </row>
    <row r="1349" spans="1:19">
      <c r="A1349" s="26">
        <v>57413</v>
      </c>
      <c r="B1349" s="26" t="s">
        <v>87</v>
      </c>
      <c r="C1349" s="26" t="s">
        <v>30</v>
      </c>
      <c r="D1349" s="26" t="s">
        <v>21</v>
      </c>
      <c r="E1349" s="26"/>
      <c r="F1349" s="26" t="s">
        <v>1165</v>
      </c>
      <c r="G1349" s="26"/>
      <c r="H1349" s="26" t="s">
        <v>143</v>
      </c>
      <c r="I1349" s="26">
        <v>150</v>
      </c>
      <c r="J1349" s="26" t="s">
        <v>25</v>
      </c>
      <c r="K1349" s="26" t="s">
        <v>25</v>
      </c>
      <c r="L1349" s="26" t="s">
        <v>26</v>
      </c>
      <c r="M1349" s="26" t="s">
        <v>38</v>
      </c>
      <c r="N1349" s="26" t="s">
        <v>144</v>
      </c>
      <c r="O1349" s="27">
        <v>31048</v>
      </c>
      <c r="P1349" s="26"/>
      <c r="Q1349" s="26"/>
      <c r="R1349" s="26">
        <v>0.8</v>
      </c>
      <c r="S1349" s="26" t="s">
        <v>29</v>
      </c>
    </row>
    <row r="1350" spans="1:19">
      <c r="A1350" s="26">
        <v>57404</v>
      </c>
      <c r="B1350" s="26" t="s">
        <v>87</v>
      </c>
      <c r="C1350" s="26" t="s">
        <v>30</v>
      </c>
      <c r="D1350" s="26" t="s">
        <v>21</v>
      </c>
      <c r="E1350" s="26"/>
      <c r="F1350" s="26" t="s">
        <v>1490</v>
      </c>
      <c r="G1350" s="26"/>
      <c r="H1350" s="26" t="s">
        <v>143</v>
      </c>
      <c r="I1350" s="26">
        <v>17</v>
      </c>
      <c r="J1350" s="26" t="s">
        <v>25</v>
      </c>
      <c r="K1350" s="26" t="s">
        <v>25</v>
      </c>
      <c r="L1350" s="26" t="s">
        <v>26</v>
      </c>
      <c r="M1350" s="26" t="s">
        <v>38</v>
      </c>
      <c r="N1350" s="26" t="s">
        <v>144</v>
      </c>
      <c r="O1350" s="27">
        <v>31778</v>
      </c>
      <c r="P1350" s="26"/>
      <c r="Q1350" s="26"/>
      <c r="R1350" s="26">
        <v>1.49</v>
      </c>
      <c r="S1350" s="26" t="s">
        <v>29</v>
      </c>
    </row>
    <row r="1351" spans="1:19">
      <c r="A1351" s="26">
        <v>57405</v>
      </c>
      <c r="B1351" s="26" t="s">
        <v>87</v>
      </c>
      <c r="C1351" s="26" t="s">
        <v>30</v>
      </c>
      <c r="D1351" s="26" t="s">
        <v>21</v>
      </c>
      <c r="E1351" s="26"/>
      <c r="F1351" s="26" t="s">
        <v>889</v>
      </c>
      <c r="G1351" s="26"/>
      <c r="H1351" s="26" t="s">
        <v>143</v>
      </c>
      <c r="I1351" s="26">
        <v>9</v>
      </c>
      <c r="J1351" s="26" t="s">
        <v>694</v>
      </c>
      <c r="K1351" s="26"/>
      <c r="L1351" s="26" t="s">
        <v>240</v>
      </c>
      <c r="M1351" s="26" t="s">
        <v>38</v>
      </c>
      <c r="N1351" s="26" t="s">
        <v>144</v>
      </c>
      <c r="O1351" s="27">
        <v>30317</v>
      </c>
      <c r="P1351" s="26"/>
      <c r="Q1351" s="26"/>
      <c r="R1351" s="26">
        <v>1.05</v>
      </c>
      <c r="S1351" s="26" t="s">
        <v>29</v>
      </c>
    </row>
    <row r="1352" spans="1:19" ht="29.25">
      <c r="A1352" s="26">
        <v>57414</v>
      </c>
      <c r="B1352" s="26" t="s">
        <v>87</v>
      </c>
      <c r="C1352" s="26" t="s">
        <v>30</v>
      </c>
      <c r="D1352" s="26" t="s">
        <v>21</v>
      </c>
      <c r="E1352" s="26"/>
      <c r="F1352" s="26" t="s">
        <v>1009</v>
      </c>
      <c r="G1352" s="26"/>
      <c r="H1352" s="26" t="s">
        <v>143</v>
      </c>
      <c r="I1352" s="26">
        <v>208</v>
      </c>
      <c r="J1352" s="26" t="s">
        <v>694</v>
      </c>
      <c r="K1352" s="26"/>
      <c r="L1352" s="26" t="s">
        <v>240</v>
      </c>
      <c r="M1352" s="26" t="s">
        <v>38</v>
      </c>
      <c r="N1352" s="26" t="s">
        <v>144</v>
      </c>
      <c r="O1352" s="27">
        <v>30682</v>
      </c>
      <c r="P1352" s="26"/>
      <c r="Q1352" s="26"/>
      <c r="R1352" s="26">
        <v>1.6</v>
      </c>
      <c r="S1352" s="26" t="s">
        <v>29</v>
      </c>
    </row>
    <row r="1353" spans="1:19" ht="29.25">
      <c r="A1353" s="26">
        <v>57418</v>
      </c>
      <c r="B1353" s="26" t="s">
        <v>87</v>
      </c>
      <c r="C1353" s="26" t="s">
        <v>30</v>
      </c>
      <c r="D1353" s="26" t="s">
        <v>21</v>
      </c>
      <c r="E1353" s="26"/>
      <c r="F1353" s="26" t="s">
        <v>1166</v>
      </c>
      <c r="G1353" s="26"/>
      <c r="H1353" s="26" t="s">
        <v>143</v>
      </c>
      <c r="I1353" s="26">
        <v>119</v>
      </c>
      <c r="J1353" s="26" t="s">
        <v>25</v>
      </c>
      <c r="K1353" s="26" t="s">
        <v>25</v>
      </c>
      <c r="L1353" s="26" t="s">
        <v>26</v>
      </c>
      <c r="M1353" s="26" t="s">
        <v>38</v>
      </c>
      <c r="N1353" s="26" t="s">
        <v>144</v>
      </c>
      <c r="O1353" s="27">
        <v>31048</v>
      </c>
      <c r="P1353" s="26"/>
      <c r="Q1353" s="26"/>
      <c r="R1353" s="26">
        <v>0.35</v>
      </c>
      <c r="S1353" s="26" t="s">
        <v>29</v>
      </c>
    </row>
    <row r="1354" spans="1:19">
      <c r="A1354" s="26">
        <v>57417</v>
      </c>
      <c r="B1354" s="26" t="s">
        <v>87</v>
      </c>
      <c r="C1354" s="26" t="s">
        <v>30</v>
      </c>
      <c r="D1354" s="26" t="s">
        <v>21</v>
      </c>
      <c r="E1354" s="26"/>
      <c r="F1354" s="26" t="s">
        <v>1011</v>
      </c>
      <c r="G1354" s="26"/>
      <c r="H1354" s="26" t="s">
        <v>143</v>
      </c>
      <c r="I1354" s="26">
        <v>19</v>
      </c>
      <c r="J1354" s="26" t="s">
        <v>694</v>
      </c>
      <c r="K1354" s="26"/>
      <c r="L1354" s="26" t="s">
        <v>240</v>
      </c>
      <c r="M1354" s="26" t="s">
        <v>38</v>
      </c>
      <c r="N1354" s="26" t="s">
        <v>144</v>
      </c>
      <c r="O1354" s="27">
        <v>30682</v>
      </c>
      <c r="P1354" s="26"/>
      <c r="Q1354" s="26"/>
      <c r="R1354" s="26">
        <v>1.3</v>
      </c>
      <c r="S1354" s="26" t="s">
        <v>29</v>
      </c>
    </row>
    <row r="1355" spans="1:19">
      <c r="A1355" s="26">
        <v>57420</v>
      </c>
      <c r="B1355" s="26" t="s">
        <v>87</v>
      </c>
      <c r="C1355" s="26" t="s">
        <v>30</v>
      </c>
      <c r="D1355" s="26" t="s">
        <v>21</v>
      </c>
      <c r="E1355" s="26"/>
      <c r="F1355" s="26" t="s">
        <v>1010</v>
      </c>
      <c r="G1355" s="26"/>
      <c r="H1355" s="26" t="s">
        <v>143</v>
      </c>
      <c r="I1355" s="26">
        <v>92</v>
      </c>
      <c r="J1355" s="26" t="s">
        <v>694</v>
      </c>
      <c r="K1355" s="26"/>
      <c r="L1355" s="26" t="s">
        <v>240</v>
      </c>
      <c r="M1355" s="26" t="s">
        <v>38</v>
      </c>
      <c r="N1355" s="26" t="s">
        <v>144</v>
      </c>
      <c r="O1355" s="27">
        <v>30682</v>
      </c>
      <c r="P1355" s="26"/>
      <c r="Q1355" s="26"/>
      <c r="R1355" s="26">
        <v>1.3</v>
      </c>
      <c r="S1355" s="26" t="s">
        <v>29</v>
      </c>
    </row>
    <row r="1356" spans="1:19">
      <c r="A1356" s="26">
        <v>57403</v>
      </c>
      <c r="B1356" s="26" t="s">
        <v>87</v>
      </c>
      <c r="C1356" s="26" t="s">
        <v>30</v>
      </c>
      <c r="D1356" s="26" t="s">
        <v>21</v>
      </c>
      <c r="E1356" s="26"/>
      <c r="F1356" s="26" t="s">
        <v>1164</v>
      </c>
      <c r="G1356" s="26"/>
      <c r="H1356" s="26" t="s">
        <v>143</v>
      </c>
      <c r="I1356" s="26">
        <v>151</v>
      </c>
      <c r="J1356" s="26" t="s">
        <v>25</v>
      </c>
      <c r="K1356" s="26" t="s">
        <v>25</v>
      </c>
      <c r="L1356" s="26" t="s">
        <v>26</v>
      </c>
      <c r="M1356" s="26" t="s">
        <v>38</v>
      </c>
      <c r="N1356" s="26" t="s">
        <v>144</v>
      </c>
      <c r="O1356" s="27">
        <v>31048</v>
      </c>
      <c r="P1356" s="26"/>
      <c r="Q1356" s="26"/>
      <c r="R1356" s="26">
        <v>1.99</v>
      </c>
      <c r="S1356" s="26" t="s">
        <v>29</v>
      </c>
    </row>
    <row r="1357" spans="1:19" ht="43.5">
      <c r="A1357" s="26">
        <v>53000</v>
      </c>
      <c r="B1357" s="26" t="s">
        <v>87</v>
      </c>
      <c r="C1357" s="26" t="s">
        <v>30</v>
      </c>
      <c r="D1357" s="26" t="s">
        <v>21</v>
      </c>
      <c r="E1357" s="26" t="s">
        <v>1646</v>
      </c>
      <c r="F1357" s="26" t="s">
        <v>1647</v>
      </c>
      <c r="G1357" s="26">
        <v>5</v>
      </c>
      <c r="H1357" s="26" t="s">
        <v>143</v>
      </c>
      <c r="I1357" s="26">
        <v>388</v>
      </c>
      <c r="J1357" s="26" t="s">
        <v>694</v>
      </c>
      <c r="K1357" s="26" t="s">
        <v>296</v>
      </c>
      <c r="L1357" s="26" t="s">
        <v>240</v>
      </c>
      <c r="M1357" s="26" t="s">
        <v>38</v>
      </c>
      <c r="N1357" s="26" t="s">
        <v>144</v>
      </c>
      <c r="O1357" s="27">
        <v>32143</v>
      </c>
      <c r="P1357" s="26" t="s">
        <v>1648</v>
      </c>
      <c r="Q1357" s="26"/>
      <c r="R1357" s="26">
        <v>3.25</v>
      </c>
      <c r="S1357" s="26" t="s">
        <v>29</v>
      </c>
    </row>
    <row r="1358" spans="1:19">
      <c r="A1358" s="26">
        <v>69100</v>
      </c>
      <c r="B1358" s="26" t="s">
        <v>87</v>
      </c>
      <c r="C1358" s="26" t="s">
        <v>30</v>
      </c>
      <c r="D1358" s="26" t="s">
        <v>21</v>
      </c>
      <c r="E1358" s="26" t="s">
        <v>2185</v>
      </c>
      <c r="F1358" s="26" t="s">
        <v>2186</v>
      </c>
      <c r="G1358" s="26">
        <v>5</v>
      </c>
      <c r="H1358" s="26" t="s">
        <v>143</v>
      </c>
      <c r="I1358" s="26">
        <v>440</v>
      </c>
      <c r="J1358" s="26" t="s">
        <v>295</v>
      </c>
      <c r="K1358" s="26" t="s">
        <v>580</v>
      </c>
      <c r="L1358" s="26" t="s">
        <v>240</v>
      </c>
      <c r="M1358" s="26" t="s">
        <v>38</v>
      </c>
      <c r="N1358" s="26" t="s">
        <v>144</v>
      </c>
      <c r="O1358" s="27">
        <v>34700</v>
      </c>
      <c r="P1358" s="26"/>
      <c r="Q1358" s="26"/>
      <c r="R1358" s="26">
        <v>9.5</v>
      </c>
      <c r="S1358" s="26" t="s">
        <v>29</v>
      </c>
    </row>
    <row r="1359" spans="1:19" ht="29.25">
      <c r="A1359" s="26">
        <v>57406</v>
      </c>
      <c r="B1359" s="26" t="s">
        <v>87</v>
      </c>
      <c r="C1359" s="26" t="s">
        <v>30</v>
      </c>
      <c r="D1359" s="26" t="s">
        <v>21</v>
      </c>
      <c r="E1359" s="26"/>
      <c r="F1359" s="26" t="s">
        <v>3280</v>
      </c>
      <c r="G1359" s="26"/>
      <c r="H1359" s="26" t="s">
        <v>143</v>
      </c>
      <c r="I1359" s="26">
        <v>374</v>
      </c>
      <c r="J1359" s="26" t="s">
        <v>694</v>
      </c>
      <c r="K1359" s="26"/>
      <c r="L1359" s="26" t="s">
        <v>240</v>
      </c>
      <c r="M1359" s="26" t="s">
        <v>38</v>
      </c>
      <c r="N1359" s="26" t="s">
        <v>144</v>
      </c>
      <c r="O1359" s="26" t="s">
        <v>4687</v>
      </c>
      <c r="P1359" s="26"/>
      <c r="Q1359" s="26"/>
      <c r="R1359" s="26">
        <v>0.6</v>
      </c>
      <c r="S1359" s="26" t="s">
        <v>29</v>
      </c>
    </row>
    <row r="1360" spans="1:19">
      <c r="A1360" s="26">
        <v>57408</v>
      </c>
      <c r="B1360" s="26" t="s">
        <v>87</v>
      </c>
      <c r="C1360" s="26" t="s">
        <v>30</v>
      </c>
      <c r="D1360" s="26" t="s">
        <v>21</v>
      </c>
      <c r="E1360" s="26"/>
      <c r="F1360" s="26" t="s">
        <v>1012</v>
      </c>
      <c r="G1360" s="26"/>
      <c r="H1360" s="26" t="s">
        <v>143</v>
      </c>
      <c r="I1360" s="26">
        <v>75</v>
      </c>
      <c r="J1360" s="26" t="s">
        <v>694</v>
      </c>
      <c r="K1360" s="26"/>
      <c r="L1360" s="26" t="s">
        <v>240</v>
      </c>
      <c r="M1360" s="26" t="s">
        <v>38</v>
      </c>
      <c r="N1360" s="26" t="s">
        <v>144</v>
      </c>
      <c r="O1360" s="27">
        <v>30682</v>
      </c>
      <c r="P1360" s="26"/>
      <c r="Q1360" s="26"/>
      <c r="R1360" s="26">
        <v>1.54</v>
      </c>
      <c r="S1360" s="26" t="s">
        <v>29</v>
      </c>
    </row>
    <row r="1361" spans="1:19" ht="43.5">
      <c r="A1361" s="24">
        <v>57500</v>
      </c>
      <c r="B1361" s="24" t="s">
        <v>87</v>
      </c>
      <c r="C1361" s="24" t="s">
        <v>30</v>
      </c>
      <c r="D1361" s="24" t="s">
        <v>30</v>
      </c>
      <c r="E1361" s="24" t="s">
        <v>1491</v>
      </c>
      <c r="F1361" s="24" t="s">
        <v>1492</v>
      </c>
      <c r="G1361" s="24">
        <v>13</v>
      </c>
      <c r="H1361" s="24" t="s">
        <v>24</v>
      </c>
      <c r="I1361" s="24" t="s">
        <v>90</v>
      </c>
      <c r="J1361" s="24" t="s">
        <v>694</v>
      </c>
      <c r="K1361" s="24"/>
      <c r="L1361" s="24" t="s">
        <v>240</v>
      </c>
      <c r="M1361" s="24" t="s">
        <v>27</v>
      </c>
      <c r="N1361" s="24" t="s">
        <v>1420</v>
      </c>
      <c r="O1361" s="25">
        <v>31778</v>
      </c>
      <c r="P1361" s="24"/>
      <c r="Q1361" s="24"/>
      <c r="R1361" s="24">
        <v>13</v>
      </c>
      <c r="S1361" s="24" t="s">
        <v>29</v>
      </c>
    </row>
    <row r="1362" spans="1:19" ht="29.25">
      <c r="A1362" s="26">
        <v>57502</v>
      </c>
      <c r="B1362" s="26" t="s">
        <v>87</v>
      </c>
      <c r="C1362" s="26" t="s">
        <v>30</v>
      </c>
      <c r="D1362" s="26" t="s">
        <v>21</v>
      </c>
      <c r="E1362" s="26"/>
      <c r="F1362" s="26" t="s">
        <v>1590</v>
      </c>
      <c r="G1362" s="26"/>
      <c r="H1362" s="26" t="s">
        <v>24</v>
      </c>
      <c r="I1362" s="26" t="s">
        <v>1591</v>
      </c>
      <c r="J1362" s="26" t="s">
        <v>694</v>
      </c>
      <c r="K1362" s="26"/>
      <c r="L1362" s="26" t="s">
        <v>240</v>
      </c>
      <c r="M1362" s="26" t="s">
        <v>27</v>
      </c>
      <c r="N1362" s="26" t="s">
        <v>1420</v>
      </c>
      <c r="O1362" s="27">
        <v>32029</v>
      </c>
      <c r="P1362" s="26"/>
      <c r="Q1362" s="26"/>
      <c r="R1362" s="26">
        <v>0.09</v>
      </c>
      <c r="S1362" s="26" t="s">
        <v>29</v>
      </c>
    </row>
    <row r="1363" spans="1:19" ht="29.25">
      <c r="A1363" s="26">
        <v>57504</v>
      </c>
      <c r="B1363" s="26" t="s">
        <v>87</v>
      </c>
      <c r="C1363" s="26" t="s">
        <v>30</v>
      </c>
      <c r="D1363" s="26" t="s">
        <v>21</v>
      </c>
      <c r="E1363" s="26"/>
      <c r="F1363" s="26" t="s">
        <v>1565</v>
      </c>
      <c r="G1363" s="26"/>
      <c r="H1363" s="26" t="s">
        <v>24</v>
      </c>
      <c r="I1363" s="26" t="s">
        <v>1566</v>
      </c>
      <c r="J1363" s="26" t="s">
        <v>694</v>
      </c>
      <c r="K1363" s="26"/>
      <c r="L1363" s="26" t="s">
        <v>240</v>
      </c>
      <c r="M1363" s="26" t="s">
        <v>27</v>
      </c>
      <c r="N1363" s="26" t="s">
        <v>1420</v>
      </c>
      <c r="O1363" s="27">
        <v>31929</v>
      </c>
      <c r="P1363" s="26"/>
      <c r="Q1363" s="26"/>
      <c r="R1363" s="26">
        <v>1.5</v>
      </c>
      <c r="S1363" s="26" t="s">
        <v>29</v>
      </c>
    </row>
    <row r="1364" spans="1:19">
      <c r="A1364" s="26">
        <v>57503</v>
      </c>
      <c r="B1364" s="26" t="s">
        <v>87</v>
      </c>
      <c r="C1364" s="26" t="s">
        <v>30</v>
      </c>
      <c r="D1364" s="26" t="s">
        <v>21</v>
      </c>
      <c r="E1364" s="26"/>
      <c r="F1364" s="26" t="s">
        <v>2111</v>
      </c>
      <c r="G1364" s="26"/>
      <c r="H1364" s="26" t="s">
        <v>24</v>
      </c>
      <c r="I1364" s="26" t="s">
        <v>2112</v>
      </c>
      <c r="J1364" s="26" t="s">
        <v>694</v>
      </c>
      <c r="K1364" s="26"/>
      <c r="L1364" s="26" t="s">
        <v>240</v>
      </c>
      <c r="M1364" s="26" t="s">
        <v>27</v>
      </c>
      <c r="N1364" s="26" t="s">
        <v>1420</v>
      </c>
      <c r="O1364" s="27">
        <v>33756</v>
      </c>
      <c r="P1364" s="26"/>
      <c r="Q1364" s="26"/>
      <c r="R1364" s="26">
        <v>0.08</v>
      </c>
      <c r="S1364" s="26" t="s">
        <v>29</v>
      </c>
    </row>
    <row r="1365" spans="1:19">
      <c r="A1365" s="26">
        <v>57501</v>
      </c>
      <c r="B1365" s="26" t="s">
        <v>87</v>
      </c>
      <c r="C1365" s="26" t="s">
        <v>30</v>
      </c>
      <c r="D1365" s="26" t="s">
        <v>21</v>
      </c>
      <c r="E1365" s="26"/>
      <c r="F1365" s="26" t="s">
        <v>1670</v>
      </c>
      <c r="G1365" s="26"/>
      <c r="H1365" s="26" t="s">
        <v>24</v>
      </c>
      <c r="I1365" s="26" t="s">
        <v>1671</v>
      </c>
      <c r="J1365" s="26" t="s">
        <v>694</v>
      </c>
      <c r="K1365" s="26"/>
      <c r="L1365" s="26" t="s">
        <v>240</v>
      </c>
      <c r="M1365" s="26" t="s">
        <v>27</v>
      </c>
      <c r="N1365" s="26" t="s">
        <v>1420</v>
      </c>
      <c r="O1365" s="27">
        <v>32225</v>
      </c>
      <c r="P1365" s="26"/>
      <c r="Q1365" s="26"/>
      <c r="R1365" s="26">
        <v>0.06</v>
      </c>
      <c r="S1365" s="26" t="s">
        <v>29</v>
      </c>
    </row>
    <row r="1366" spans="1:19" ht="43.5">
      <c r="A1366" s="26">
        <v>72703</v>
      </c>
      <c r="B1366" s="26" t="s">
        <v>87</v>
      </c>
      <c r="C1366" s="26" t="s">
        <v>30</v>
      </c>
      <c r="D1366" s="26" t="s">
        <v>21</v>
      </c>
      <c r="E1366" s="26"/>
      <c r="F1366" s="26" t="s">
        <v>2231</v>
      </c>
      <c r="G1366" s="26"/>
      <c r="H1366" s="26" t="s">
        <v>24</v>
      </c>
      <c r="I1366" s="26" t="s">
        <v>2229</v>
      </c>
      <c r="J1366" s="26" t="s">
        <v>694</v>
      </c>
      <c r="K1366" s="26" t="s">
        <v>366</v>
      </c>
      <c r="L1366" s="26" t="s">
        <v>712</v>
      </c>
      <c r="M1366" s="26" t="s">
        <v>27</v>
      </c>
      <c r="N1366" s="26" t="s">
        <v>28</v>
      </c>
      <c r="O1366" s="27">
        <v>35821</v>
      </c>
      <c r="P1366" s="26"/>
      <c r="Q1366" s="26"/>
      <c r="R1366" s="26">
        <v>3.75</v>
      </c>
      <c r="S1366" s="26" t="s">
        <v>29</v>
      </c>
    </row>
    <row r="1367" spans="1:19" ht="43.5">
      <c r="A1367" s="26">
        <v>72702</v>
      </c>
      <c r="B1367" s="26" t="s">
        <v>87</v>
      </c>
      <c r="C1367" s="26" t="s">
        <v>30</v>
      </c>
      <c r="D1367" s="26" t="s">
        <v>21</v>
      </c>
      <c r="E1367" s="26"/>
      <c r="F1367" s="26" t="s">
        <v>2230</v>
      </c>
      <c r="G1367" s="26"/>
      <c r="H1367" s="26" t="s">
        <v>24</v>
      </c>
      <c r="I1367" s="26" t="s">
        <v>2229</v>
      </c>
      <c r="J1367" s="26" t="s">
        <v>694</v>
      </c>
      <c r="K1367" s="26" t="s">
        <v>580</v>
      </c>
      <c r="L1367" s="26" t="s">
        <v>240</v>
      </c>
      <c r="M1367" s="26" t="s">
        <v>27</v>
      </c>
      <c r="N1367" s="26" t="s">
        <v>28</v>
      </c>
      <c r="O1367" s="27">
        <v>35821</v>
      </c>
      <c r="P1367" s="26"/>
      <c r="Q1367" s="26"/>
      <c r="R1367" s="26">
        <v>4.75</v>
      </c>
      <c r="S1367" s="26" t="s">
        <v>29</v>
      </c>
    </row>
    <row r="1368" spans="1:19" ht="43.5">
      <c r="A1368" s="26">
        <v>72701</v>
      </c>
      <c r="B1368" s="26" t="s">
        <v>87</v>
      </c>
      <c r="C1368" s="26" t="s">
        <v>30</v>
      </c>
      <c r="D1368" s="26" t="s">
        <v>21</v>
      </c>
      <c r="E1368" s="26"/>
      <c r="F1368" s="26" t="s">
        <v>2228</v>
      </c>
      <c r="G1368" s="26"/>
      <c r="H1368" s="26" t="s">
        <v>24</v>
      </c>
      <c r="I1368" s="26" t="s">
        <v>2229</v>
      </c>
      <c r="J1368" s="26" t="s">
        <v>694</v>
      </c>
      <c r="K1368" s="26" t="s">
        <v>580</v>
      </c>
      <c r="L1368" s="26" t="s">
        <v>240</v>
      </c>
      <c r="M1368" s="26" t="s">
        <v>27</v>
      </c>
      <c r="N1368" s="26" t="s">
        <v>28</v>
      </c>
      <c r="O1368" s="27">
        <v>35821</v>
      </c>
      <c r="P1368" s="26"/>
      <c r="Q1368" s="26"/>
      <c r="R1368" s="26">
        <v>4.75</v>
      </c>
      <c r="S1368" s="26" t="s">
        <v>29</v>
      </c>
    </row>
    <row r="1369" spans="1:19">
      <c r="A1369" s="28">
        <v>57700</v>
      </c>
      <c r="B1369" s="28" t="s">
        <v>87</v>
      </c>
      <c r="C1369" s="28" t="s">
        <v>30</v>
      </c>
      <c r="D1369" s="28" t="s">
        <v>21</v>
      </c>
      <c r="E1369" s="28" t="s">
        <v>942</v>
      </c>
      <c r="F1369" s="28" t="s">
        <v>943</v>
      </c>
      <c r="G1369" s="28">
        <v>0</v>
      </c>
      <c r="H1369" s="28" t="s">
        <v>5</v>
      </c>
      <c r="I1369" s="28">
        <v>2215</v>
      </c>
      <c r="J1369" s="28" t="s">
        <v>694</v>
      </c>
      <c r="K1369" s="28" t="s">
        <v>580</v>
      </c>
      <c r="L1369" s="28" t="s">
        <v>240</v>
      </c>
      <c r="M1369" s="28" t="s">
        <v>38</v>
      </c>
      <c r="N1369" s="28" t="s">
        <v>39</v>
      </c>
      <c r="O1369" s="29">
        <v>30437</v>
      </c>
      <c r="P1369" s="28" t="s">
        <v>944</v>
      </c>
      <c r="Q1369" s="28"/>
      <c r="R1369" s="28">
        <v>41.9</v>
      </c>
      <c r="S1369" s="28" t="s">
        <v>29</v>
      </c>
    </row>
    <row r="1370" spans="1:19" ht="29.25">
      <c r="A1370" s="28">
        <v>57900</v>
      </c>
      <c r="B1370" s="28" t="s">
        <v>87</v>
      </c>
      <c r="C1370" s="28" t="s">
        <v>30</v>
      </c>
      <c r="D1370" s="28" t="s">
        <v>21</v>
      </c>
      <c r="E1370" s="28" t="s">
        <v>2016</v>
      </c>
      <c r="F1370" s="28" t="s">
        <v>2017</v>
      </c>
      <c r="G1370" s="28">
        <v>62.54</v>
      </c>
      <c r="H1370" s="28" t="s">
        <v>5</v>
      </c>
      <c r="I1370" s="28">
        <v>2078</v>
      </c>
      <c r="J1370" s="28" t="s">
        <v>694</v>
      </c>
      <c r="K1370" s="28" t="s">
        <v>580</v>
      </c>
      <c r="L1370" s="28" t="s">
        <v>240</v>
      </c>
      <c r="M1370" s="28" t="s">
        <v>38</v>
      </c>
      <c r="N1370" s="28" t="s">
        <v>39</v>
      </c>
      <c r="O1370" s="29">
        <v>33037</v>
      </c>
      <c r="P1370" s="28"/>
      <c r="Q1370" s="28"/>
      <c r="R1370" s="28">
        <v>55</v>
      </c>
      <c r="S1370" s="28" t="s">
        <v>29</v>
      </c>
    </row>
    <row r="1371" spans="1:19" ht="29.25">
      <c r="A1371" s="24">
        <v>58300</v>
      </c>
      <c r="B1371" s="24" t="s">
        <v>87</v>
      </c>
      <c r="C1371" s="24" t="s">
        <v>30</v>
      </c>
      <c r="D1371" s="24" t="s">
        <v>30</v>
      </c>
      <c r="E1371" s="24" t="s">
        <v>697</v>
      </c>
      <c r="F1371" s="24" t="s">
        <v>698</v>
      </c>
      <c r="G1371" s="24">
        <v>35.799999999999997</v>
      </c>
      <c r="H1371" s="24" t="s">
        <v>5</v>
      </c>
      <c r="I1371" s="24" t="s">
        <v>90</v>
      </c>
      <c r="J1371" s="24" t="s">
        <v>90</v>
      </c>
      <c r="K1371" s="24"/>
      <c r="L1371" s="24" t="s">
        <v>240</v>
      </c>
      <c r="M1371" s="24" t="s">
        <v>38</v>
      </c>
      <c r="N1371" s="24" t="s">
        <v>39</v>
      </c>
      <c r="O1371" s="25">
        <v>27760</v>
      </c>
      <c r="P1371" s="24"/>
      <c r="Q1371" s="24"/>
      <c r="R1371" s="24">
        <v>30.02</v>
      </c>
      <c r="S1371" s="24" t="s">
        <v>29</v>
      </c>
    </row>
    <row r="1372" spans="1:19" ht="29.25">
      <c r="A1372" s="26">
        <v>58301</v>
      </c>
      <c r="B1372" s="26" t="s">
        <v>87</v>
      </c>
      <c r="C1372" s="26" t="s">
        <v>30</v>
      </c>
      <c r="D1372" s="26" t="s">
        <v>21</v>
      </c>
      <c r="E1372" s="26"/>
      <c r="F1372" s="26" t="s">
        <v>831</v>
      </c>
      <c r="G1372" s="26"/>
      <c r="H1372" s="26" t="s">
        <v>5</v>
      </c>
      <c r="I1372" s="26">
        <v>4010</v>
      </c>
      <c r="J1372" s="26" t="s">
        <v>25</v>
      </c>
      <c r="K1372" s="26" t="s">
        <v>25</v>
      </c>
      <c r="L1372" s="26" t="s">
        <v>26</v>
      </c>
      <c r="M1372" s="26" t="s">
        <v>38</v>
      </c>
      <c r="N1372" s="26" t="s">
        <v>39</v>
      </c>
      <c r="O1372" s="27">
        <v>30225</v>
      </c>
      <c r="P1372" s="26"/>
      <c r="Q1372" s="26"/>
      <c r="R1372" s="26">
        <v>0.55000000000000004</v>
      </c>
      <c r="S1372" s="26" t="s">
        <v>29</v>
      </c>
    </row>
    <row r="1373" spans="1:19" ht="29.25">
      <c r="A1373" s="26">
        <v>58302</v>
      </c>
      <c r="B1373" s="26" t="s">
        <v>87</v>
      </c>
      <c r="C1373" s="26" t="s">
        <v>30</v>
      </c>
      <c r="D1373" s="26" t="s">
        <v>21</v>
      </c>
      <c r="E1373" s="26"/>
      <c r="F1373" s="26" t="s">
        <v>1410</v>
      </c>
      <c r="G1373" s="26"/>
      <c r="H1373" s="26" t="s">
        <v>5</v>
      </c>
      <c r="I1373" s="26">
        <v>4052</v>
      </c>
      <c r="J1373" s="26" t="s">
        <v>25</v>
      </c>
      <c r="K1373" s="26" t="s">
        <v>25</v>
      </c>
      <c r="L1373" s="26" t="s">
        <v>26</v>
      </c>
      <c r="M1373" s="26" t="s">
        <v>38</v>
      </c>
      <c r="N1373" s="26" t="s">
        <v>39</v>
      </c>
      <c r="O1373" s="27">
        <v>31594</v>
      </c>
      <c r="P1373" s="26"/>
      <c r="Q1373" s="26"/>
      <c r="R1373" s="26">
        <v>0.25</v>
      </c>
      <c r="S1373" s="26" t="s">
        <v>29</v>
      </c>
    </row>
    <row r="1374" spans="1:19" ht="29.25">
      <c r="A1374" s="26">
        <v>58305</v>
      </c>
      <c r="B1374" s="26" t="s">
        <v>87</v>
      </c>
      <c r="C1374" s="26" t="s">
        <v>30</v>
      </c>
      <c r="D1374" s="26" t="s">
        <v>21</v>
      </c>
      <c r="E1374" s="26"/>
      <c r="F1374" s="26" t="s">
        <v>1405</v>
      </c>
      <c r="G1374" s="26"/>
      <c r="H1374" s="26" t="s">
        <v>5</v>
      </c>
      <c r="I1374" s="26">
        <v>2236</v>
      </c>
      <c r="J1374" s="26" t="s">
        <v>694</v>
      </c>
      <c r="K1374" s="26"/>
      <c r="L1374" s="26"/>
      <c r="M1374" s="26" t="s">
        <v>38</v>
      </c>
      <c r="N1374" s="26" t="s">
        <v>39</v>
      </c>
      <c r="O1374" s="27">
        <v>31573</v>
      </c>
      <c r="P1374" s="26"/>
      <c r="Q1374" s="26"/>
      <c r="R1374" s="26">
        <v>0.06</v>
      </c>
      <c r="S1374" s="26" t="s">
        <v>29</v>
      </c>
    </row>
    <row r="1375" spans="1:19" ht="29.25">
      <c r="A1375" s="26">
        <v>58304</v>
      </c>
      <c r="B1375" s="26" t="s">
        <v>87</v>
      </c>
      <c r="C1375" s="26" t="s">
        <v>30</v>
      </c>
      <c r="D1375" s="26" t="s">
        <v>21</v>
      </c>
      <c r="E1375" s="26"/>
      <c r="F1375" s="26" t="s">
        <v>1411</v>
      </c>
      <c r="G1375" s="26"/>
      <c r="H1375" s="26" t="s">
        <v>5</v>
      </c>
      <c r="I1375" s="26">
        <v>2213</v>
      </c>
      <c r="J1375" s="26" t="s">
        <v>694</v>
      </c>
      <c r="K1375" s="26"/>
      <c r="L1375" s="26"/>
      <c r="M1375" s="26" t="s">
        <v>38</v>
      </c>
      <c r="N1375" s="26" t="s">
        <v>39</v>
      </c>
      <c r="O1375" s="27">
        <v>31603</v>
      </c>
      <c r="P1375" s="26"/>
      <c r="Q1375" s="26"/>
      <c r="R1375" s="26">
        <v>0.06</v>
      </c>
      <c r="S1375" s="26" t="s">
        <v>29</v>
      </c>
    </row>
    <row r="1376" spans="1:19" ht="29.25">
      <c r="A1376" s="26">
        <v>58303</v>
      </c>
      <c r="B1376" s="26" t="s">
        <v>87</v>
      </c>
      <c r="C1376" s="26" t="s">
        <v>30</v>
      </c>
      <c r="D1376" s="26" t="s">
        <v>21</v>
      </c>
      <c r="E1376" s="26"/>
      <c r="F1376" s="26" t="s">
        <v>1622</v>
      </c>
      <c r="G1376" s="26"/>
      <c r="H1376" s="26" t="s">
        <v>5</v>
      </c>
      <c r="I1376" s="26">
        <v>2042</v>
      </c>
      <c r="J1376" s="26" t="s">
        <v>694</v>
      </c>
      <c r="K1376" s="26"/>
      <c r="L1376" s="26"/>
      <c r="M1376" s="26" t="s">
        <v>38</v>
      </c>
      <c r="N1376" s="26" t="s">
        <v>39</v>
      </c>
      <c r="O1376" s="27">
        <v>32138</v>
      </c>
      <c r="P1376" s="26"/>
      <c r="Q1376" s="26"/>
      <c r="R1376" s="26">
        <v>27.89</v>
      </c>
      <c r="S1376" s="26" t="s">
        <v>29</v>
      </c>
    </row>
    <row r="1377" spans="1:19" ht="43.5">
      <c r="A1377" s="24">
        <v>58400</v>
      </c>
      <c r="B1377" s="24" t="s">
        <v>87</v>
      </c>
      <c r="C1377" s="24" t="s">
        <v>30</v>
      </c>
      <c r="D1377" s="24" t="s">
        <v>30</v>
      </c>
      <c r="E1377" s="24" t="s">
        <v>1167</v>
      </c>
      <c r="F1377" s="24" t="s">
        <v>1168</v>
      </c>
      <c r="G1377" s="24">
        <v>1</v>
      </c>
      <c r="H1377" s="24" t="s">
        <v>24</v>
      </c>
      <c r="I1377" s="24" t="s">
        <v>90</v>
      </c>
      <c r="J1377" s="24" t="s">
        <v>788</v>
      </c>
      <c r="K1377" s="24"/>
      <c r="L1377" s="24" t="s">
        <v>1169</v>
      </c>
      <c r="M1377" s="24" t="s">
        <v>27</v>
      </c>
      <c r="N1377" s="24" t="s">
        <v>28</v>
      </c>
      <c r="O1377" s="25">
        <v>31048</v>
      </c>
      <c r="P1377" s="24"/>
      <c r="Q1377" s="24"/>
      <c r="R1377" s="24">
        <v>1</v>
      </c>
      <c r="S1377" s="24" t="s">
        <v>29</v>
      </c>
    </row>
    <row r="1378" spans="1:19">
      <c r="A1378" s="26">
        <v>58406</v>
      </c>
      <c r="B1378" s="26" t="s">
        <v>87</v>
      </c>
      <c r="C1378" s="26" t="s">
        <v>30</v>
      </c>
      <c r="D1378" s="26" t="s">
        <v>21</v>
      </c>
      <c r="E1378" s="26"/>
      <c r="F1378" s="26" t="s">
        <v>2134</v>
      </c>
      <c r="G1378" s="26"/>
      <c r="H1378" s="26" t="s">
        <v>24</v>
      </c>
      <c r="I1378" s="26" t="s">
        <v>2135</v>
      </c>
      <c r="J1378" s="26" t="s">
        <v>788</v>
      </c>
      <c r="K1378" s="26"/>
      <c r="L1378" s="26" t="s">
        <v>980</v>
      </c>
      <c r="M1378" s="26" t="s">
        <v>27</v>
      </c>
      <c r="N1378" s="26" t="s">
        <v>28</v>
      </c>
      <c r="O1378" s="27">
        <v>33992</v>
      </c>
      <c r="P1378" s="26"/>
      <c r="Q1378" s="26"/>
      <c r="R1378" s="26">
        <v>0.55000000000000004</v>
      </c>
      <c r="S1378" s="26" t="s">
        <v>29</v>
      </c>
    </row>
    <row r="1379" spans="1:19">
      <c r="A1379" s="28">
        <v>58500</v>
      </c>
      <c r="B1379" s="28" t="s">
        <v>87</v>
      </c>
      <c r="C1379" s="28" t="s">
        <v>30</v>
      </c>
      <c r="D1379" s="28" t="s">
        <v>21</v>
      </c>
      <c r="E1379" s="28" t="s">
        <v>1823</v>
      </c>
      <c r="F1379" s="28" t="s">
        <v>1824</v>
      </c>
      <c r="G1379" s="28">
        <v>46.64</v>
      </c>
      <c r="H1379" s="28" t="s">
        <v>24</v>
      </c>
      <c r="I1379" s="28" t="s">
        <v>1825</v>
      </c>
      <c r="J1379" s="28" t="s">
        <v>694</v>
      </c>
      <c r="K1379" s="28" t="s">
        <v>366</v>
      </c>
      <c r="L1379" s="28" t="s">
        <v>928</v>
      </c>
      <c r="M1379" s="28" t="s">
        <v>193</v>
      </c>
      <c r="N1379" s="28" t="s">
        <v>194</v>
      </c>
      <c r="O1379" s="29">
        <v>32599</v>
      </c>
      <c r="P1379" s="28"/>
      <c r="Q1379" s="28"/>
      <c r="R1379" s="28">
        <v>57</v>
      </c>
      <c r="S1379" s="28" t="s">
        <v>29</v>
      </c>
    </row>
    <row r="1380" spans="1:19">
      <c r="A1380" s="28">
        <v>59000</v>
      </c>
      <c r="B1380" s="28" t="s">
        <v>87</v>
      </c>
      <c r="C1380" s="28" t="s">
        <v>30</v>
      </c>
      <c r="D1380" s="28" t="s">
        <v>21</v>
      </c>
      <c r="E1380" s="28" t="s">
        <v>1063</v>
      </c>
      <c r="F1380" s="28" t="s">
        <v>1064</v>
      </c>
      <c r="G1380" s="28">
        <v>2.5</v>
      </c>
      <c r="H1380" s="28" t="s">
        <v>24</v>
      </c>
      <c r="I1380" s="28" t="s">
        <v>1065</v>
      </c>
      <c r="J1380" s="28" t="s">
        <v>694</v>
      </c>
      <c r="K1380" s="28"/>
      <c r="L1380" s="28" t="s">
        <v>240</v>
      </c>
      <c r="M1380" s="28" t="s">
        <v>27</v>
      </c>
      <c r="N1380" s="28" t="s">
        <v>28</v>
      </c>
      <c r="O1380" s="29">
        <v>30881</v>
      </c>
      <c r="P1380" s="28"/>
      <c r="Q1380" s="28"/>
      <c r="R1380" s="28">
        <v>2.5</v>
      </c>
      <c r="S1380" s="28" t="s">
        <v>29</v>
      </c>
    </row>
    <row r="1381" spans="1:19" ht="29.25">
      <c r="A1381" s="28">
        <v>59100</v>
      </c>
      <c r="B1381" s="28" t="s">
        <v>87</v>
      </c>
      <c r="C1381" s="28" t="s">
        <v>30</v>
      </c>
      <c r="D1381" s="28" t="s">
        <v>21</v>
      </c>
      <c r="E1381" s="28" t="s">
        <v>3281</v>
      </c>
      <c r="F1381" s="28" t="s">
        <v>3282</v>
      </c>
      <c r="G1381" s="28">
        <v>5</v>
      </c>
      <c r="H1381" s="28" t="s">
        <v>143</v>
      </c>
      <c r="I1381" s="28" t="s">
        <v>3283</v>
      </c>
      <c r="J1381" s="28" t="s">
        <v>694</v>
      </c>
      <c r="K1381" s="28" t="s">
        <v>296</v>
      </c>
      <c r="L1381" s="28" t="s">
        <v>240</v>
      </c>
      <c r="M1381" s="28" t="s">
        <v>38</v>
      </c>
      <c r="N1381" s="28" t="s">
        <v>144</v>
      </c>
      <c r="O1381" s="28" t="s">
        <v>4687</v>
      </c>
      <c r="P1381" s="28" t="s">
        <v>3284</v>
      </c>
      <c r="Q1381" s="28"/>
      <c r="R1381" s="28">
        <v>4.07</v>
      </c>
      <c r="S1381" s="28" t="s">
        <v>29</v>
      </c>
    </row>
    <row r="1382" spans="1:19" ht="29.25">
      <c r="A1382" s="28">
        <v>59300</v>
      </c>
      <c r="B1382" s="28" t="s">
        <v>87</v>
      </c>
      <c r="C1382" s="28" t="s">
        <v>30</v>
      </c>
      <c r="D1382" s="28" t="s">
        <v>21</v>
      </c>
      <c r="E1382" s="28" t="s">
        <v>1493</v>
      </c>
      <c r="F1382" s="28" t="s">
        <v>1494</v>
      </c>
      <c r="G1382" s="28">
        <v>0</v>
      </c>
      <c r="H1382" s="28" t="s">
        <v>143</v>
      </c>
      <c r="I1382" s="28">
        <v>164</v>
      </c>
      <c r="J1382" s="28" t="s">
        <v>694</v>
      </c>
      <c r="K1382" s="28"/>
      <c r="L1382" s="28" t="s">
        <v>240</v>
      </c>
      <c r="M1382" s="28" t="s">
        <v>38</v>
      </c>
      <c r="N1382" s="28" t="s">
        <v>144</v>
      </c>
      <c r="O1382" s="29">
        <v>31778</v>
      </c>
      <c r="P1382" s="28" t="s">
        <v>1495</v>
      </c>
      <c r="Q1382" s="28"/>
      <c r="R1382" s="28">
        <v>2.6</v>
      </c>
      <c r="S1382" s="28" t="s">
        <v>29</v>
      </c>
    </row>
    <row r="1383" spans="1:19" ht="29.25">
      <c r="A1383" s="28">
        <v>59500</v>
      </c>
      <c r="B1383" s="28" t="s">
        <v>87</v>
      </c>
      <c r="C1383" s="28" t="s">
        <v>30</v>
      </c>
      <c r="D1383" s="28" t="s">
        <v>21</v>
      </c>
      <c r="E1383" s="28" t="s">
        <v>1414</v>
      </c>
      <c r="F1383" s="28" t="s">
        <v>1415</v>
      </c>
      <c r="G1383" s="28">
        <v>6.25</v>
      </c>
      <c r="H1383" s="28" t="s">
        <v>24</v>
      </c>
      <c r="I1383" s="28" t="s">
        <v>1416</v>
      </c>
      <c r="J1383" s="28" t="s">
        <v>25</v>
      </c>
      <c r="K1383" s="28" t="s">
        <v>25</v>
      </c>
      <c r="L1383" s="28" t="s">
        <v>26</v>
      </c>
      <c r="M1383" s="28" t="s">
        <v>27</v>
      </c>
      <c r="N1383" s="28" t="s">
        <v>28</v>
      </c>
      <c r="O1383" s="29">
        <v>31642</v>
      </c>
      <c r="P1383" s="28"/>
      <c r="Q1383" s="28"/>
      <c r="R1383" s="28">
        <v>6.25</v>
      </c>
      <c r="S1383" s="28" t="s">
        <v>29</v>
      </c>
    </row>
    <row r="1384" spans="1:19" ht="29.25">
      <c r="A1384" s="24">
        <v>59700</v>
      </c>
      <c r="B1384" s="24" t="s">
        <v>87</v>
      </c>
      <c r="C1384" s="24" t="s">
        <v>30</v>
      </c>
      <c r="D1384" s="24" t="s">
        <v>30</v>
      </c>
      <c r="E1384" s="24" t="s">
        <v>3285</v>
      </c>
      <c r="F1384" s="24" t="s">
        <v>3286</v>
      </c>
      <c r="G1384" s="24">
        <v>1.1000000000000001</v>
      </c>
      <c r="H1384" s="24" t="s">
        <v>24</v>
      </c>
      <c r="I1384" s="24" t="s">
        <v>90</v>
      </c>
      <c r="J1384" s="24" t="s">
        <v>781</v>
      </c>
      <c r="K1384" s="24" t="s">
        <v>781</v>
      </c>
      <c r="L1384" s="24" t="s">
        <v>781</v>
      </c>
      <c r="M1384" s="24" t="s">
        <v>27</v>
      </c>
      <c r="N1384" s="24" t="s">
        <v>28</v>
      </c>
      <c r="O1384" s="263">
        <v>29755</v>
      </c>
      <c r="P1384" s="24"/>
      <c r="Q1384" s="24"/>
      <c r="R1384" s="24">
        <v>1.1000000000000001</v>
      </c>
      <c r="S1384" s="24" t="s">
        <v>29</v>
      </c>
    </row>
    <row r="1385" spans="1:19" ht="29.25">
      <c r="A1385" s="26">
        <v>59703</v>
      </c>
      <c r="B1385" s="26" t="s">
        <v>87</v>
      </c>
      <c r="C1385" s="26" t="s">
        <v>30</v>
      </c>
      <c r="D1385" s="26" t="s">
        <v>21</v>
      </c>
      <c r="E1385" s="26"/>
      <c r="F1385" s="26" t="s">
        <v>1657</v>
      </c>
      <c r="G1385" s="26"/>
      <c r="H1385" s="26" t="s">
        <v>24</v>
      </c>
      <c r="I1385" s="26" t="s">
        <v>1658</v>
      </c>
      <c r="J1385" s="26" t="s">
        <v>694</v>
      </c>
      <c r="K1385" s="26"/>
      <c r="L1385" s="26" t="s">
        <v>240</v>
      </c>
      <c r="M1385" s="26" t="s">
        <v>27</v>
      </c>
      <c r="N1385" s="26" t="s">
        <v>28</v>
      </c>
      <c r="O1385" s="27">
        <v>32175</v>
      </c>
      <c r="P1385" s="26"/>
      <c r="Q1385" s="26"/>
      <c r="R1385" s="26">
        <v>0.06</v>
      </c>
      <c r="S1385" s="26" t="s">
        <v>29</v>
      </c>
    </row>
    <row r="1386" spans="1:19" ht="29.25">
      <c r="A1386" s="26">
        <v>59705</v>
      </c>
      <c r="B1386" s="26" t="s">
        <v>87</v>
      </c>
      <c r="C1386" s="26" t="s">
        <v>30</v>
      </c>
      <c r="D1386" s="26" t="s">
        <v>21</v>
      </c>
      <c r="E1386" s="26"/>
      <c r="F1386" s="26" t="s">
        <v>3287</v>
      </c>
      <c r="G1386" s="26"/>
      <c r="H1386" s="26" t="s">
        <v>24</v>
      </c>
      <c r="I1386" s="26" t="s">
        <v>3288</v>
      </c>
      <c r="J1386" s="26" t="s">
        <v>781</v>
      </c>
      <c r="K1386" s="26" t="s">
        <v>781</v>
      </c>
      <c r="L1386" s="26" t="s">
        <v>781</v>
      </c>
      <c r="M1386" s="26" t="s">
        <v>27</v>
      </c>
      <c r="N1386" s="26" t="s">
        <v>28</v>
      </c>
      <c r="O1386" s="26" t="s">
        <v>4687</v>
      </c>
      <c r="P1386" s="26"/>
      <c r="Q1386" s="26"/>
      <c r="R1386" s="26">
        <v>0.01</v>
      </c>
      <c r="S1386" s="26" t="s">
        <v>29</v>
      </c>
    </row>
    <row r="1387" spans="1:19">
      <c r="A1387" s="26">
        <v>59704</v>
      </c>
      <c r="B1387" s="26" t="s">
        <v>87</v>
      </c>
      <c r="C1387" s="26" t="s">
        <v>30</v>
      </c>
      <c r="D1387" s="26" t="s">
        <v>21</v>
      </c>
      <c r="E1387" s="26"/>
      <c r="F1387" s="26" t="s">
        <v>779</v>
      </c>
      <c r="G1387" s="26"/>
      <c r="H1387" s="26" t="s">
        <v>24</v>
      </c>
      <c r="I1387" s="26" t="s">
        <v>780</v>
      </c>
      <c r="J1387" s="26" t="s">
        <v>781</v>
      </c>
      <c r="K1387" s="26" t="s">
        <v>781</v>
      </c>
      <c r="L1387" s="26" t="s">
        <v>781</v>
      </c>
      <c r="M1387" s="26" t="s">
        <v>27</v>
      </c>
      <c r="N1387" s="26" t="s">
        <v>28</v>
      </c>
      <c r="O1387" s="27">
        <v>29755</v>
      </c>
      <c r="P1387" s="26"/>
      <c r="Q1387" s="26"/>
      <c r="R1387" s="26">
        <v>0.01</v>
      </c>
      <c r="S1387" s="26" t="s">
        <v>29</v>
      </c>
    </row>
    <row r="1388" spans="1:19">
      <c r="A1388" s="26">
        <v>59702</v>
      </c>
      <c r="B1388" s="26" t="s">
        <v>87</v>
      </c>
      <c r="C1388" s="26" t="s">
        <v>30</v>
      </c>
      <c r="D1388" s="26" t="s">
        <v>21</v>
      </c>
      <c r="E1388" s="26"/>
      <c r="F1388" s="26" t="s">
        <v>827</v>
      </c>
      <c r="G1388" s="26"/>
      <c r="H1388" s="26" t="s">
        <v>24</v>
      </c>
      <c r="I1388" s="26" t="s">
        <v>828</v>
      </c>
      <c r="J1388" s="26" t="s">
        <v>781</v>
      </c>
      <c r="K1388" s="26" t="s">
        <v>781</v>
      </c>
      <c r="L1388" s="26" t="s">
        <v>781</v>
      </c>
      <c r="M1388" s="26" t="s">
        <v>27</v>
      </c>
      <c r="N1388" s="26" t="s">
        <v>28</v>
      </c>
      <c r="O1388" s="27">
        <v>30165</v>
      </c>
      <c r="P1388" s="26"/>
      <c r="Q1388" s="26"/>
      <c r="R1388" s="26">
        <v>0.01</v>
      </c>
      <c r="S1388" s="26" t="s">
        <v>29</v>
      </c>
    </row>
    <row r="1389" spans="1:19">
      <c r="A1389" s="28">
        <v>60100</v>
      </c>
      <c r="B1389" s="28" t="s">
        <v>87</v>
      </c>
      <c r="C1389" s="28" t="s">
        <v>30</v>
      </c>
      <c r="D1389" s="28" t="s">
        <v>21</v>
      </c>
      <c r="E1389" s="28" t="s">
        <v>1771</v>
      </c>
      <c r="F1389" s="28" t="s">
        <v>1772</v>
      </c>
      <c r="G1389" s="28">
        <v>37</v>
      </c>
      <c r="H1389" s="28" t="s">
        <v>143</v>
      </c>
      <c r="I1389" s="28">
        <v>223</v>
      </c>
      <c r="J1389" s="28" t="s">
        <v>694</v>
      </c>
      <c r="K1389" s="28" t="s">
        <v>580</v>
      </c>
      <c r="L1389" s="28" t="s">
        <v>240</v>
      </c>
      <c r="M1389" s="28" t="s">
        <v>38</v>
      </c>
      <c r="N1389" s="28" t="s">
        <v>144</v>
      </c>
      <c r="O1389" s="29">
        <v>32509</v>
      </c>
      <c r="P1389" s="28"/>
      <c r="Q1389" s="28"/>
      <c r="R1389" s="28">
        <v>34.5</v>
      </c>
      <c r="S1389" s="28" t="s">
        <v>29</v>
      </c>
    </row>
    <row r="1390" spans="1:19">
      <c r="A1390" s="28">
        <v>60300</v>
      </c>
      <c r="B1390" s="28" t="s">
        <v>87</v>
      </c>
      <c r="C1390" s="28" t="s">
        <v>30</v>
      </c>
      <c r="D1390" s="28" t="s">
        <v>21</v>
      </c>
      <c r="E1390" s="28" t="s">
        <v>1773</v>
      </c>
      <c r="F1390" s="28" t="s">
        <v>1774</v>
      </c>
      <c r="G1390" s="28">
        <v>4.05</v>
      </c>
      <c r="H1390" s="28" t="s">
        <v>143</v>
      </c>
      <c r="I1390" s="28">
        <v>163</v>
      </c>
      <c r="J1390" s="28" t="s">
        <v>694</v>
      </c>
      <c r="K1390" s="28" t="s">
        <v>366</v>
      </c>
      <c r="L1390" s="28" t="s">
        <v>712</v>
      </c>
      <c r="M1390" s="28" t="s">
        <v>38</v>
      </c>
      <c r="N1390" s="28" t="s">
        <v>144</v>
      </c>
      <c r="O1390" s="29">
        <v>32509</v>
      </c>
      <c r="P1390" s="28"/>
      <c r="Q1390" s="28"/>
      <c r="R1390" s="28">
        <v>4.05</v>
      </c>
      <c r="S1390" s="28" t="s">
        <v>29</v>
      </c>
    </row>
    <row r="1391" spans="1:19">
      <c r="A1391" s="28">
        <v>60500</v>
      </c>
      <c r="B1391" s="28" t="s">
        <v>87</v>
      </c>
      <c r="C1391" s="28" t="s">
        <v>30</v>
      </c>
      <c r="D1391" s="28" t="s">
        <v>21</v>
      </c>
      <c r="E1391" s="28" t="s">
        <v>1775</v>
      </c>
      <c r="F1391" s="28" t="s">
        <v>1776</v>
      </c>
      <c r="G1391" s="28">
        <v>22.3</v>
      </c>
      <c r="H1391" s="28" t="s">
        <v>143</v>
      </c>
      <c r="I1391" s="28">
        <v>232</v>
      </c>
      <c r="J1391" s="28" t="s">
        <v>694</v>
      </c>
      <c r="K1391" s="28" t="s">
        <v>580</v>
      </c>
      <c r="L1391" s="28" t="s">
        <v>240</v>
      </c>
      <c r="M1391" s="28" t="s">
        <v>38</v>
      </c>
      <c r="N1391" s="28" t="s">
        <v>144</v>
      </c>
      <c r="O1391" s="29">
        <v>32509</v>
      </c>
      <c r="P1391" s="28"/>
      <c r="Q1391" s="28"/>
      <c r="R1391" s="28">
        <v>22.3</v>
      </c>
      <c r="S1391" s="28" t="s">
        <v>29</v>
      </c>
    </row>
    <row r="1392" spans="1:19" ht="29.25">
      <c r="A1392" s="28">
        <v>60800</v>
      </c>
      <c r="B1392" s="28" t="s">
        <v>87</v>
      </c>
      <c r="C1392" s="28" t="s">
        <v>30</v>
      </c>
      <c r="D1392" s="28" t="s">
        <v>21</v>
      </c>
      <c r="E1392" s="28" t="s">
        <v>1965</v>
      </c>
      <c r="F1392" s="28" t="s">
        <v>1966</v>
      </c>
      <c r="G1392" s="28">
        <v>7</v>
      </c>
      <c r="H1392" s="28" t="s">
        <v>24</v>
      </c>
      <c r="I1392" s="28" t="s">
        <v>1967</v>
      </c>
      <c r="J1392" s="28" t="s">
        <v>694</v>
      </c>
      <c r="K1392" s="28" t="s">
        <v>580</v>
      </c>
      <c r="L1392" s="28" t="s">
        <v>240</v>
      </c>
      <c r="M1392" s="28" t="s">
        <v>193</v>
      </c>
      <c r="N1392" s="28" t="s">
        <v>194</v>
      </c>
      <c r="O1392" s="29">
        <v>32900</v>
      </c>
      <c r="P1392" s="28" t="s">
        <v>1968</v>
      </c>
      <c r="Q1392" s="28"/>
      <c r="R1392" s="28">
        <v>7</v>
      </c>
      <c r="S1392" s="28" t="s">
        <v>29</v>
      </c>
    </row>
    <row r="1393" spans="1:19" ht="29.25">
      <c r="A1393" s="28">
        <v>60900</v>
      </c>
      <c r="B1393" s="28" t="s">
        <v>87</v>
      </c>
      <c r="C1393" s="28" t="s">
        <v>30</v>
      </c>
      <c r="D1393" s="28" t="s">
        <v>21</v>
      </c>
      <c r="E1393" s="28" t="s">
        <v>1620</v>
      </c>
      <c r="F1393" s="28" t="s">
        <v>1621</v>
      </c>
      <c r="G1393" s="28">
        <v>31.6</v>
      </c>
      <c r="H1393" s="28" t="s">
        <v>5</v>
      </c>
      <c r="I1393" s="28">
        <v>2043</v>
      </c>
      <c r="J1393" s="28" t="s">
        <v>694</v>
      </c>
      <c r="K1393" s="28" t="s">
        <v>580</v>
      </c>
      <c r="L1393" s="28" t="s">
        <v>240</v>
      </c>
      <c r="M1393" s="28" t="s">
        <v>38</v>
      </c>
      <c r="N1393" s="28" t="s">
        <v>39</v>
      </c>
      <c r="O1393" s="29">
        <v>32135</v>
      </c>
      <c r="P1393" s="28"/>
      <c r="Q1393" s="28"/>
      <c r="R1393" s="28">
        <v>27.6</v>
      </c>
      <c r="S1393" s="28" t="s">
        <v>29</v>
      </c>
    </row>
    <row r="1394" spans="1:19" ht="29.25">
      <c r="A1394" s="28">
        <v>89700</v>
      </c>
      <c r="B1394" s="28" t="s">
        <v>87</v>
      </c>
      <c r="C1394" s="28" t="s">
        <v>30</v>
      </c>
      <c r="D1394" s="28" t="s">
        <v>21</v>
      </c>
      <c r="E1394" s="28"/>
      <c r="F1394" s="28" t="s">
        <v>2683</v>
      </c>
      <c r="G1394" s="28">
        <v>0</v>
      </c>
      <c r="H1394" s="28" t="s">
        <v>24</v>
      </c>
      <c r="I1394" s="28" t="s">
        <v>2684</v>
      </c>
      <c r="J1394" s="28" t="s">
        <v>694</v>
      </c>
      <c r="K1394" s="28" t="s">
        <v>366</v>
      </c>
      <c r="L1394" s="28"/>
      <c r="M1394" s="28" t="s">
        <v>193</v>
      </c>
      <c r="N1394" s="28" t="s">
        <v>194</v>
      </c>
      <c r="O1394" s="29">
        <v>38139</v>
      </c>
      <c r="P1394" s="28" t="s">
        <v>2685</v>
      </c>
      <c r="Q1394" s="28"/>
      <c r="R1394" s="28">
        <v>7.4</v>
      </c>
      <c r="S1394" s="28" t="s">
        <v>29</v>
      </c>
    </row>
    <row r="1395" spans="1:19" ht="29.25">
      <c r="A1395" s="28">
        <v>61000</v>
      </c>
      <c r="B1395" s="28" t="s">
        <v>87</v>
      </c>
      <c r="C1395" s="28" t="s">
        <v>30</v>
      </c>
      <c r="D1395" s="28" t="s">
        <v>21</v>
      </c>
      <c r="E1395" s="28" t="s">
        <v>2174</v>
      </c>
      <c r="F1395" s="28" t="s">
        <v>2175</v>
      </c>
      <c r="G1395" s="28">
        <v>21</v>
      </c>
      <c r="H1395" s="28" t="s">
        <v>24</v>
      </c>
      <c r="I1395" s="28" t="s">
        <v>2176</v>
      </c>
      <c r="J1395" s="28" t="s">
        <v>694</v>
      </c>
      <c r="K1395" s="28" t="s">
        <v>580</v>
      </c>
      <c r="L1395" s="28" t="s">
        <v>240</v>
      </c>
      <c r="M1395" s="28" t="s">
        <v>193</v>
      </c>
      <c r="N1395" s="28" t="s">
        <v>194</v>
      </c>
      <c r="O1395" s="29">
        <v>34640</v>
      </c>
      <c r="P1395" s="28"/>
      <c r="Q1395" s="28"/>
      <c r="R1395" s="28">
        <v>21</v>
      </c>
      <c r="S1395" s="28" t="s">
        <v>29</v>
      </c>
    </row>
    <row r="1396" spans="1:19" ht="29.25">
      <c r="A1396" s="28">
        <v>61200</v>
      </c>
      <c r="B1396" s="28" t="s">
        <v>87</v>
      </c>
      <c r="C1396" s="28" t="s">
        <v>30</v>
      </c>
      <c r="D1396" s="28" t="s">
        <v>21</v>
      </c>
      <c r="E1396" s="28" t="s">
        <v>1402</v>
      </c>
      <c r="F1396" s="28" t="s">
        <v>1403</v>
      </c>
      <c r="G1396" s="28">
        <v>22</v>
      </c>
      <c r="H1396" s="28" t="s">
        <v>24</v>
      </c>
      <c r="I1396" s="28" t="s">
        <v>1404</v>
      </c>
      <c r="J1396" s="28" t="s">
        <v>788</v>
      </c>
      <c r="K1396" s="28" t="s">
        <v>366</v>
      </c>
      <c r="L1396" s="28" t="s">
        <v>789</v>
      </c>
      <c r="M1396" s="28" t="s">
        <v>27</v>
      </c>
      <c r="N1396" s="28" t="s">
        <v>28</v>
      </c>
      <c r="O1396" s="29">
        <v>31567</v>
      </c>
      <c r="P1396" s="28"/>
      <c r="Q1396" s="28"/>
      <c r="R1396" s="28">
        <v>22</v>
      </c>
      <c r="S1396" s="28" t="s">
        <v>29</v>
      </c>
    </row>
    <row r="1397" spans="1:19" ht="29.25">
      <c r="A1397" s="28">
        <v>61300</v>
      </c>
      <c r="B1397" s="28" t="s">
        <v>87</v>
      </c>
      <c r="C1397" s="28" t="s">
        <v>30</v>
      </c>
      <c r="D1397" s="28" t="s">
        <v>21</v>
      </c>
      <c r="E1397" s="28" t="s">
        <v>1080</v>
      </c>
      <c r="F1397" s="28" t="s">
        <v>1081</v>
      </c>
      <c r="G1397" s="28">
        <v>13.1</v>
      </c>
      <c r="H1397" s="28" t="s">
        <v>24</v>
      </c>
      <c r="I1397" s="28" t="s">
        <v>1082</v>
      </c>
      <c r="J1397" s="28" t="s">
        <v>788</v>
      </c>
      <c r="K1397" s="28" t="s">
        <v>366</v>
      </c>
      <c r="L1397" s="28" t="s">
        <v>789</v>
      </c>
      <c r="M1397" s="28" t="s">
        <v>27</v>
      </c>
      <c r="N1397" s="28" t="s">
        <v>28</v>
      </c>
      <c r="O1397" s="29">
        <v>30966</v>
      </c>
      <c r="P1397" s="28"/>
      <c r="Q1397" s="28"/>
      <c r="R1397" s="28">
        <v>13.1</v>
      </c>
      <c r="S1397" s="28" t="s">
        <v>29</v>
      </c>
    </row>
    <row r="1398" spans="1:19" ht="29.25">
      <c r="A1398" s="28">
        <v>61400</v>
      </c>
      <c r="B1398" s="28" t="s">
        <v>87</v>
      </c>
      <c r="C1398" s="28" t="s">
        <v>30</v>
      </c>
      <c r="D1398" s="28" t="s">
        <v>21</v>
      </c>
      <c r="E1398" s="28" t="s">
        <v>2194</v>
      </c>
      <c r="F1398" s="28" t="s">
        <v>2195</v>
      </c>
      <c r="G1398" s="28">
        <v>23.8</v>
      </c>
      <c r="H1398" s="28" t="s">
        <v>24</v>
      </c>
      <c r="I1398" s="28" t="s">
        <v>2196</v>
      </c>
      <c r="J1398" s="28" t="s">
        <v>788</v>
      </c>
      <c r="K1398" s="28" t="s">
        <v>366</v>
      </c>
      <c r="L1398" s="28" t="s">
        <v>789</v>
      </c>
      <c r="M1398" s="28" t="s">
        <v>27</v>
      </c>
      <c r="N1398" s="28" t="s">
        <v>28</v>
      </c>
      <c r="O1398" s="29">
        <v>34968</v>
      </c>
      <c r="P1398" s="28"/>
      <c r="Q1398" s="28"/>
      <c r="R1398" s="28">
        <v>23.8</v>
      </c>
      <c r="S1398" s="28" t="s">
        <v>29</v>
      </c>
    </row>
    <row r="1399" spans="1:19" ht="29.25">
      <c r="A1399" s="24">
        <v>94200</v>
      </c>
      <c r="B1399" s="24" t="s">
        <v>87</v>
      </c>
      <c r="C1399" s="24" t="s">
        <v>30</v>
      </c>
      <c r="D1399" s="24" t="s">
        <v>30</v>
      </c>
      <c r="E1399" s="24" t="s">
        <v>3289</v>
      </c>
      <c r="F1399" s="24" t="s">
        <v>3290</v>
      </c>
      <c r="G1399" s="24">
        <v>3.8</v>
      </c>
      <c r="H1399" s="24" t="s">
        <v>24</v>
      </c>
      <c r="I1399" s="24"/>
      <c r="J1399" s="24" t="s">
        <v>25</v>
      </c>
      <c r="K1399" s="24" t="s">
        <v>25</v>
      </c>
      <c r="L1399" s="24" t="s">
        <v>26</v>
      </c>
      <c r="M1399" s="24" t="s">
        <v>27</v>
      </c>
      <c r="N1399" s="24" t="s">
        <v>28</v>
      </c>
      <c r="O1399" s="263">
        <v>31971</v>
      </c>
      <c r="P1399" s="24" t="s">
        <v>3216</v>
      </c>
      <c r="Q1399" s="24"/>
      <c r="R1399" s="24">
        <v>3.8</v>
      </c>
      <c r="S1399" s="24" t="s">
        <v>29</v>
      </c>
    </row>
    <row r="1400" spans="1:19" ht="57.75">
      <c r="A1400" s="26">
        <v>58403</v>
      </c>
      <c r="B1400" s="26" t="s">
        <v>87</v>
      </c>
      <c r="C1400" s="26" t="s">
        <v>30</v>
      </c>
      <c r="D1400" s="26" t="s">
        <v>21</v>
      </c>
      <c r="E1400" s="26"/>
      <c r="F1400" s="26" t="s">
        <v>1579</v>
      </c>
      <c r="G1400" s="26">
        <v>3.8</v>
      </c>
      <c r="H1400" s="26" t="s">
        <v>24</v>
      </c>
      <c r="I1400" s="26" t="s">
        <v>1580</v>
      </c>
      <c r="J1400" s="26" t="s">
        <v>25</v>
      </c>
      <c r="K1400" s="26" t="s">
        <v>25</v>
      </c>
      <c r="L1400" s="26" t="s">
        <v>26</v>
      </c>
      <c r="M1400" s="26" t="s">
        <v>27</v>
      </c>
      <c r="N1400" s="26" t="s">
        <v>28</v>
      </c>
      <c r="O1400" s="27">
        <v>31971</v>
      </c>
      <c r="P1400" s="26" t="s">
        <v>1581</v>
      </c>
      <c r="Q1400" s="26"/>
      <c r="R1400" s="26">
        <v>3.8</v>
      </c>
      <c r="S1400" s="26" t="s">
        <v>29</v>
      </c>
    </row>
    <row r="1401" spans="1:19">
      <c r="A1401" s="28">
        <v>61500</v>
      </c>
      <c r="B1401" s="28" t="s">
        <v>87</v>
      </c>
      <c r="C1401" s="28" t="s">
        <v>30</v>
      </c>
      <c r="D1401" s="28" t="s">
        <v>21</v>
      </c>
      <c r="E1401" s="28" t="s">
        <v>1106</v>
      </c>
      <c r="F1401" s="28" t="s">
        <v>1107</v>
      </c>
      <c r="G1401" s="28">
        <v>47.1</v>
      </c>
      <c r="H1401" s="28" t="s">
        <v>24</v>
      </c>
      <c r="I1401" s="28" t="s">
        <v>1108</v>
      </c>
      <c r="J1401" s="28" t="s">
        <v>694</v>
      </c>
      <c r="K1401" s="28" t="s">
        <v>580</v>
      </c>
      <c r="L1401" s="28" t="s">
        <v>240</v>
      </c>
      <c r="M1401" s="28" t="s">
        <v>193</v>
      </c>
      <c r="N1401" s="28" t="s">
        <v>194</v>
      </c>
      <c r="O1401" s="29">
        <v>31045</v>
      </c>
      <c r="P1401" s="28"/>
      <c r="Q1401" s="28"/>
      <c r="R1401" s="28">
        <v>47.1</v>
      </c>
      <c r="S1401" s="28" t="s">
        <v>29</v>
      </c>
    </row>
    <row r="1402" spans="1:19" ht="29.25">
      <c r="A1402" s="24">
        <v>61600</v>
      </c>
      <c r="B1402" s="24" t="s">
        <v>87</v>
      </c>
      <c r="C1402" s="24" t="s">
        <v>30</v>
      </c>
      <c r="D1402" s="24" t="s">
        <v>30</v>
      </c>
      <c r="E1402" s="24" t="s">
        <v>1013</v>
      </c>
      <c r="F1402" s="24" t="s">
        <v>1014</v>
      </c>
      <c r="G1402" s="24">
        <v>13.3</v>
      </c>
      <c r="H1402" s="24" t="s">
        <v>5</v>
      </c>
      <c r="I1402" s="24" t="s">
        <v>90</v>
      </c>
      <c r="J1402" s="24" t="s">
        <v>25</v>
      </c>
      <c r="K1402" s="24" t="s">
        <v>25</v>
      </c>
      <c r="L1402" s="24" t="s">
        <v>26</v>
      </c>
      <c r="M1402" s="24" t="s">
        <v>38</v>
      </c>
      <c r="N1402" s="24" t="s">
        <v>39</v>
      </c>
      <c r="O1402" s="25">
        <v>30682</v>
      </c>
      <c r="P1402" s="24"/>
      <c r="Q1402" s="24"/>
      <c r="R1402" s="24">
        <v>13.3</v>
      </c>
      <c r="S1402" s="24" t="s">
        <v>29</v>
      </c>
    </row>
    <row r="1403" spans="1:19">
      <c r="A1403" s="26">
        <v>61602</v>
      </c>
      <c r="B1403" s="26" t="s">
        <v>87</v>
      </c>
      <c r="C1403" s="26" t="s">
        <v>30</v>
      </c>
      <c r="D1403" s="26" t="s">
        <v>21</v>
      </c>
      <c r="E1403" s="26"/>
      <c r="F1403" s="26" t="s">
        <v>1085</v>
      </c>
      <c r="G1403" s="26"/>
      <c r="H1403" s="26" t="s">
        <v>5</v>
      </c>
      <c r="I1403" s="26">
        <v>1010</v>
      </c>
      <c r="J1403" s="26" t="s">
        <v>788</v>
      </c>
      <c r="K1403" s="26"/>
      <c r="L1403" s="26"/>
      <c r="M1403" s="26" t="s">
        <v>38</v>
      </c>
      <c r="N1403" s="26" t="s">
        <v>39</v>
      </c>
      <c r="O1403" s="27">
        <v>30980</v>
      </c>
      <c r="P1403" s="26"/>
      <c r="Q1403" s="26"/>
      <c r="R1403" s="26">
        <v>4.9000000000000004</v>
      </c>
      <c r="S1403" s="26" t="s">
        <v>29</v>
      </c>
    </row>
    <row r="1404" spans="1:19" ht="29.25">
      <c r="A1404" s="26">
        <v>61601</v>
      </c>
      <c r="B1404" s="26" t="s">
        <v>87</v>
      </c>
      <c r="C1404" s="26" t="s">
        <v>30</v>
      </c>
      <c r="D1404" s="26" t="s">
        <v>21</v>
      </c>
      <c r="E1404" s="26"/>
      <c r="F1404" s="26" t="s">
        <v>1442</v>
      </c>
      <c r="G1404" s="26"/>
      <c r="H1404" s="26" t="s">
        <v>5</v>
      </c>
      <c r="I1404" s="26">
        <v>4137</v>
      </c>
      <c r="J1404" s="26" t="s">
        <v>25</v>
      </c>
      <c r="K1404" s="26"/>
      <c r="L1404" s="26"/>
      <c r="M1404" s="26" t="s">
        <v>38</v>
      </c>
      <c r="N1404" s="26" t="s">
        <v>39</v>
      </c>
      <c r="O1404" s="27">
        <v>31766</v>
      </c>
      <c r="P1404" s="26"/>
      <c r="Q1404" s="26"/>
      <c r="R1404" s="26">
        <v>0.34</v>
      </c>
      <c r="S1404" s="26" t="s">
        <v>29</v>
      </c>
    </row>
    <row r="1405" spans="1:19">
      <c r="A1405" s="28">
        <v>61700</v>
      </c>
      <c r="B1405" s="28" t="s">
        <v>87</v>
      </c>
      <c r="C1405" s="28" t="s">
        <v>30</v>
      </c>
      <c r="D1405" s="28" t="s">
        <v>21</v>
      </c>
      <c r="E1405" s="28" t="s">
        <v>1962</v>
      </c>
      <c r="F1405" s="28" t="s">
        <v>1963</v>
      </c>
      <c r="G1405" s="28">
        <v>5.8</v>
      </c>
      <c r="H1405" s="28" t="s">
        <v>24</v>
      </c>
      <c r="I1405" s="28" t="s">
        <v>1964</v>
      </c>
      <c r="J1405" s="28" t="s">
        <v>25</v>
      </c>
      <c r="K1405" s="28" t="s">
        <v>25</v>
      </c>
      <c r="L1405" s="28" t="s">
        <v>26</v>
      </c>
      <c r="M1405" s="28" t="s">
        <v>27</v>
      </c>
      <c r="N1405" s="28" t="s">
        <v>28</v>
      </c>
      <c r="O1405" s="29">
        <v>32876</v>
      </c>
      <c r="P1405" s="28"/>
      <c r="Q1405" s="28"/>
      <c r="R1405" s="28">
        <v>5.8</v>
      </c>
      <c r="S1405" s="28" t="s">
        <v>29</v>
      </c>
    </row>
    <row r="1406" spans="1:19" ht="29.25">
      <c r="A1406" s="28">
        <v>61800</v>
      </c>
      <c r="B1406" s="28" t="s">
        <v>87</v>
      </c>
      <c r="C1406" s="28" t="s">
        <v>30</v>
      </c>
      <c r="D1406" s="28" t="s">
        <v>21</v>
      </c>
      <c r="E1406" s="28"/>
      <c r="F1406" s="28" t="s">
        <v>2149</v>
      </c>
      <c r="G1406" s="28">
        <v>0.09</v>
      </c>
      <c r="H1406" s="28" t="s">
        <v>5</v>
      </c>
      <c r="I1406" s="28">
        <v>2423</v>
      </c>
      <c r="J1406" s="28" t="s">
        <v>694</v>
      </c>
      <c r="K1406" s="28"/>
      <c r="L1406" s="28"/>
      <c r="M1406" s="28" t="s">
        <v>38</v>
      </c>
      <c r="N1406" s="28" t="s">
        <v>39</v>
      </c>
      <c r="O1406" s="29">
        <v>34217</v>
      </c>
      <c r="P1406" s="28"/>
      <c r="Q1406" s="28"/>
      <c r="R1406" s="28">
        <v>0.09</v>
      </c>
      <c r="S1406" s="28" t="s">
        <v>29</v>
      </c>
    </row>
    <row r="1407" spans="1:19">
      <c r="A1407" s="28">
        <v>61900</v>
      </c>
      <c r="B1407" s="28" t="s">
        <v>87</v>
      </c>
      <c r="C1407" s="28" t="s">
        <v>21</v>
      </c>
      <c r="D1407" s="28" t="s">
        <v>21</v>
      </c>
      <c r="E1407" s="28" t="s">
        <v>1902</v>
      </c>
      <c r="F1407" s="28" t="s">
        <v>1903</v>
      </c>
      <c r="G1407" s="28">
        <v>7.5</v>
      </c>
      <c r="H1407" s="28" t="s">
        <v>24</v>
      </c>
      <c r="I1407" s="28" t="s">
        <v>1904</v>
      </c>
      <c r="J1407" s="28" t="s">
        <v>694</v>
      </c>
      <c r="K1407" s="28" t="s">
        <v>580</v>
      </c>
      <c r="L1407" s="28" t="s">
        <v>240</v>
      </c>
      <c r="M1407" s="28" t="s">
        <v>27</v>
      </c>
      <c r="N1407" s="28" t="s">
        <v>28</v>
      </c>
      <c r="O1407" s="29">
        <v>32860</v>
      </c>
      <c r="P1407" s="28"/>
      <c r="Q1407" s="28"/>
      <c r="R1407" s="28">
        <v>7.5</v>
      </c>
      <c r="S1407" s="28" t="s">
        <v>29</v>
      </c>
    </row>
    <row r="1408" spans="1:19" ht="29.25">
      <c r="A1408" s="24">
        <v>62000</v>
      </c>
      <c r="B1408" s="24" t="s">
        <v>87</v>
      </c>
      <c r="C1408" s="24" t="s">
        <v>30</v>
      </c>
      <c r="D1408" s="24" t="s">
        <v>30</v>
      </c>
      <c r="E1408" s="24" t="s">
        <v>1496</v>
      </c>
      <c r="F1408" s="24" t="s">
        <v>1497</v>
      </c>
      <c r="G1408" s="24">
        <v>3</v>
      </c>
      <c r="H1408" s="24" t="s">
        <v>143</v>
      </c>
      <c r="I1408" s="24" t="s">
        <v>1498</v>
      </c>
      <c r="J1408" s="24" t="s">
        <v>788</v>
      </c>
      <c r="K1408" s="24"/>
      <c r="L1408" s="24" t="s">
        <v>888</v>
      </c>
      <c r="M1408" s="24" t="s">
        <v>38</v>
      </c>
      <c r="N1408" s="24" t="s">
        <v>144</v>
      </c>
      <c r="O1408" s="25">
        <v>31778</v>
      </c>
      <c r="P1408" s="24"/>
      <c r="Q1408" s="24"/>
      <c r="R1408" s="24">
        <v>3.75</v>
      </c>
      <c r="S1408" s="24" t="s">
        <v>29</v>
      </c>
    </row>
    <row r="1409" spans="1:19">
      <c r="A1409" s="26">
        <v>62002</v>
      </c>
      <c r="B1409" s="26" t="s">
        <v>87</v>
      </c>
      <c r="C1409" s="26" t="s">
        <v>30</v>
      </c>
      <c r="D1409" s="26" t="s">
        <v>21</v>
      </c>
      <c r="E1409" s="26"/>
      <c r="F1409" s="26" t="s">
        <v>2064</v>
      </c>
      <c r="G1409" s="26"/>
      <c r="H1409" s="26" t="s">
        <v>143</v>
      </c>
      <c r="I1409" s="26">
        <v>154</v>
      </c>
      <c r="J1409" s="26" t="s">
        <v>788</v>
      </c>
      <c r="K1409" s="26"/>
      <c r="L1409" s="26" t="s">
        <v>888</v>
      </c>
      <c r="M1409" s="26" t="s">
        <v>38</v>
      </c>
      <c r="N1409" s="26" t="s">
        <v>144</v>
      </c>
      <c r="O1409" s="27">
        <v>33239</v>
      </c>
      <c r="P1409" s="26"/>
      <c r="Q1409" s="26"/>
      <c r="R1409" s="26">
        <v>1.88</v>
      </c>
      <c r="S1409" s="26" t="s">
        <v>29</v>
      </c>
    </row>
    <row r="1410" spans="1:19">
      <c r="A1410" s="26">
        <v>62001</v>
      </c>
      <c r="B1410" s="26" t="s">
        <v>87</v>
      </c>
      <c r="C1410" s="26" t="s">
        <v>30</v>
      </c>
      <c r="D1410" s="26" t="s">
        <v>21</v>
      </c>
      <c r="E1410" s="26"/>
      <c r="F1410" s="26" t="s">
        <v>1499</v>
      </c>
      <c r="G1410" s="26"/>
      <c r="H1410" s="26" t="s">
        <v>143</v>
      </c>
      <c r="I1410" s="26">
        <v>153</v>
      </c>
      <c r="J1410" s="26" t="s">
        <v>788</v>
      </c>
      <c r="K1410" s="26"/>
      <c r="L1410" s="26" t="s">
        <v>888</v>
      </c>
      <c r="M1410" s="26" t="s">
        <v>38</v>
      </c>
      <c r="N1410" s="26" t="s">
        <v>144</v>
      </c>
      <c r="O1410" s="27">
        <v>31778</v>
      </c>
      <c r="P1410" s="26"/>
      <c r="Q1410" s="26"/>
      <c r="R1410" s="26">
        <v>1.88</v>
      </c>
      <c r="S1410" s="26" t="s">
        <v>29</v>
      </c>
    </row>
    <row r="1411" spans="1:19">
      <c r="A1411" s="28">
        <v>62100</v>
      </c>
      <c r="B1411" s="28" t="s">
        <v>87</v>
      </c>
      <c r="C1411" s="28" t="s">
        <v>30</v>
      </c>
      <c r="D1411" s="28" t="s">
        <v>21</v>
      </c>
      <c r="E1411" s="28" t="s">
        <v>1362</v>
      </c>
      <c r="F1411" s="28" t="s">
        <v>1363</v>
      </c>
      <c r="G1411" s="28">
        <v>28.8</v>
      </c>
      <c r="H1411" s="28" t="s">
        <v>24</v>
      </c>
      <c r="I1411" s="28" t="s">
        <v>1364</v>
      </c>
      <c r="J1411" s="28" t="s">
        <v>788</v>
      </c>
      <c r="K1411" s="28" t="s">
        <v>366</v>
      </c>
      <c r="L1411" s="28" t="s">
        <v>789</v>
      </c>
      <c r="M1411" s="28" t="s">
        <v>27</v>
      </c>
      <c r="N1411" s="28" t="s">
        <v>159</v>
      </c>
      <c r="O1411" s="29">
        <v>31493</v>
      </c>
      <c r="P1411" s="28"/>
      <c r="Q1411" s="28"/>
      <c r="R1411" s="28">
        <v>26.25</v>
      </c>
      <c r="S1411" s="28" t="s">
        <v>29</v>
      </c>
    </row>
    <row r="1412" spans="1:19" ht="29.25">
      <c r="A1412" s="24">
        <v>62200</v>
      </c>
      <c r="B1412" s="24" t="s">
        <v>87</v>
      </c>
      <c r="C1412" s="24" t="s">
        <v>30</v>
      </c>
      <c r="D1412" s="24" t="s">
        <v>30</v>
      </c>
      <c r="E1412" s="24" t="s">
        <v>1015</v>
      </c>
      <c r="F1412" s="24" t="s">
        <v>1016</v>
      </c>
      <c r="G1412" s="24">
        <v>30.1</v>
      </c>
      <c r="H1412" s="24" t="s">
        <v>5</v>
      </c>
      <c r="I1412" s="24" t="s">
        <v>90</v>
      </c>
      <c r="J1412" s="24" t="s">
        <v>25</v>
      </c>
      <c r="K1412" s="24" t="s">
        <v>25</v>
      </c>
      <c r="L1412" s="24" t="s">
        <v>26</v>
      </c>
      <c r="M1412" s="24" t="s">
        <v>38</v>
      </c>
      <c r="N1412" s="24" t="s">
        <v>39</v>
      </c>
      <c r="O1412" s="25">
        <v>30682</v>
      </c>
      <c r="P1412" s="24"/>
      <c r="Q1412" s="24"/>
      <c r="R1412" s="24">
        <v>17.03</v>
      </c>
      <c r="S1412" s="24" t="s">
        <v>29</v>
      </c>
    </row>
    <row r="1413" spans="1:19">
      <c r="A1413" s="26">
        <v>62204</v>
      </c>
      <c r="B1413" s="26" t="s">
        <v>87</v>
      </c>
      <c r="C1413" s="26" t="s">
        <v>30</v>
      </c>
      <c r="D1413" s="26" t="s">
        <v>21</v>
      </c>
      <c r="E1413" s="26"/>
      <c r="F1413" s="26" t="s">
        <v>2018</v>
      </c>
      <c r="G1413" s="26"/>
      <c r="H1413" s="26" t="s">
        <v>5</v>
      </c>
      <c r="I1413" s="26">
        <v>4147</v>
      </c>
      <c r="J1413" s="26" t="s">
        <v>25</v>
      </c>
      <c r="K1413" s="26"/>
      <c r="L1413" s="26"/>
      <c r="M1413" s="26" t="s">
        <v>38</v>
      </c>
      <c r="N1413" s="26" t="s">
        <v>39</v>
      </c>
      <c r="O1413" s="27">
        <v>33090</v>
      </c>
      <c r="P1413" s="26"/>
      <c r="Q1413" s="26"/>
      <c r="R1413" s="26">
        <v>0.87</v>
      </c>
      <c r="S1413" s="26" t="s">
        <v>29</v>
      </c>
    </row>
    <row r="1414" spans="1:19" ht="29.25">
      <c r="A1414" s="26">
        <v>62209</v>
      </c>
      <c r="B1414" s="26" t="s">
        <v>87</v>
      </c>
      <c r="C1414" s="26" t="s">
        <v>30</v>
      </c>
      <c r="D1414" s="26" t="s">
        <v>21</v>
      </c>
      <c r="E1414" s="26"/>
      <c r="F1414" s="26" t="s">
        <v>1545</v>
      </c>
      <c r="G1414" s="26"/>
      <c r="H1414" s="26" t="s">
        <v>5</v>
      </c>
      <c r="I1414" s="26">
        <v>4035</v>
      </c>
      <c r="J1414" s="26" t="s">
        <v>25</v>
      </c>
      <c r="K1414" s="26"/>
      <c r="L1414" s="26"/>
      <c r="M1414" s="26" t="s">
        <v>38</v>
      </c>
      <c r="N1414" s="26" t="s">
        <v>39</v>
      </c>
      <c r="O1414" s="27">
        <v>31869</v>
      </c>
      <c r="P1414" s="26"/>
      <c r="Q1414" s="26"/>
      <c r="R1414" s="26">
        <v>0.2</v>
      </c>
      <c r="S1414" s="26" t="s">
        <v>29</v>
      </c>
    </row>
    <row r="1415" spans="1:19" ht="29.25">
      <c r="A1415" s="26">
        <v>62210</v>
      </c>
      <c r="B1415" s="26" t="s">
        <v>87</v>
      </c>
      <c r="C1415" s="26" t="s">
        <v>30</v>
      </c>
      <c r="D1415" s="26" t="s">
        <v>21</v>
      </c>
      <c r="E1415" s="26"/>
      <c r="F1415" s="26" t="s">
        <v>1547</v>
      </c>
      <c r="G1415" s="26"/>
      <c r="H1415" s="26" t="s">
        <v>5</v>
      </c>
      <c r="I1415" s="26">
        <v>4036</v>
      </c>
      <c r="J1415" s="26" t="s">
        <v>25</v>
      </c>
      <c r="K1415" s="26"/>
      <c r="L1415" s="26"/>
      <c r="M1415" s="26" t="s">
        <v>38</v>
      </c>
      <c r="N1415" s="26" t="s">
        <v>39</v>
      </c>
      <c r="O1415" s="27">
        <v>31880</v>
      </c>
      <c r="P1415" s="26"/>
      <c r="Q1415" s="26"/>
      <c r="R1415" s="26">
        <v>0.52</v>
      </c>
      <c r="S1415" s="26" t="s">
        <v>29</v>
      </c>
    </row>
    <row r="1416" spans="1:19" ht="29.25">
      <c r="A1416" s="26">
        <v>62211</v>
      </c>
      <c r="B1416" s="26" t="s">
        <v>87</v>
      </c>
      <c r="C1416" s="26" t="s">
        <v>30</v>
      </c>
      <c r="D1416" s="26" t="s">
        <v>21</v>
      </c>
      <c r="E1416" s="26"/>
      <c r="F1416" s="26" t="s">
        <v>1546</v>
      </c>
      <c r="G1416" s="26"/>
      <c r="H1416" s="26" t="s">
        <v>5</v>
      </c>
      <c r="I1416" s="26">
        <v>4037</v>
      </c>
      <c r="J1416" s="26" t="s">
        <v>25</v>
      </c>
      <c r="K1416" s="26"/>
      <c r="L1416" s="26"/>
      <c r="M1416" s="26" t="s">
        <v>38</v>
      </c>
      <c r="N1416" s="26" t="s">
        <v>39</v>
      </c>
      <c r="O1416" s="27">
        <v>31870</v>
      </c>
      <c r="P1416" s="26"/>
      <c r="Q1416" s="26"/>
      <c r="R1416" s="26">
        <v>0.35</v>
      </c>
      <c r="S1416" s="26" t="s">
        <v>29</v>
      </c>
    </row>
    <row r="1417" spans="1:19" ht="29.25">
      <c r="A1417" s="26">
        <v>62206</v>
      </c>
      <c r="B1417" s="26" t="s">
        <v>87</v>
      </c>
      <c r="C1417" s="26" t="s">
        <v>30</v>
      </c>
      <c r="D1417" s="26" t="s">
        <v>21</v>
      </c>
      <c r="E1417" s="26"/>
      <c r="F1417" s="26" t="s">
        <v>1078</v>
      </c>
      <c r="G1417" s="26"/>
      <c r="H1417" s="26" t="s">
        <v>5</v>
      </c>
      <c r="I1417" s="26">
        <v>2031</v>
      </c>
      <c r="J1417" s="26" t="s">
        <v>694</v>
      </c>
      <c r="K1417" s="26"/>
      <c r="L1417" s="26"/>
      <c r="M1417" s="26" t="s">
        <v>38</v>
      </c>
      <c r="N1417" s="26" t="s">
        <v>39</v>
      </c>
      <c r="O1417" s="27">
        <v>30956</v>
      </c>
      <c r="P1417" s="26"/>
      <c r="Q1417" s="26"/>
      <c r="R1417" s="26">
        <v>1.4</v>
      </c>
      <c r="S1417" s="26" t="s">
        <v>29</v>
      </c>
    </row>
    <row r="1418" spans="1:19">
      <c r="A1418" s="26">
        <v>62202</v>
      </c>
      <c r="B1418" s="26" t="s">
        <v>87</v>
      </c>
      <c r="C1418" s="26" t="s">
        <v>30</v>
      </c>
      <c r="D1418" s="26" t="s">
        <v>21</v>
      </c>
      <c r="E1418" s="26"/>
      <c r="F1418" s="26" t="s">
        <v>1710</v>
      </c>
      <c r="G1418" s="26"/>
      <c r="H1418" s="26" t="s">
        <v>5</v>
      </c>
      <c r="I1418" s="26">
        <v>2178</v>
      </c>
      <c r="J1418" s="26" t="s">
        <v>694</v>
      </c>
      <c r="K1418" s="26"/>
      <c r="L1418" s="26"/>
      <c r="M1418" s="26" t="s">
        <v>38</v>
      </c>
      <c r="N1418" s="26" t="s">
        <v>39</v>
      </c>
      <c r="O1418" s="27">
        <v>32338</v>
      </c>
      <c r="P1418" s="26"/>
      <c r="Q1418" s="26"/>
      <c r="R1418" s="26">
        <v>0.18</v>
      </c>
      <c r="S1418" s="26" t="s">
        <v>29</v>
      </c>
    </row>
    <row r="1419" spans="1:19" ht="29.25">
      <c r="A1419" s="26">
        <v>62203</v>
      </c>
      <c r="B1419" s="26" t="s">
        <v>87</v>
      </c>
      <c r="C1419" s="26" t="s">
        <v>30</v>
      </c>
      <c r="D1419" s="26" t="s">
        <v>21</v>
      </c>
      <c r="E1419" s="26"/>
      <c r="F1419" s="26" t="s">
        <v>1221</v>
      </c>
      <c r="G1419" s="26"/>
      <c r="H1419" s="26" t="s">
        <v>5</v>
      </c>
      <c r="I1419" s="26">
        <v>2066</v>
      </c>
      <c r="J1419" s="26" t="s">
        <v>694</v>
      </c>
      <c r="K1419" s="26"/>
      <c r="L1419" s="26"/>
      <c r="M1419" s="26" t="s">
        <v>38</v>
      </c>
      <c r="N1419" s="26" t="s">
        <v>39</v>
      </c>
      <c r="O1419" s="27">
        <v>31229</v>
      </c>
      <c r="P1419" s="26"/>
      <c r="Q1419" s="26"/>
      <c r="R1419" s="26">
        <v>0.08</v>
      </c>
      <c r="S1419" s="26" t="s">
        <v>29</v>
      </c>
    </row>
    <row r="1420" spans="1:19">
      <c r="A1420" s="26">
        <v>62205</v>
      </c>
      <c r="B1420" s="26" t="s">
        <v>87</v>
      </c>
      <c r="C1420" s="26" t="s">
        <v>30</v>
      </c>
      <c r="D1420" s="26" t="s">
        <v>21</v>
      </c>
      <c r="E1420" s="26"/>
      <c r="F1420" s="26" t="s">
        <v>1086</v>
      </c>
      <c r="G1420" s="26"/>
      <c r="H1420" s="26" t="s">
        <v>5</v>
      </c>
      <c r="I1420" s="26">
        <v>2037</v>
      </c>
      <c r="J1420" s="26" t="s">
        <v>694</v>
      </c>
      <c r="K1420" s="26"/>
      <c r="L1420" s="26"/>
      <c r="M1420" s="26" t="s">
        <v>38</v>
      </c>
      <c r="N1420" s="26" t="s">
        <v>39</v>
      </c>
      <c r="O1420" s="27">
        <v>30987</v>
      </c>
      <c r="P1420" s="26"/>
      <c r="Q1420" s="26"/>
      <c r="R1420" s="26">
        <v>4.5</v>
      </c>
      <c r="S1420" s="26" t="s">
        <v>29</v>
      </c>
    </row>
    <row r="1421" spans="1:19" ht="29.25">
      <c r="A1421" s="26">
        <v>62212</v>
      </c>
      <c r="B1421" s="26" t="s">
        <v>87</v>
      </c>
      <c r="C1421" s="26" t="s">
        <v>30</v>
      </c>
      <c r="D1421" s="26" t="s">
        <v>21</v>
      </c>
      <c r="E1421" s="26"/>
      <c r="F1421" s="26" t="s">
        <v>1170</v>
      </c>
      <c r="G1421" s="26"/>
      <c r="H1421" s="26" t="s">
        <v>5</v>
      </c>
      <c r="I1421" s="26">
        <v>2036</v>
      </c>
      <c r="J1421" s="26" t="s">
        <v>694</v>
      </c>
      <c r="K1421" s="26"/>
      <c r="L1421" s="26"/>
      <c r="M1421" s="26" t="s">
        <v>38</v>
      </c>
      <c r="N1421" s="26" t="s">
        <v>39</v>
      </c>
      <c r="O1421" s="27">
        <v>31048</v>
      </c>
      <c r="P1421" s="26"/>
      <c r="Q1421" s="26"/>
      <c r="R1421" s="26">
        <v>0.08</v>
      </c>
      <c r="S1421" s="26" t="s">
        <v>29</v>
      </c>
    </row>
    <row r="1422" spans="1:19" ht="29.25">
      <c r="A1422" s="26">
        <v>62213</v>
      </c>
      <c r="B1422" s="26" t="s">
        <v>87</v>
      </c>
      <c r="C1422" s="26" t="s">
        <v>30</v>
      </c>
      <c r="D1422" s="26" t="s">
        <v>21</v>
      </c>
      <c r="E1422" s="26"/>
      <c r="F1422" s="26" t="s">
        <v>2169</v>
      </c>
      <c r="G1422" s="26"/>
      <c r="H1422" s="26" t="s">
        <v>5</v>
      </c>
      <c r="I1422" s="26">
        <v>4150</v>
      </c>
      <c r="J1422" s="26" t="s">
        <v>25</v>
      </c>
      <c r="K1422" s="26"/>
      <c r="L1422" s="26"/>
      <c r="M1422" s="26" t="s">
        <v>38</v>
      </c>
      <c r="N1422" s="26" t="s">
        <v>39</v>
      </c>
      <c r="O1422" s="27">
        <v>34572</v>
      </c>
      <c r="P1422" s="26"/>
      <c r="Q1422" s="26"/>
      <c r="R1422" s="26">
        <v>0.22</v>
      </c>
      <c r="S1422" s="26" t="s">
        <v>29</v>
      </c>
    </row>
    <row r="1423" spans="1:19">
      <c r="A1423" s="28">
        <v>62500</v>
      </c>
      <c r="B1423" s="28" t="s">
        <v>87</v>
      </c>
      <c r="C1423" s="28" t="s">
        <v>30</v>
      </c>
      <c r="D1423" s="28" t="s">
        <v>21</v>
      </c>
      <c r="E1423" s="28" t="s">
        <v>1030</v>
      </c>
      <c r="F1423" s="28" t="s">
        <v>1031</v>
      </c>
      <c r="G1423" s="28">
        <v>2.5</v>
      </c>
      <c r="H1423" s="28" t="s">
        <v>24</v>
      </c>
      <c r="I1423" s="28" t="s">
        <v>1032</v>
      </c>
      <c r="J1423" s="28" t="s">
        <v>25</v>
      </c>
      <c r="K1423" s="28" t="s">
        <v>25</v>
      </c>
      <c r="L1423" s="28" t="s">
        <v>26</v>
      </c>
      <c r="M1423" s="28" t="s">
        <v>27</v>
      </c>
      <c r="N1423" s="28" t="s">
        <v>28</v>
      </c>
      <c r="O1423" s="29">
        <v>30692</v>
      </c>
      <c r="P1423" s="28"/>
      <c r="Q1423" s="28"/>
      <c r="R1423" s="28">
        <v>2.5</v>
      </c>
      <c r="S1423" s="28" t="s">
        <v>29</v>
      </c>
    </row>
    <row r="1424" spans="1:19" ht="29.25">
      <c r="A1424" s="28">
        <v>62600</v>
      </c>
      <c r="B1424" s="28" t="s">
        <v>87</v>
      </c>
      <c r="C1424" s="28" t="s">
        <v>30</v>
      </c>
      <c r="D1424" s="28" t="s">
        <v>21</v>
      </c>
      <c r="E1424" s="28" t="s">
        <v>1187</v>
      </c>
      <c r="F1424" s="28" t="s">
        <v>1188</v>
      </c>
      <c r="G1424" s="28">
        <v>30.9</v>
      </c>
      <c r="H1424" s="28" t="s">
        <v>24</v>
      </c>
      <c r="I1424" s="28" t="s">
        <v>1189</v>
      </c>
      <c r="J1424" s="28" t="s">
        <v>781</v>
      </c>
      <c r="K1424" s="28" t="s">
        <v>781</v>
      </c>
      <c r="L1424" s="28" t="s">
        <v>781</v>
      </c>
      <c r="M1424" s="28" t="s">
        <v>27</v>
      </c>
      <c r="N1424" s="28" t="s">
        <v>28</v>
      </c>
      <c r="O1424" s="29">
        <v>31139</v>
      </c>
      <c r="P1424" s="28"/>
      <c r="Q1424" s="28"/>
      <c r="R1424" s="28">
        <v>30.9</v>
      </c>
      <c r="S1424" s="28" t="s">
        <v>29</v>
      </c>
    </row>
    <row r="1425" spans="1:19" ht="29.25">
      <c r="A1425" s="24">
        <v>94300</v>
      </c>
      <c r="B1425" s="24" t="s">
        <v>87</v>
      </c>
      <c r="C1425" s="24" t="s">
        <v>30</v>
      </c>
      <c r="D1425" s="24" t="s">
        <v>30</v>
      </c>
      <c r="E1425" s="24" t="s">
        <v>3291</v>
      </c>
      <c r="F1425" s="24" t="s">
        <v>3292</v>
      </c>
      <c r="G1425" s="24">
        <v>1</v>
      </c>
      <c r="H1425" s="24" t="s">
        <v>24</v>
      </c>
      <c r="I1425" s="24"/>
      <c r="J1425" s="24" t="s">
        <v>90</v>
      </c>
      <c r="K1425" s="24" t="s">
        <v>1022</v>
      </c>
      <c r="L1425" s="24" t="s">
        <v>888</v>
      </c>
      <c r="M1425" s="24" t="s">
        <v>27</v>
      </c>
      <c r="N1425" s="24" t="s">
        <v>28</v>
      </c>
      <c r="O1425" s="263">
        <v>32021</v>
      </c>
      <c r="P1425" s="24" t="s">
        <v>3216</v>
      </c>
      <c r="Q1425" s="24"/>
      <c r="R1425" s="24">
        <v>1.2</v>
      </c>
      <c r="S1425" s="24" t="s">
        <v>29</v>
      </c>
    </row>
    <row r="1426" spans="1:19" ht="57.75">
      <c r="A1426" s="26">
        <v>58402</v>
      </c>
      <c r="B1426" s="26" t="s">
        <v>87</v>
      </c>
      <c r="C1426" s="26" t="s">
        <v>30</v>
      </c>
      <c r="D1426" s="26" t="s">
        <v>21</v>
      </c>
      <c r="E1426" s="26"/>
      <c r="F1426" s="26" t="s">
        <v>1736</v>
      </c>
      <c r="G1426" s="26">
        <v>0.93</v>
      </c>
      <c r="H1426" s="26" t="s">
        <v>24</v>
      </c>
      <c r="I1426" s="26" t="s">
        <v>1737</v>
      </c>
      <c r="J1426" s="26" t="s">
        <v>788</v>
      </c>
      <c r="K1426" s="26"/>
      <c r="L1426" s="26" t="s">
        <v>888</v>
      </c>
      <c r="M1426" s="26" t="s">
        <v>27</v>
      </c>
      <c r="N1426" s="26" t="s">
        <v>28</v>
      </c>
      <c r="O1426" s="27">
        <v>32469</v>
      </c>
      <c r="P1426" s="26" t="s">
        <v>1738</v>
      </c>
      <c r="Q1426" s="26"/>
      <c r="R1426" s="26">
        <v>0.93</v>
      </c>
      <c r="S1426" s="26" t="s">
        <v>29</v>
      </c>
    </row>
    <row r="1427" spans="1:19" ht="43.5">
      <c r="A1427" s="26">
        <v>58401</v>
      </c>
      <c r="B1427" s="26" t="s">
        <v>87</v>
      </c>
      <c r="C1427" s="26" t="s">
        <v>30</v>
      </c>
      <c r="D1427" s="26" t="s">
        <v>21</v>
      </c>
      <c r="E1427" s="26"/>
      <c r="F1427" s="26" t="s">
        <v>1586</v>
      </c>
      <c r="G1427" s="26"/>
      <c r="H1427" s="26" t="s">
        <v>24</v>
      </c>
      <c r="I1427" s="26" t="s">
        <v>1587</v>
      </c>
      <c r="J1427" s="26" t="s">
        <v>694</v>
      </c>
      <c r="K1427" s="26"/>
      <c r="L1427" s="26" t="s">
        <v>240</v>
      </c>
      <c r="M1427" s="26" t="s">
        <v>27</v>
      </c>
      <c r="N1427" s="26" t="s">
        <v>28</v>
      </c>
      <c r="O1427" s="27">
        <v>32021</v>
      </c>
      <c r="P1427" s="26" t="s">
        <v>1588</v>
      </c>
      <c r="Q1427" s="26"/>
      <c r="R1427" s="26">
        <v>0.18</v>
      </c>
      <c r="S1427" s="26" t="s">
        <v>29</v>
      </c>
    </row>
    <row r="1428" spans="1:19">
      <c r="A1428" s="28">
        <v>62800</v>
      </c>
      <c r="B1428" s="28" t="s">
        <v>87</v>
      </c>
      <c r="C1428" s="28" t="s">
        <v>30</v>
      </c>
      <c r="D1428" s="28" t="s">
        <v>21</v>
      </c>
      <c r="E1428" s="28"/>
      <c r="F1428" s="28" t="s">
        <v>2177</v>
      </c>
      <c r="G1428" s="28">
        <v>0.1</v>
      </c>
      <c r="H1428" s="28" t="s">
        <v>5</v>
      </c>
      <c r="I1428" s="28">
        <v>2472</v>
      </c>
      <c r="J1428" s="28" t="s">
        <v>694</v>
      </c>
      <c r="K1428" s="28"/>
      <c r="L1428" s="28"/>
      <c r="M1428" s="28" t="s">
        <v>38</v>
      </c>
      <c r="N1428" s="28" t="s">
        <v>39</v>
      </c>
      <c r="O1428" s="29">
        <v>34683</v>
      </c>
      <c r="P1428" s="28"/>
      <c r="Q1428" s="28"/>
      <c r="R1428" s="28">
        <v>0.1</v>
      </c>
      <c r="S1428" s="28" t="s">
        <v>29</v>
      </c>
    </row>
    <row r="1429" spans="1:19">
      <c r="A1429" s="28">
        <v>62900</v>
      </c>
      <c r="B1429" s="28" t="s">
        <v>87</v>
      </c>
      <c r="C1429" s="28" t="s">
        <v>30</v>
      </c>
      <c r="D1429" s="28" t="s">
        <v>21</v>
      </c>
      <c r="E1429" s="28" t="s">
        <v>1551</v>
      </c>
      <c r="F1429" s="28" t="s">
        <v>1552</v>
      </c>
      <c r="G1429" s="28">
        <v>32.5</v>
      </c>
      <c r="H1429" s="28" t="s">
        <v>24</v>
      </c>
      <c r="I1429" s="28" t="s">
        <v>1553</v>
      </c>
      <c r="J1429" s="28" t="s">
        <v>694</v>
      </c>
      <c r="K1429" s="28" t="s">
        <v>580</v>
      </c>
      <c r="L1429" s="28" t="s">
        <v>240</v>
      </c>
      <c r="M1429" s="28" t="s">
        <v>27</v>
      </c>
      <c r="N1429" s="28" t="s">
        <v>28</v>
      </c>
      <c r="O1429" s="29">
        <v>31916</v>
      </c>
      <c r="P1429" s="28"/>
      <c r="Q1429" s="28"/>
      <c r="R1429" s="28">
        <v>32.5</v>
      </c>
      <c r="S1429" s="28" t="s">
        <v>29</v>
      </c>
    </row>
    <row r="1430" spans="1:19">
      <c r="A1430" s="28">
        <v>63000</v>
      </c>
      <c r="B1430" s="28" t="s">
        <v>87</v>
      </c>
      <c r="C1430" s="28" t="s">
        <v>30</v>
      </c>
      <c r="D1430" s="28" t="s">
        <v>21</v>
      </c>
      <c r="E1430" s="28" t="s">
        <v>2039</v>
      </c>
      <c r="F1430" s="28" t="s">
        <v>2040</v>
      </c>
      <c r="G1430" s="28">
        <v>34.5</v>
      </c>
      <c r="H1430" s="28" t="s">
        <v>24</v>
      </c>
      <c r="I1430" s="28" t="s">
        <v>2041</v>
      </c>
      <c r="J1430" s="28" t="s">
        <v>694</v>
      </c>
      <c r="K1430" s="28" t="s">
        <v>580</v>
      </c>
      <c r="L1430" s="28" t="s">
        <v>240</v>
      </c>
      <c r="M1430" s="28" t="s">
        <v>27</v>
      </c>
      <c r="N1430" s="28" t="s">
        <v>28</v>
      </c>
      <c r="O1430" s="29">
        <v>33212</v>
      </c>
      <c r="P1430" s="28"/>
      <c r="Q1430" s="28"/>
      <c r="R1430" s="28">
        <v>40</v>
      </c>
      <c r="S1430" s="28" t="s">
        <v>29</v>
      </c>
    </row>
    <row r="1431" spans="1:19" ht="29.25">
      <c r="A1431" s="24">
        <v>90200</v>
      </c>
      <c r="B1431" s="24" t="s">
        <v>87</v>
      </c>
      <c r="C1431" s="24" t="s">
        <v>30</v>
      </c>
      <c r="D1431" s="24" t="s">
        <v>30</v>
      </c>
      <c r="E1431" s="24" t="s">
        <v>1582</v>
      </c>
      <c r="F1431" s="24" t="s">
        <v>1583</v>
      </c>
      <c r="G1431" s="24">
        <v>3.75</v>
      </c>
      <c r="H1431" s="24" t="s">
        <v>24</v>
      </c>
      <c r="I1431" s="24" t="s">
        <v>90</v>
      </c>
      <c r="J1431" s="24" t="s">
        <v>25</v>
      </c>
      <c r="K1431" s="24" t="s">
        <v>25</v>
      </c>
      <c r="L1431" s="24" t="s">
        <v>26</v>
      </c>
      <c r="M1431" s="24" t="s">
        <v>27</v>
      </c>
      <c r="N1431" s="24" t="s">
        <v>28</v>
      </c>
      <c r="O1431" s="25">
        <v>32004</v>
      </c>
      <c r="P1431" s="24"/>
      <c r="Q1431" s="24"/>
      <c r="R1431" s="24">
        <v>3.75</v>
      </c>
      <c r="S1431" s="24" t="s">
        <v>29</v>
      </c>
    </row>
    <row r="1432" spans="1:19">
      <c r="A1432" s="26">
        <v>59400</v>
      </c>
      <c r="B1432" s="26" t="s">
        <v>87</v>
      </c>
      <c r="C1432" s="26" t="s">
        <v>30</v>
      </c>
      <c r="D1432" s="26" t="s">
        <v>21</v>
      </c>
      <c r="E1432" s="26" t="s">
        <v>1754</v>
      </c>
      <c r="F1432" s="26" t="s">
        <v>1755</v>
      </c>
      <c r="G1432" s="26"/>
      <c r="H1432" s="26" t="s">
        <v>24</v>
      </c>
      <c r="I1432" s="26" t="s">
        <v>1756</v>
      </c>
      <c r="J1432" s="26" t="s">
        <v>25</v>
      </c>
      <c r="K1432" s="26" t="s">
        <v>25</v>
      </c>
      <c r="L1432" s="26" t="s">
        <v>26</v>
      </c>
      <c r="M1432" s="26" t="s">
        <v>27</v>
      </c>
      <c r="N1432" s="26" t="s">
        <v>28</v>
      </c>
      <c r="O1432" s="27">
        <v>32496</v>
      </c>
      <c r="P1432" s="26"/>
      <c r="Q1432" s="26"/>
      <c r="R1432" s="26">
        <v>2.5</v>
      </c>
      <c r="S1432" s="26" t="s">
        <v>29</v>
      </c>
    </row>
    <row r="1433" spans="1:19" ht="29.25">
      <c r="A1433" s="26">
        <v>55900</v>
      </c>
      <c r="B1433" s="26" t="s">
        <v>87</v>
      </c>
      <c r="C1433" s="26" t="s">
        <v>30</v>
      </c>
      <c r="D1433" s="26" t="s">
        <v>21</v>
      </c>
      <c r="E1433" s="26"/>
      <c r="F1433" s="26" t="s">
        <v>1584</v>
      </c>
      <c r="G1433" s="26"/>
      <c r="H1433" s="26" t="s">
        <v>24</v>
      </c>
      <c r="I1433" s="26" t="s">
        <v>1585</v>
      </c>
      <c r="J1433" s="26" t="s">
        <v>25</v>
      </c>
      <c r="K1433" s="26" t="s">
        <v>25</v>
      </c>
      <c r="L1433" s="26" t="s">
        <v>26</v>
      </c>
      <c r="M1433" s="26" t="s">
        <v>27</v>
      </c>
      <c r="N1433" s="26" t="s">
        <v>28</v>
      </c>
      <c r="O1433" s="27">
        <v>32004</v>
      </c>
      <c r="P1433" s="26"/>
      <c r="Q1433" s="26"/>
      <c r="R1433" s="26">
        <v>1.25</v>
      </c>
      <c r="S1433" s="26" t="s">
        <v>29</v>
      </c>
    </row>
    <row r="1434" spans="1:19" ht="29.25">
      <c r="A1434" s="28">
        <v>65509</v>
      </c>
      <c r="B1434" s="28" t="s">
        <v>87</v>
      </c>
      <c r="C1434" s="28" t="s">
        <v>30</v>
      </c>
      <c r="D1434" s="28" t="s">
        <v>21</v>
      </c>
      <c r="E1434" s="28" t="s">
        <v>938</v>
      </c>
      <c r="F1434" s="28" t="s">
        <v>939</v>
      </c>
      <c r="G1434" s="28">
        <v>0.6</v>
      </c>
      <c r="H1434" s="28" t="s">
        <v>24</v>
      </c>
      <c r="I1434" s="28" t="s">
        <v>940</v>
      </c>
      <c r="J1434" s="28" t="s">
        <v>25</v>
      </c>
      <c r="K1434" s="28" t="s">
        <v>25</v>
      </c>
      <c r="L1434" s="28" t="s">
        <v>26</v>
      </c>
      <c r="M1434" s="28" t="s">
        <v>27</v>
      </c>
      <c r="N1434" s="28" t="s">
        <v>28</v>
      </c>
      <c r="O1434" s="29">
        <v>30436</v>
      </c>
      <c r="P1434" s="28" t="s">
        <v>941</v>
      </c>
      <c r="Q1434" s="28"/>
      <c r="R1434" s="28">
        <v>0.5</v>
      </c>
      <c r="S1434" s="28" t="s">
        <v>29</v>
      </c>
    </row>
    <row r="1435" spans="1:19" ht="29.25">
      <c r="A1435" s="28">
        <v>63100</v>
      </c>
      <c r="B1435" s="28" t="s">
        <v>87</v>
      </c>
      <c r="C1435" s="28" t="s">
        <v>30</v>
      </c>
      <c r="D1435" s="28" t="s">
        <v>21</v>
      </c>
      <c r="E1435" s="28"/>
      <c r="F1435" s="28" t="s">
        <v>1649</v>
      </c>
      <c r="G1435" s="28">
        <v>0</v>
      </c>
      <c r="H1435" s="28" t="s">
        <v>143</v>
      </c>
      <c r="I1435" s="28">
        <v>304</v>
      </c>
      <c r="J1435" s="28" t="s">
        <v>694</v>
      </c>
      <c r="K1435" s="28"/>
      <c r="L1435" s="28" t="s">
        <v>240</v>
      </c>
      <c r="M1435" s="28" t="s">
        <v>38</v>
      </c>
      <c r="N1435" s="28" t="s">
        <v>144</v>
      </c>
      <c r="O1435" s="29">
        <v>32143</v>
      </c>
      <c r="P1435" s="28" t="s">
        <v>892</v>
      </c>
      <c r="Q1435" s="28"/>
      <c r="R1435" s="28">
        <v>0.35</v>
      </c>
      <c r="S1435" s="28" t="s">
        <v>29</v>
      </c>
    </row>
    <row r="1436" spans="1:19">
      <c r="A1436" s="28">
        <v>63300</v>
      </c>
      <c r="B1436" s="28" t="s">
        <v>87</v>
      </c>
      <c r="C1436" s="28" t="s">
        <v>30</v>
      </c>
      <c r="D1436" s="28" t="s">
        <v>21</v>
      </c>
      <c r="E1436" s="28"/>
      <c r="F1436" s="28" t="s">
        <v>2143</v>
      </c>
      <c r="G1436" s="28">
        <v>0.06</v>
      </c>
      <c r="H1436" s="28" t="s">
        <v>5</v>
      </c>
      <c r="I1436" s="28">
        <v>2448</v>
      </c>
      <c r="J1436" s="28" t="s">
        <v>694</v>
      </c>
      <c r="K1436" s="28"/>
      <c r="L1436" s="28"/>
      <c r="M1436" s="28" t="s">
        <v>38</v>
      </c>
      <c r="N1436" s="28" t="s">
        <v>39</v>
      </c>
      <c r="O1436" s="29">
        <v>34125</v>
      </c>
      <c r="P1436" s="28"/>
      <c r="Q1436" s="28"/>
      <c r="R1436" s="28">
        <v>0.06</v>
      </c>
      <c r="S1436" s="28" t="s">
        <v>29</v>
      </c>
    </row>
    <row r="1437" spans="1:19" ht="29.25">
      <c r="A1437" s="28">
        <v>63700</v>
      </c>
      <c r="B1437" s="28" t="s">
        <v>87</v>
      </c>
      <c r="C1437" s="28" t="s">
        <v>30</v>
      </c>
      <c r="D1437" s="28" t="s">
        <v>21</v>
      </c>
      <c r="E1437" s="28" t="s">
        <v>2236</v>
      </c>
      <c r="F1437" s="28" t="s">
        <v>2237</v>
      </c>
      <c r="G1437" s="28">
        <v>49.5</v>
      </c>
      <c r="H1437" s="28" t="s">
        <v>5</v>
      </c>
      <c r="I1437" s="28">
        <v>2072</v>
      </c>
      <c r="J1437" s="28" t="s">
        <v>694</v>
      </c>
      <c r="K1437" s="28" t="s">
        <v>580</v>
      </c>
      <c r="L1437" s="28" t="s">
        <v>240</v>
      </c>
      <c r="M1437" s="28" t="s">
        <v>38</v>
      </c>
      <c r="N1437" s="28" t="s">
        <v>39</v>
      </c>
      <c r="O1437" s="29">
        <v>36116</v>
      </c>
      <c r="P1437" s="28"/>
      <c r="Q1437" s="28"/>
      <c r="R1437" s="28">
        <v>46.1</v>
      </c>
      <c r="S1437" s="28" t="s">
        <v>29</v>
      </c>
    </row>
    <row r="1438" spans="1:19">
      <c r="A1438" s="28">
        <v>63900</v>
      </c>
      <c r="B1438" s="28" t="s">
        <v>87</v>
      </c>
      <c r="C1438" s="28" t="s">
        <v>30</v>
      </c>
      <c r="D1438" s="28" t="s">
        <v>21</v>
      </c>
      <c r="E1438" s="28"/>
      <c r="F1438" s="28" t="s">
        <v>1623</v>
      </c>
      <c r="G1438" s="28">
        <v>0.03</v>
      </c>
      <c r="H1438" s="28" t="s">
        <v>5</v>
      </c>
      <c r="I1438" s="28">
        <v>2476</v>
      </c>
      <c r="J1438" s="28" t="s">
        <v>694</v>
      </c>
      <c r="K1438" s="28"/>
      <c r="L1438" s="28"/>
      <c r="M1438" s="28" t="s">
        <v>38</v>
      </c>
      <c r="N1438" s="28" t="s">
        <v>39</v>
      </c>
      <c r="O1438" s="29">
        <v>34852</v>
      </c>
      <c r="P1438" s="28"/>
      <c r="Q1438" s="28"/>
      <c r="R1438" s="28">
        <v>0.03</v>
      </c>
      <c r="S1438" s="28" t="s">
        <v>29</v>
      </c>
    </row>
    <row r="1439" spans="1:19" ht="29.25">
      <c r="A1439" s="28">
        <v>64000</v>
      </c>
      <c r="B1439" s="28" t="s">
        <v>87</v>
      </c>
      <c r="C1439" s="28" t="s">
        <v>30</v>
      </c>
      <c r="D1439" s="28" t="s">
        <v>21</v>
      </c>
      <c r="E1439" s="28" t="s">
        <v>890</v>
      </c>
      <c r="F1439" s="28" t="s">
        <v>891</v>
      </c>
      <c r="G1439" s="28">
        <v>0</v>
      </c>
      <c r="H1439" s="28" t="s">
        <v>143</v>
      </c>
      <c r="I1439" s="28">
        <v>38</v>
      </c>
      <c r="J1439" s="28" t="s">
        <v>694</v>
      </c>
      <c r="K1439" s="28"/>
      <c r="L1439" s="28" t="s">
        <v>240</v>
      </c>
      <c r="M1439" s="28" t="s">
        <v>38</v>
      </c>
      <c r="N1439" s="28" t="s">
        <v>144</v>
      </c>
      <c r="O1439" s="29">
        <v>30317</v>
      </c>
      <c r="P1439" s="28" t="s">
        <v>892</v>
      </c>
      <c r="Q1439" s="28"/>
      <c r="R1439" s="28">
        <v>2.25</v>
      </c>
      <c r="S1439" s="28" t="s">
        <v>29</v>
      </c>
    </row>
    <row r="1440" spans="1:19" ht="29.25">
      <c r="A1440" s="24">
        <v>64500</v>
      </c>
      <c r="B1440" s="24" t="s">
        <v>87</v>
      </c>
      <c r="C1440" s="24" t="s">
        <v>30</v>
      </c>
      <c r="D1440" s="24" t="s">
        <v>30</v>
      </c>
      <c r="E1440" s="24" t="s">
        <v>1017</v>
      </c>
      <c r="F1440" s="24" t="s">
        <v>1018</v>
      </c>
      <c r="G1440" s="24">
        <v>19.5</v>
      </c>
      <c r="H1440" s="24" t="s">
        <v>5</v>
      </c>
      <c r="I1440" s="24" t="s">
        <v>90</v>
      </c>
      <c r="J1440" s="24" t="s">
        <v>25</v>
      </c>
      <c r="K1440" s="24" t="s">
        <v>25</v>
      </c>
      <c r="L1440" s="24" t="s">
        <v>26</v>
      </c>
      <c r="M1440" s="24" t="s">
        <v>38</v>
      </c>
      <c r="N1440" s="24" t="s">
        <v>39</v>
      </c>
      <c r="O1440" s="25">
        <v>30682</v>
      </c>
      <c r="P1440" s="24"/>
      <c r="Q1440" s="24"/>
      <c r="R1440" s="24">
        <v>19.53</v>
      </c>
      <c r="S1440" s="24" t="s">
        <v>29</v>
      </c>
    </row>
    <row r="1441" spans="1:19">
      <c r="A1441" s="26">
        <v>64505</v>
      </c>
      <c r="B1441" s="26" t="s">
        <v>87</v>
      </c>
      <c r="C1441" s="26" t="s">
        <v>30</v>
      </c>
      <c r="D1441" s="26" t="s">
        <v>21</v>
      </c>
      <c r="E1441" s="26"/>
      <c r="F1441" s="26" t="s">
        <v>1541</v>
      </c>
      <c r="G1441" s="26"/>
      <c r="H1441" s="26" t="s">
        <v>5</v>
      </c>
      <c r="I1441" s="26">
        <v>1088</v>
      </c>
      <c r="J1441" s="26" t="s">
        <v>788</v>
      </c>
      <c r="K1441" s="26"/>
      <c r="L1441" s="26"/>
      <c r="M1441" s="26" t="s">
        <v>38</v>
      </c>
      <c r="N1441" s="26" t="s">
        <v>39</v>
      </c>
      <c r="O1441" s="27">
        <v>31867</v>
      </c>
      <c r="P1441" s="26"/>
      <c r="Q1441" s="26"/>
      <c r="R1441" s="26">
        <v>0.08</v>
      </c>
      <c r="S1441" s="26" t="s">
        <v>29</v>
      </c>
    </row>
    <row r="1442" spans="1:19" ht="29.25">
      <c r="A1442" s="26">
        <v>64502</v>
      </c>
      <c r="B1442" s="26" t="s">
        <v>87</v>
      </c>
      <c r="C1442" s="26" t="s">
        <v>30</v>
      </c>
      <c r="D1442" s="26" t="s">
        <v>21</v>
      </c>
      <c r="E1442" s="26"/>
      <c r="F1442" s="26" t="s">
        <v>1019</v>
      </c>
      <c r="G1442" s="26"/>
      <c r="H1442" s="26" t="s">
        <v>5</v>
      </c>
      <c r="I1442" s="26">
        <v>2044</v>
      </c>
      <c r="J1442" s="26" t="s">
        <v>694</v>
      </c>
      <c r="K1442" s="26"/>
      <c r="L1442" s="26"/>
      <c r="M1442" s="26" t="s">
        <v>38</v>
      </c>
      <c r="N1442" s="26" t="s">
        <v>39</v>
      </c>
      <c r="O1442" s="27">
        <v>30682</v>
      </c>
      <c r="P1442" s="26"/>
      <c r="Q1442" s="26"/>
      <c r="R1442" s="26">
        <v>1.1000000000000001</v>
      </c>
      <c r="S1442" s="26" t="s">
        <v>29</v>
      </c>
    </row>
    <row r="1443" spans="1:19" ht="43.5">
      <c r="A1443" s="26">
        <v>64501</v>
      </c>
      <c r="B1443" s="26" t="s">
        <v>87</v>
      </c>
      <c r="C1443" s="26" t="s">
        <v>30</v>
      </c>
      <c r="D1443" s="26" t="s">
        <v>21</v>
      </c>
      <c r="E1443" s="26"/>
      <c r="F1443" s="26" t="s">
        <v>1550</v>
      </c>
      <c r="G1443" s="26"/>
      <c r="H1443" s="26" t="s">
        <v>5</v>
      </c>
      <c r="I1443" s="26">
        <v>2195</v>
      </c>
      <c r="J1443" s="26" t="s">
        <v>694</v>
      </c>
      <c r="K1443" s="26"/>
      <c r="L1443" s="26"/>
      <c r="M1443" s="26" t="s">
        <v>38</v>
      </c>
      <c r="N1443" s="26" t="s">
        <v>39</v>
      </c>
      <c r="O1443" s="27">
        <v>31902</v>
      </c>
      <c r="P1443" s="26"/>
      <c r="Q1443" s="26"/>
      <c r="R1443" s="26">
        <v>0.55000000000000004</v>
      </c>
      <c r="S1443" s="26" t="s">
        <v>29</v>
      </c>
    </row>
    <row r="1444" spans="1:19" ht="29.25">
      <c r="A1444" s="26">
        <v>64503</v>
      </c>
      <c r="B1444" s="26" t="s">
        <v>87</v>
      </c>
      <c r="C1444" s="26" t="s">
        <v>30</v>
      </c>
      <c r="D1444" s="26" t="s">
        <v>21</v>
      </c>
      <c r="E1444" s="26"/>
      <c r="F1444" s="26" t="s">
        <v>1985</v>
      </c>
      <c r="G1444" s="26"/>
      <c r="H1444" s="26" t="s">
        <v>5</v>
      </c>
      <c r="I1444" s="26">
        <v>4039</v>
      </c>
      <c r="J1444" s="26" t="s">
        <v>25</v>
      </c>
      <c r="K1444" s="26"/>
      <c r="L1444" s="26"/>
      <c r="M1444" s="26" t="s">
        <v>38</v>
      </c>
      <c r="N1444" s="26" t="s">
        <v>39</v>
      </c>
      <c r="O1444" s="27">
        <v>32948</v>
      </c>
      <c r="P1444" s="26"/>
      <c r="Q1444" s="26"/>
      <c r="R1444" s="26">
        <v>17</v>
      </c>
      <c r="S1444" s="26" t="s">
        <v>29</v>
      </c>
    </row>
    <row r="1445" spans="1:19" ht="29.25">
      <c r="A1445" s="28">
        <v>64700</v>
      </c>
      <c r="B1445" s="28" t="s">
        <v>87</v>
      </c>
      <c r="C1445" s="28" t="s">
        <v>30</v>
      </c>
      <c r="D1445" s="28" t="s">
        <v>21</v>
      </c>
      <c r="E1445" s="28"/>
      <c r="F1445" s="28" t="s">
        <v>2050</v>
      </c>
      <c r="G1445" s="28">
        <v>0.06</v>
      </c>
      <c r="H1445" s="28" t="s">
        <v>5</v>
      </c>
      <c r="I1445" s="28">
        <v>2420</v>
      </c>
      <c r="J1445" s="28" t="s">
        <v>694</v>
      </c>
      <c r="K1445" s="28"/>
      <c r="L1445" s="28"/>
      <c r="M1445" s="28" t="s">
        <v>38</v>
      </c>
      <c r="N1445" s="28" t="s">
        <v>39</v>
      </c>
      <c r="O1445" s="29">
        <v>33228</v>
      </c>
      <c r="P1445" s="28"/>
      <c r="Q1445" s="28"/>
      <c r="R1445" s="28">
        <v>0.06</v>
      </c>
      <c r="S1445" s="28" t="s">
        <v>29</v>
      </c>
    </row>
    <row r="1446" spans="1:19" ht="29.25">
      <c r="A1446" s="28">
        <v>64800</v>
      </c>
      <c r="B1446" s="28" t="s">
        <v>87</v>
      </c>
      <c r="C1446" s="28" t="s">
        <v>30</v>
      </c>
      <c r="D1446" s="28" t="s">
        <v>21</v>
      </c>
      <c r="E1446" s="28" t="s">
        <v>699</v>
      </c>
      <c r="F1446" s="28" t="s">
        <v>700</v>
      </c>
      <c r="G1446" s="28">
        <v>4.5999999999999996</v>
      </c>
      <c r="H1446" s="28" t="s">
        <v>24</v>
      </c>
      <c r="I1446" s="28" t="s">
        <v>701</v>
      </c>
      <c r="J1446" s="28" t="s">
        <v>694</v>
      </c>
      <c r="K1446" s="28" t="s">
        <v>580</v>
      </c>
      <c r="L1446" s="28" t="s">
        <v>240</v>
      </c>
      <c r="M1446" s="28" t="s">
        <v>27</v>
      </c>
      <c r="N1446" s="28" t="s">
        <v>28</v>
      </c>
      <c r="O1446" s="29">
        <v>28277</v>
      </c>
      <c r="P1446" s="28"/>
      <c r="Q1446" s="28"/>
      <c r="R1446" s="28">
        <v>4.5999999999999996</v>
      </c>
      <c r="S1446" s="28" t="s">
        <v>29</v>
      </c>
    </row>
    <row r="1447" spans="1:19" ht="29.25">
      <c r="A1447" s="24">
        <v>64900</v>
      </c>
      <c r="B1447" s="24" t="s">
        <v>87</v>
      </c>
      <c r="C1447" s="24" t="s">
        <v>30</v>
      </c>
      <c r="D1447" s="24" t="s">
        <v>30</v>
      </c>
      <c r="E1447" s="24" t="s">
        <v>1500</v>
      </c>
      <c r="F1447" s="24" t="s">
        <v>1501</v>
      </c>
      <c r="G1447" s="24">
        <v>5.0999999999999996</v>
      </c>
      <c r="H1447" s="24" t="s">
        <v>5</v>
      </c>
      <c r="I1447" s="24" t="s">
        <v>90</v>
      </c>
      <c r="J1447" s="24" t="s">
        <v>90</v>
      </c>
      <c r="K1447" s="24"/>
      <c r="L1447" s="24" t="s">
        <v>26</v>
      </c>
      <c r="M1447" s="24" t="s">
        <v>38</v>
      </c>
      <c r="N1447" s="24" t="s">
        <v>39</v>
      </c>
      <c r="O1447" s="25">
        <v>31778</v>
      </c>
      <c r="P1447" s="24"/>
      <c r="Q1447" s="24"/>
      <c r="R1447" s="24">
        <v>5.12</v>
      </c>
      <c r="S1447" s="24" t="s">
        <v>29</v>
      </c>
    </row>
    <row r="1448" spans="1:19" ht="29.25">
      <c r="A1448" s="26">
        <v>64903</v>
      </c>
      <c r="B1448" s="26" t="s">
        <v>87</v>
      </c>
      <c r="C1448" s="26" t="s">
        <v>30</v>
      </c>
      <c r="D1448" s="26" t="s">
        <v>21</v>
      </c>
      <c r="E1448" s="26"/>
      <c r="F1448" s="26" t="s">
        <v>1596</v>
      </c>
      <c r="G1448" s="26"/>
      <c r="H1448" s="26" t="s">
        <v>5</v>
      </c>
      <c r="I1448" s="26">
        <v>4029</v>
      </c>
      <c r="J1448" s="26" t="s">
        <v>25</v>
      </c>
      <c r="K1448" s="26"/>
      <c r="L1448" s="26"/>
      <c r="M1448" s="26" t="s">
        <v>38</v>
      </c>
      <c r="N1448" s="26" t="s">
        <v>39</v>
      </c>
      <c r="O1448" s="27">
        <v>32067</v>
      </c>
      <c r="P1448" s="26"/>
      <c r="Q1448" s="26"/>
      <c r="R1448" s="26">
        <v>4.9800000000000004</v>
      </c>
      <c r="S1448" s="26" t="s">
        <v>29</v>
      </c>
    </row>
    <row r="1449" spans="1:19" ht="29.25">
      <c r="A1449" s="26">
        <v>64901</v>
      </c>
      <c r="B1449" s="26" t="s">
        <v>87</v>
      </c>
      <c r="C1449" s="26" t="s">
        <v>30</v>
      </c>
      <c r="D1449" s="26" t="s">
        <v>21</v>
      </c>
      <c r="E1449" s="26"/>
      <c r="F1449" s="26" t="s">
        <v>1868</v>
      </c>
      <c r="G1449" s="26"/>
      <c r="H1449" s="26" t="s">
        <v>5</v>
      </c>
      <c r="I1449" s="26">
        <v>2311</v>
      </c>
      <c r="J1449" s="26" t="s">
        <v>694</v>
      </c>
      <c r="K1449" s="26" t="s">
        <v>296</v>
      </c>
      <c r="L1449" s="26" t="s">
        <v>240</v>
      </c>
      <c r="M1449" s="26" t="s">
        <v>38</v>
      </c>
      <c r="N1449" s="26" t="s">
        <v>39</v>
      </c>
      <c r="O1449" s="27">
        <v>32752</v>
      </c>
      <c r="P1449" s="26"/>
      <c r="Q1449" s="26"/>
      <c r="R1449" s="26">
        <v>7.0000000000000007E-2</v>
      </c>
      <c r="S1449" s="26" t="s">
        <v>29</v>
      </c>
    </row>
    <row r="1450" spans="1:19" ht="29.25">
      <c r="A1450" s="28">
        <v>65000</v>
      </c>
      <c r="B1450" s="28" t="s">
        <v>87</v>
      </c>
      <c r="C1450" s="28" t="s">
        <v>30</v>
      </c>
      <c r="D1450" s="28" t="s">
        <v>21</v>
      </c>
      <c r="E1450" s="28"/>
      <c r="F1450" s="28" t="s">
        <v>2104</v>
      </c>
      <c r="G1450" s="28">
        <v>0.05</v>
      </c>
      <c r="H1450" s="28" t="s">
        <v>5</v>
      </c>
      <c r="I1450" s="28">
        <v>2262</v>
      </c>
      <c r="J1450" s="28" t="s">
        <v>694</v>
      </c>
      <c r="K1450" s="28"/>
      <c r="L1450" s="28"/>
      <c r="M1450" s="28" t="s">
        <v>38</v>
      </c>
      <c r="N1450" s="28" t="s">
        <v>39</v>
      </c>
      <c r="O1450" s="29">
        <v>33648</v>
      </c>
      <c r="P1450" s="28"/>
      <c r="Q1450" s="28"/>
      <c r="R1450" s="28">
        <v>0.05</v>
      </c>
      <c r="S1450" s="28" t="s">
        <v>29</v>
      </c>
    </row>
    <row r="1451" spans="1:19" ht="29.25">
      <c r="A1451" s="28">
        <v>65100</v>
      </c>
      <c r="B1451" s="28" t="s">
        <v>87</v>
      </c>
      <c r="C1451" s="28" t="s">
        <v>30</v>
      </c>
      <c r="D1451" s="28" t="s">
        <v>21</v>
      </c>
      <c r="E1451" s="28" t="s">
        <v>1711</v>
      </c>
      <c r="F1451" s="28" t="s">
        <v>1712</v>
      </c>
      <c r="G1451" s="28">
        <v>30.5</v>
      </c>
      <c r="H1451" s="28" t="s">
        <v>24</v>
      </c>
      <c r="I1451" s="28" t="s">
        <v>1713</v>
      </c>
      <c r="J1451" s="28" t="s">
        <v>788</v>
      </c>
      <c r="K1451" s="28" t="s">
        <v>366</v>
      </c>
      <c r="L1451" s="28" t="s">
        <v>789</v>
      </c>
      <c r="M1451" s="28" t="s">
        <v>27</v>
      </c>
      <c r="N1451" s="28" t="s">
        <v>28</v>
      </c>
      <c r="O1451" s="29">
        <v>32344</v>
      </c>
      <c r="P1451" s="28"/>
      <c r="Q1451" s="28"/>
      <c r="R1451" s="28">
        <v>30.5</v>
      </c>
      <c r="S1451" s="28" t="s">
        <v>29</v>
      </c>
    </row>
    <row r="1452" spans="1:19">
      <c r="A1452" s="28">
        <v>65200</v>
      </c>
      <c r="B1452" s="28" t="s">
        <v>87</v>
      </c>
      <c r="C1452" s="28" t="s">
        <v>30</v>
      </c>
      <c r="D1452" s="28" t="s">
        <v>21</v>
      </c>
      <c r="E1452" s="28" t="s">
        <v>1883</v>
      </c>
      <c r="F1452" s="28" t="s">
        <v>1884</v>
      </c>
      <c r="G1452" s="28">
        <v>38</v>
      </c>
      <c r="H1452" s="28" t="s">
        <v>5</v>
      </c>
      <c r="I1452" s="28">
        <v>2077</v>
      </c>
      <c r="J1452" s="28" t="s">
        <v>694</v>
      </c>
      <c r="K1452" s="28" t="s">
        <v>366</v>
      </c>
      <c r="L1452" s="28" t="s">
        <v>854</v>
      </c>
      <c r="M1452" s="28" t="s">
        <v>38</v>
      </c>
      <c r="N1452" s="28" t="s">
        <v>39</v>
      </c>
      <c r="O1452" s="29">
        <v>32814</v>
      </c>
      <c r="P1452" s="28"/>
      <c r="Q1452" s="28"/>
      <c r="R1452" s="28">
        <v>37</v>
      </c>
      <c r="S1452" s="28" t="s">
        <v>29</v>
      </c>
    </row>
    <row r="1453" spans="1:19" ht="29.25">
      <c r="A1453" s="28">
        <v>65300</v>
      </c>
      <c r="B1453" s="28" t="s">
        <v>87</v>
      </c>
      <c r="C1453" s="28" t="s">
        <v>30</v>
      </c>
      <c r="D1453" s="28" t="s">
        <v>21</v>
      </c>
      <c r="E1453" s="28" t="s">
        <v>1869</v>
      </c>
      <c r="F1453" s="28" t="s">
        <v>1870</v>
      </c>
      <c r="G1453" s="28">
        <v>45</v>
      </c>
      <c r="H1453" s="28" t="s">
        <v>24</v>
      </c>
      <c r="I1453" s="28" t="s">
        <v>1871</v>
      </c>
      <c r="J1453" s="28" t="s">
        <v>694</v>
      </c>
      <c r="K1453" s="28" t="s">
        <v>366</v>
      </c>
      <c r="L1453" s="28" t="s">
        <v>928</v>
      </c>
      <c r="M1453" s="28" t="s">
        <v>193</v>
      </c>
      <c r="N1453" s="28" t="s">
        <v>194</v>
      </c>
      <c r="O1453" s="29">
        <v>32778</v>
      </c>
      <c r="P1453" s="28"/>
      <c r="Q1453" s="28"/>
      <c r="R1453" s="28">
        <v>45</v>
      </c>
      <c r="S1453" s="28" t="s">
        <v>29</v>
      </c>
    </row>
    <row r="1454" spans="1:19">
      <c r="A1454" s="28">
        <v>65400</v>
      </c>
      <c r="B1454" s="28" t="s">
        <v>87</v>
      </c>
      <c r="C1454" s="28" t="s">
        <v>30</v>
      </c>
      <c r="D1454" s="28" t="s">
        <v>21</v>
      </c>
      <c r="E1454" s="28" t="s">
        <v>1843</v>
      </c>
      <c r="F1454" s="28" t="s">
        <v>1844</v>
      </c>
      <c r="G1454" s="28">
        <v>28.8</v>
      </c>
      <c r="H1454" s="28" t="s">
        <v>24</v>
      </c>
      <c r="I1454" s="28" t="s">
        <v>1845</v>
      </c>
      <c r="J1454" s="28" t="s">
        <v>788</v>
      </c>
      <c r="K1454" s="28" t="s">
        <v>366</v>
      </c>
      <c r="L1454" s="28" t="s">
        <v>789</v>
      </c>
      <c r="M1454" s="28" t="s">
        <v>27</v>
      </c>
      <c r="N1454" s="28" t="s">
        <v>28</v>
      </c>
      <c r="O1454" s="29">
        <v>32668</v>
      </c>
      <c r="P1454" s="28"/>
      <c r="Q1454" s="28"/>
      <c r="R1454" s="28">
        <v>28.8</v>
      </c>
      <c r="S1454" s="28" t="s">
        <v>29</v>
      </c>
    </row>
    <row r="1455" spans="1:19" ht="29.25">
      <c r="A1455" s="24">
        <v>65500</v>
      </c>
      <c r="B1455" s="24" t="s">
        <v>87</v>
      </c>
      <c r="C1455" s="24" t="s">
        <v>30</v>
      </c>
      <c r="D1455" s="24" t="s">
        <v>30</v>
      </c>
      <c r="E1455" s="24" t="s">
        <v>1020</v>
      </c>
      <c r="F1455" s="24" t="s">
        <v>1021</v>
      </c>
      <c r="G1455" s="24">
        <v>7.5</v>
      </c>
      <c r="H1455" s="24" t="s">
        <v>24</v>
      </c>
      <c r="I1455" s="24" t="s">
        <v>90</v>
      </c>
      <c r="J1455" s="24" t="s">
        <v>25</v>
      </c>
      <c r="K1455" s="24" t="s">
        <v>1022</v>
      </c>
      <c r="L1455" s="24" t="s">
        <v>26</v>
      </c>
      <c r="M1455" s="24" t="s">
        <v>27</v>
      </c>
      <c r="N1455" s="24" t="s">
        <v>28</v>
      </c>
      <c r="O1455" s="25">
        <v>30682</v>
      </c>
      <c r="P1455" s="24"/>
      <c r="Q1455" s="24"/>
      <c r="R1455" s="24">
        <v>2.5</v>
      </c>
      <c r="S1455" s="24" t="s">
        <v>29</v>
      </c>
    </row>
    <row r="1456" spans="1:19">
      <c r="A1456" s="26">
        <v>65501</v>
      </c>
      <c r="B1456" s="26" t="s">
        <v>87</v>
      </c>
      <c r="C1456" s="26" t="s">
        <v>30</v>
      </c>
      <c r="D1456" s="26" t="s">
        <v>21</v>
      </c>
      <c r="E1456" s="26"/>
      <c r="F1456" s="26" t="s">
        <v>3293</v>
      </c>
      <c r="G1456" s="26"/>
      <c r="H1456" s="26" t="s">
        <v>24</v>
      </c>
      <c r="I1456" s="26" t="s">
        <v>3294</v>
      </c>
      <c r="J1456" s="26" t="s">
        <v>25</v>
      </c>
      <c r="K1456" s="26" t="s">
        <v>25</v>
      </c>
      <c r="L1456" s="26" t="s">
        <v>26</v>
      </c>
      <c r="M1456" s="26" t="s">
        <v>27</v>
      </c>
      <c r="N1456" s="26" t="s">
        <v>28</v>
      </c>
      <c r="O1456" s="26" t="s">
        <v>4687</v>
      </c>
      <c r="P1456" s="26"/>
      <c r="Q1456" s="26"/>
      <c r="R1456" s="26">
        <v>0.02</v>
      </c>
      <c r="S1456" s="26" t="s">
        <v>29</v>
      </c>
    </row>
    <row r="1457" spans="1:19">
      <c r="A1457" s="26">
        <v>65502</v>
      </c>
      <c r="B1457" s="26" t="s">
        <v>87</v>
      </c>
      <c r="C1457" s="26" t="s">
        <v>30</v>
      </c>
      <c r="D1457" s="26" t="s">
        <v>21</v>
      </c>
      <c r="E1457" s="26"/>
      <c r="F1457" s="26" t="s">
        <v>3295</v>
      </c>
      <c r="G1457" s="26"/>
      <c r="H1457" s="26" t="s">
        <v>24</v>
      </c>
      <c r="I1457" s="26" t="s">
        <v>3296</v>
      </c>
      <c r="J1457" s="26" t="s">
        <v>25</v>
      </c>
      <c r="K1457" s="26" t="s">
        <v>25</v>
      </c>
      <c r="L1457" s="26" t="s">
        <v>26</v>
      </c>
      <c r="M1457" s="26" t="s">
        <v>27</v>
      </c>
      <c r="N1457" s="26" t="s">
        <v>28</v>
      </c>
      <c r="O1457" s="26" t="s">
        <v>4687</v>
      </c>
      <c r="P1457" s="26"/>
      <c r="Q1457" s="26"/>
      <c r="R1457" s="26">
        <v>0.04</v>
      </c>
      <c r="S1457" s="26" t="s">
        <v>29</v>
      </c>
    </row>
    <row r="1458" spans="1:19">
      <c r="A1458" s="26">
        <v>65503</v>
      </c>
      <c r="B1458" s="26" t="s">
        <v>87</v>
      </c>
      <c r="C1458" s="26" t="s">
        <v>30</v>
      </c>
      <c r="D1458" s="26" t="s">
        <v>21</v>
      </c>
      <c r="E1458" s="26"/>
      <c r="F1458" s="26" t="s">
        <v>1351</v>
      </c>
      <c r="G1458" s="26"/>
      <c r="H1458" s="26" t="s">
        <v>24</v>
      </c>
      <c r="I1458" s="26" t="s">
        <v>1352</v>
      </c>
      <c r="J1458" s="26" t="s">
        <v>25</v>
      </c>
      <c r="K1458" s="26" t="s">
        <v>25</v>
      </c>
      <c r="L1458" s="26" t="s">
        <v>26</v>
      </c>
      <c r="M1458" s="26" t="s">
        <v>27</v>
      </c>
      <c r="N1458" s="26" t="s">
        <v>28</v>
      </c>
      <c r="O1458" s="27">
        <v>31456</v>
      </c>
      <c r="P1458" s="26"/>
      <c r="Q1458" s="26"/>
      <c r="R1458" s="26">
        <v>0.08</v>
      </c>
      <c r="S1458" s="26" t="s">
        <v>29</v>
      </c>
    </row>
    <row r="1459" spans="1:19">
      <c r="A1459" s="26">
        <v>65511</v>
      </c>
      <c r="B1459" s="26" t="s">
        <v>87</v>
      </c>
      <c r="C1459" s="26" t="s">
        <v>30</v>
      </c>
      <c r="D1459" s="26" t="s">
        <v>21</v>
      </c>
      <c r="E1459" s="26"/>
      <c r="F1459" s="26" t="s">
        <v>1248</v>
      </c>
      <c r="G1459" s="26"/>
      <c r="H1459" s="26" t="s">
        <v>24</v>
      </c>
      <c r="I1459" s="26" t="s">
        <v>1249</v>
      </c>
      <c r="J1459" s="26" t="s">
        <v>25</v>
      </c>
      <c r="K1459" s="26" t="s">
        <v>25</v>
      </c>
      <c r="L1459" s="26" t="s">
        <v>26</v>
      </c>
      <c r="M1459" s="26" t="s">
        <v>27</v>
      </c>
      <c r="N1459" s="26" t="s">
        <v>28</v>
      </c>
      <c r="O1459" s="27">
        <v>31404</v>
      </c>
      <c r="P1459" s="26"/>
      <c r="Q1459" s="26"/>
      <c r="R1459" s="26">
        <v>0.1</v>
      </c>
      <c r="S1459" s="26" t="s">
        <v>29</v>
      </c>
    </row>
    <row r="1460" spans="1:19">
      <c r="A1460" s="26">
        <v>65505</v>
      </c>
      <c r="B1460" s="26" t="s">
        <v>87</v>
      </c>
      <c r="C1460" s="26" t="s">
        <v>30</v>
      </c>
      <c r="D1460" s="26" t="s">
        <v>21</v>
      </c>
      <c r="E1460" s="26"/>
      <c r="F1460" s="26" t="s">
        <v>1092</v>
      </c>
      <c r="G1460" s="26"/>
      <c r="H1460" s="26" t="s">
        <v>24</v>
      </c>
      <c r="I1460" s="26" t="s">
        <v>1093</v>
      </c>
      <c r="J1460" s="26" t="s">
        <v>25</v>
      </c>
      <c r="K1460" s="26" t="s">
        <v>25</v>
      </c>
      <c r="L1460" s="26" t="s">
        <v>26</v>
      </c>
      <c r="M1460" s="26" t="s">
        <v>27</v>
      </c>
      <c r="N1460" s="26" t="s">
        <v>28</v>
      </c>
      <c r="O1460" s="27">
        <v>31014</v>
      </c>
      <c r="P1460" s="26"/>
      <c r="Q1460" s="26"/>
      <c r="R1460" s="26">
        <v>0.59</v>
      </c>
      <c r="S1460" s="26" t="s">
        <v>29</v>
      </c>
    </row>
    <row r="1461" spans="1:19">
      <c r="A1461" s="26">
        <v>65508</v>
      </c>
      <c r="B1461" s="26" t="s">
        <v>87</v>
      </c>
      <c r="C1461" s="26" t="s">
        <v>30</v>
      </c>
      <c r="D1461" s="26" t="s">
        <v>21</v>
      </c>
      <c r="E1461" s="26"/>
      <c r="F1461" s="26" t="s">
        <v>1097</v>
      </c>
      <c r="G1461" s="26"/>
      <c r="H1461" s="26" t="s">
        <v>24</v>
      </c>
      <c r="I1461" s="26" t="s">
        <v>1098</v>
      </c>
      <c r="J1461" s="26" t="s">
        <v>25</v>
      </c>
      <c r="K1461" s="26" t="s">
        <v>25</v>
      </c>
      <c r="L1461" s="26" t="s">
        <v>26</v>
      </c>
      <c r="M1461" s="26" t="s">
        <v>27</v>
      </c>
      <c r="N1461" s="26" t="s">
        <v>28</v>
      </c>
      <c r="O1461" s="27">
        <v>31030</v>
      </c>
      <c r="P1461" s="26"/>
      <c r="Q1461" s="26"/>
      <c r="R1461" s="26">
        <v>0.85</v>
      </c>
      <c r="S1461" s="26" t="s">
        <v>29</v>
      </c>
    </row>
    <row r="1462" spans="1:19">
      <c r="A1462" s="26">
        <v>65510</v>
      </c>
      <c r="B1462" s="26" t="s">
        <v>87</v>
      </c>
      <c r="C1462" s="26" t="s">
        <v>30</v>
      </c>
      <c r="D1462" s="26" t="s">
        <v>21</v>
      </c>
      <c r="E1462" s="26"/>
      <c r="F1462" s="26" t="s">
        <v>1654</v>
      </c>
      <c r="G1462" s="26"/>
      <c r="H1462" s="26" t="s">
        <v>24</v>
      </c>
      <c r="I1462" s="26" t="s">
        <v>1655</v>
      </c>
      <c r="J1462" s="26" t="s">
        <v>25</v>
      </c>
      <c r="K1462" s="26" t="s">
        <v>25</v>
      </c>
      <c r="L1462" s="26" t="s">
        <v>26</v>
      </c>
      <c r="M1462" s="26" t="s">
        <v>27</v>
      </c>
      <c r="N1462" s="26" t="s">
        <v>28</v>
      </c>
      <c r="O1462" s="27">
        <v>32153</v>
      </c>
      <c r="P1462" s="26"/>
      <c r="Q1462" s="26"/>
      <c r="R1462" s="26">
        <v>0.2</v>
      </c>
      <c r="S1462" s="26" t="s">
        <v>29</v>
      </c>
    </row>
    <row r="1463" spans="1:19">
      <c r="A1463" s="26">
        <v>65504</v>
      </c>
      <c r="B1463" s="26" t="s">
        <v>87</v>
      </c>
      <c r="C1463" s="26" t="s">
        <v>30</v>
      </c>
      <c r="D1463" s="26" t="s">
        <v>21</v>
      </c>
      <c r="E1463" s="26"/>
      <c r="F1463" s="26" t="s">
        <v>1246</v>
      </c>
      <c r="G1463" s="26"/>
      <c r="H1463" s="26" t="s">
        <v>24</v>
      </c>
      <c r="I1463" s="26" t="s">
        <v>1247</v>
      </c>
      <c r="J1463" s="26" t="s">
        <v>25</v>
      </c>
      <c r="K1463" s="26" t="s">
        <v>25</v>
      </c>
      <c r="L1463" s="26" t="s">
        <v>26</v>
      </c>
      <c r="M1463" s="26" t="s">
        <v>27</v>
      </c>
      <c r="N1463" s="26" t="s">
        <v>28</v>
      </c>
      <c r="O1463" s="27">
        <v>31404</v>
      </c>
      <c r="P1463" s="26"/>
      <c r="Q1463" s="26"/>
      <c r="R1463" s="26">
        <v>0.55000000000000004</v>
      </c>
      <c r="S1463" s="26" t="s">
        <v>29</v>
      </c>
    </row>
    <row r="1464" spans="1:19">
      <c r="A1464" s="28">
        <v>65700</v>
      </c>
      <c r="B1464" s="28" t="s">
        <v>87</v>
      </c>
      <c r="C1464" s="28" t="s">
        <v>30</v>
      </c>
      <c r="D1464" s="28" t="s">
        <v>21</v>
      </c>
      <c r="E1464" s="28" t="s">
        <v>1682</v>
      </c>
      <c r="F1464" s="28" t="s">
        <v>1234</v>
      </c>
      <c r="G1464" s="28">
        <v>56.9</v>
      </c>
      <c r="H1464" s="28" t="s">
        <v>24</v>
      </c>
      <c r="I1464" s="28" t="s">
        <v>1683</v>
      </c>
      <c r="J1464" s="28" t="s">
        <v>694</v>
      </c>
      <c r="K1464" s="28" t="s">
        <v>580</v>
      </c>
      <c r="L1464" s="28" t="s">
        <v>240</v>
      </c>
      <c r="M1464" s="28" t="s">
        <v>27</v>
      </c>
      <c r="N1464" s="28" t="s">
        <v>28</v>
      </c>
      <c r="O1464" s="29">
        <v>32252</v>
      </c>
      <c r="P1464" s="28"/>
      <c r="Q1464" s="28"/>
      <c r="R1464" s="28">
        <v>56.9</v>
      </c>
      <c r="S1464" s="28" t="s">
        <v>29</v>
      </c>
    </row>
    <row r="1465" spans="1:19">
      <c r="A1465" s="28">
        <v>65600</v>
      </c>
      <c r="B1465" s="28" t="s">
        <v>87</v>
      </c>
      <c r="C1465" s="28" t="s">
        <v>30</v>
      </c>
      <c r="D1465" s="28" t="s">
        <v>21</v>
      </c>
      <c r="E1465" s="28" t="s">
        <v>1233</v>
      </c>
      <c r="F1465" s="28" t="s">
        <v>1234</v>
      </c>
      <c r="G1465" s="28">
        <v>44</v>
      </c>
      <c r="H1465" s="28" t="s">
        <v>5</v>
      </c>
      <c r="I1465" s="28">
        <v>2050</v>
      </c>
      <c r="J1465" s="28" t="s">
        <v>694</v>
      </c>
      <c r="K1465" s="28" t="s">
        <v>580</v>
      </c>
      <c r="L1465" s="28" t="s">
        <v>240</v>
      </c>
      <c r="M1465" s="28" t="s">
        <v>38</v>
      </c>
      <c r="N1465" s="28" t="s">
        <v>39</v>
      </c>
      <c r="O1465" s="29">
        <v>31369</v>
      </c>
      <c r="P1465" s="28"/>
      <c r="Q1465" s="28"/>
      <c r="R1465" s="28">
        <v>36</v>
      </c>
      <c r="S1465" s="28" t="s">
        <v>29</v>
      </c>
    </row>
    <row r="1466" spans="1:19">
      <c r="A1466" s="28">
        <v>66000</v>
      </c>
      <c r="B1466" s="28" t="s">
        <v>87</v>
      </c>
      <c r="C1466" s="28" t="s">
        <v>30</v>
      </c>
      <c r="D1466" s="28" t="s">
        <v>21</v>
      </c>
      <c r="E1466" s="28" t="s">
        <v>1388</v>
      </c>
      <c r="F1466" s="28" t="s">
        <v>1389</v>
      </c>
      <c r="G1466" s="28">
        <v>5</v>
      </c>
      <c r="H1466" s="28" t="s">
        <v>24</v>
      </c>
      <c r="I1466" s="28" t="s">
        <v>1390</v>
      </c>
      <c r="J1466" s="28" t="s">
        <v>25</v>
      </c>
      <c r="K1466" s="28" t="s">
        <v>25</v>
      </c>
      <c r="L1466" s="28" t="s">
        <v>26</v>
      </c>
      <c r="M1466" s="28" t="s">
        <v>27</v>
      </c>
      <c r="N1466" s="28" t="s">
        <v>28</v>
      </c>
      <c r="O1466" s="29">
        <v>31526</v>
      </c>
      <c r="P1466" s="28"/>
      <c r="Q1466" s="28"/>
      <c r="R1466" s="28">
        <v>5</v>
      </c>
      <c r="S1466" s="28" t="s">
        <v>29</v>
      </c>
    </row>
    <row r="1467" spans="1:19" ht="29.25">
      <c r="A1467" s="28">
        <v>66100</v>
      </c>
      <c r="B1467" s="28" t="s">
        <v>87</v>
      </c>
      <c r="C1467" s="28" t="s">
        <v>30</v>
      </c>
      <c r="D1467" s="28" t="s">
        <v>21</v>
      </c>
      <c r="E1467" s="28" t="s">
        <v>2131</v>
      </c>
      <c r="F1467" s="28" t="s">
        <v>2132</v>
      </c>
      <c r="G1467" s="28">
        <v>0</v>
      </c>
      <c r="H1467" s="28" t="s">
        <v>143</v>
      </c>
      <c r="I1467" s="28" t="s">
        <v>2133</v>
      </c>
      <c r="J1467" s="28" t="s">
        <v>694</v>
      </c>
      <c r="K1467" s="28" t="s">
        <v>366</v>
      </c>
      <c r="L1467" s="28"/>
      <c r="M1467" s="28" t="s">
        <v>38</v>
      </c>
      <c r="N1467" s="28" t="s">
        <v>144</v>
      </c>
      <c r="O1467" s="29">
        <v>33970</v>
      </c>
      <c r="P1467" s="28" t="s">
        <v>1495</v>
      </c>
      <c r="Q1467" s="28"/>
      <c r="R1467" s="28">
        <v>9</v>
      </c>
      <c r="S1467" s="28" t="s">
        <v>29</v>
      </c>
    </row>
    <row r="1468" spans="1:19" ht="29.25">
      <c r="A1468" s="28">
        <v>64400</v>
      </c>
      <c r="B1468" s="28" t="s">
        <v>87</v>
      </c>
      <c r="C1468" s="28" t="s">
        <v>30</v>
      </c>
      <c r="D1468" s="28" t="s">
        <v>21</v>
      </c>
      <c r="E1468" s="28"/>
      <c r="F1468" s="28" t="s">
        <v>3297</v>
      </c>
      <c r="G1468" s="28">
        <v>0</v>
      </c>
      <c r="H1468" s="28" t="s">
        <v>143</v>
      </c>
      <c r="I1468" s="28">
        <v>474</v>
      </c>
      <c r="J1468" s="28" t="s">
        <v>694</v>
      </c>
      <c r="K1468" s="28"/>
      <c r="L1468" s="28" t="s">
        <v>240</v>
      </c>
      <c r="M1468" s="28" t="s">
        <v>38</v>
      </c>
      <c r="N1468" s="28" t="s">
        <v>144</v>
      </c>
      <c r="O1468" s="28" t="s">
        <v>4687</v>
      </c>
      <c r="P1468" s="28" t="s">
        <v>892</v>
      </c>
      <c r="Q1468" s="28"/>
      <c r="R1468" s="28">
        <v>0.06</v>
      </c>
      <c r="S1468" s="28" t="s">
        <v>29</v>
      </c>
    </row>
    <row r="1469" spans="1:19">
      <c r="A1469" s="28">
        <v>66200</v>
      </c>
      <c r="B1469" s="28" t="s">
        <v>87</v>
      </c>
      <c r="C1469" s="28" t="s">
        <v>30</v>
      </c>
      <c r="D1469" s="28" t="s">
        <v>21</v>
      </c>
      <c r="E1469" s="28" t="s">
        <v>1235</v>
      </c>
      <c r="F1469" s="28" t="s">
        <v>1236</v>
      </c>
      <c r="G1469" s="28">
        <v>2.8</v>
      </c>
      <c r="H1469" s="28" t="s">
        <v>24</v>
      </c>
      <c r="I1469" s="28" t="s">
        <v>1237</v>
      </c>
      <c r="J1469" s="28" t="s">
        <v>694</v>
      </c>
      <c r="K1469" s="28"/>
      <c r="L1469" s="28" t="s">
        <v>240</v>
      </c>
      <c r="M1469" s="28" t="s">
        <v>27</v>
      </c>
      <c r="N1469" s="28" t="s">
        <v>28</v>
      </c>
      <c r="O1469" s="29">
        <v>31372</v>
      </c>
      <c r="P1469" s="28"/>
      <c r="Q1469" s="28"/>
      <c r="R1469" s="28">
        <v>2.8</v>
      </c>
      <c r="S1469" s="28" t="s">
        <v>29</v>
      </c>
    </row>
    <row r="1470" spans="1:19">
      <c r="A1470" s="28">
        <v>66300</v>
      </c>
      <c r="B1470" s="28" t="s">
        <v>87</v>
      </c>
      <c r="C1470" s="28" t="s">
        <v>30</v>
      </c>
      <c r="D1470" s="28" t="s">
        <v>21</v>
      </c>
      <c r="E1470" s="28" t="s">
        <v>2089</v>
      </c>
      <c r="F1470" s="28" t="s">
        <v>2090</v>
      </c>
      <c r="G1470" s="28">
        <v>57</v>
      </c>
      <c r="H1470" s="28" t="s">
        <v>24</v>
      </c>
      <c r="I1470" s="28" t="s">
        <v>2091</v>
      </c>
      <c r="J1470" s="28" t="s">
        <v>694</v>
      </c>
      <c r="K1470" s="28" t="s">
        <v>580</v>
      </c>
      <c r="L1470" s="28" t="s">
        <v>240</v>
      </c>
      <c r="M1470" s="28" t="s">
        <v>27</v>
      </c>
      <c r="N1470" s="28" t="s">
        <v>28</v>
      </c>
      <c r="O1470" s="29">
        <v>33522</v>
      </c>
      <c r="P1470" s="28"/>
      <c r="Q1470" s="28"/>
      <c r="R1470" s="28">
        <v>57</v>
      </c>
      <c r="S1470" s="28" t="s">
        <v>29</v>
      </c>
    </row>
    <row r="1471" spans="1:19" ht="29.25">
      <c r="A1471" s="24">
        <v>66400</v>
      </c>
      <c r="B1471" s="24" t="s">
        <v>87</v>
      </c>
      <c r="C1471" s="24" t="s">
        <v>30</v>
      </c>
      <c r="D1471" s="24" t="s">
        <v>30</v>
      </c>
      <c r="E1471" s="24" t="s">
        <v>1777</v>
      </c>
      <c r="F1471" s="24" t="s">
        <v>1778</v>
      </c>
      <c r="G1471" s="24">
        <v>10.6</v>
      </c>
      <c r="H1471" s="24" t="s">
        <v>5</v>
      </c>
      <c r="I1471" s="24" t="s">
        <v>90</v>
      </c>
      <c r="J1471" s="24" t="s">
        <v>694</v>
      </c>
      <c r="K1471" s="24"/>
      <c r="L1471" s="24" t="s">
        <v>240</v>
      </c>
      <c r="M1471" s="24" t="s">
        <v>38</v>
      </c>
      <c r="N1471" s="24" t="s">
        <v>39</v>
      </c>
      <c r="O1471" s="25">
        <v>32509</v>
      </c>
      <c r="P1471" s="24"/>
      <c r="Q1471" s="24"/>
      <c r="R1471" s="24">
        <v>11.85</v>
      </c>
      <c r="S1471" s="24" t="s">
        <v>29</v>
      </c>
    </row>
    <row r="1472" spans="1:19">
      <c r="A1472" s="26">
        <v>66401</v>
      </c>
      <c r="B1472" s="26" t="s">
        <v>87</v>
      </c>
      <c r="C1472" s="26" t="s">
        <v>30</v>
      </c>
      <c r="D1472" s="26" t="s">
        <v>21</v>
      </c>
      <c r="E1472" s="26"/>
      <c r="F1472" s="26" t="s">
        <v>765</v>
      </c>
      <c r="G1472" s="26"/>
      <c r="H1472" s="26" t="s">
        <v>5</v>
      </c>
      <c r="I1472" s="26">
        <v>2010</v>
      </c>
      <c r="J1472" s="26" t="s">
        <v>694</v>
      </c>
      <c r="K1472" s="26"/>
      <c r="L1472" s="26"/>
      <c r="M1472" s="26" t="s">
        <v>38</v>
      </c>
      <c r="N1472" s="26" t="s">
        <v>39</v>
      </c>
      <c r="O1472" s="27">
        <v>29312</v>
      </c>
      <c r="P1472" s="26"/>
      <c r="Q1472" s="26"/>
      <c r="R1472" s="26">
        <v>3.8</v>
      </c>
      <c r="S1472" s="26" t="s">
        <v>29</v>
      </c>
    </row>
    <row r="1473" spans="1:19" ht="29.25">
      <c r="A1473" s="28">
        <v>66500</v>
      </c>
      <c r="B1473" s="28" t="s">
        <v>87</v>
      </c>
      <c r="C1473" s="28" t="s">
        <v>30</v>
      </c>
      <c r="D1473" s="28" t="s">
        <v>21</v>
      </c>
      <c r="E1473" s="28"/>
      <c r="F1473" s="28" t="s">
        <v>2173</v>
      </c>
      <c r="G1473" s="28">
        <v>0.08</v>
      </c>
      <c r="H1473" s="28" t="s">
        <v>5</v>
      </c>
      <c r="I1473" s="28">
        <v>2468</v>
      </c>
      <c r="J1473" s="28" t="s">
        <v>694</v>
      </c>
      <c r="K1473" s="28"/>
      <c r="L1473" s="28"/>
      <c r="M1473" s="28" t="s">
        <v>38</v>
      </c>
      <c r="N1473" s="28" t="s">
        <v>39</v>
      </c>
      <c r="O1473" s="29">
        <v>34625</v>
      </c>
      <c r="P1473" s="28"/>
      <c r="Q1473" s="28"/>
      <c r="R1473" s="28">
        <v>0.08</v>
      </c>
      <c r="S1473" s="28" t="s">
        <v>29</v>
      </c>
    </row>
    <row r="1474" spans="1:19" ht="29.25">
      <c r="A1474" s="28">
        <v>66700</v>
      </c>
      <c r="B1474" s="28" t="s">
        <v>87</v>
      </c>
      <c r="C1474" s="28" t="s">
        <v>30</v>
      </c>
      <c r="D1474" s="28" t="s">
        <v>21</v>
      </c>
      <c r="E1474" s="28"/>
      <c r="F1474" s="28" t="s">
        <v>1650</v>
      </c>
      <c r="G1474" s="28">
        <v>0.08</v>
      </c>
      <c r="H1474" s="28" t="s">
        <v>5</v>
      </c>
      <c r="I1474" s="28">
        <v>2220</v>
      </c>
      <c r="J1474" s="28" t="s">
        <v>694</v>
      </c>
      <c r="K1474" s="28"/>
      <c r="L1474" s="28"/>
      <c r="M1474" s="28" t="s">
        <v>38</v>
      </c>
      <c r="N1474" s="28" t="s">
        <v>39</v>
      </c>
      <c r="O1474" s="29">
        <v>32143</v>
      </c>
      <c r="P1474" s="28"/>
      <c r="Q1474" s="28"/>
      <c r="R1474" s="28">
        <v>0.08</v>
      </c>
      <c r="S1474" s="28" t="s">
        <v>29</v>
      </c>
    </row>
    <row r="1475" spans="1:19" ht="29.25">
      <c r="A1475" s="28">
        <v>66800</v>
      </c>
      <c r="B1475" s="28" t="s">
        <v>87</v>
      </c>
      <c r="C1475" s="28" t="s">
        <v>30</v>
      </c>
      <c r="D1475" s="28" t="s">
        <v>21</v>
      </c>
      <c r="E1475" s="28"/>
      <c r="F1475" s="28" t="s">
        <v>1651</v>
      </c>
      <c r="G1475" s="28">
        <v>0.08</v>
      </c>
      <c r="H1475" s="28" t="s">
        <v>5</v>
      </c>
      <c r="I1475" s="28">
        <v>2217</v>
      </c>
      <c r="J1475" s="28" t="s">
        <v>694</v>
      </c>
      <c r="K1475" s="28"/>
      <c r="L1475" s="28"/>
      <c r="M1475" s="28" t="s">
        <v>38</v>
      </c>
      <c r="N1475" s="28" t="s">
        <v>39</v>
      </c>
      <c r="O1475" s="29">
        <v>32143</v>
      </c>
      <c r="P1475" s="28"/>
      <c r="Q1475" s="28"/>
      <c r="R1475" s="28">
        <v>0.08</v>
      </c>
      <c r="S1475" s="28" t="s">
        <v>29</v>
      </c>
    </row>
    <row r="1476" spans="1:19" ht="29.25">
      <c r="A1476" s="28">
        <v>83500</v>
      </c>
      <c r="B1476" s="28" t="s">
        <v>87</v>
      </c>
      <c r="C1476" s="28" t="s">
        <v>30</v>
      </c>
      <c r="D1476" s="28" t="s">
        <v>21</v>
      </c>
      <c r="E1476" s="28" t="s">
        <v>2625</v>
      </c>
      <c r="F1476" s="28" t="s">
        <v>2626</v>
      </c>
      <c r="G1476" s="28">
        <v>0</v>
      </c>
      <c r="H1476" s="28" t="s">
        <v>143</v>
      </c>
      <c r="I1476" s="28">
        <v>467</v>
      </c>
      <c r="J1476" s="28" t="s">
        <v>295</v>
      </c>
      <c r="K1476" s="28" t="s">
        <v>580</v>
      </c>
      <c r="L1476" s="28" t="s">
        <v>240</v>
      </c>
      <c r="M1476" s="28" t="s">
        <v>38</v>
      </c>
      <c r="N1476" s="28" t="s">
        <v>144</v>
      </c>
      <c r="O1476" s="29">
        <v>37812</v>
      </c>
      <c r="P1476" s="28" t="s">
        <v>1495</v>
      </c>
      <c r="Q1476" s="28"/>
      <c r="R1476" s="28">
        <v>5.3</v>
      </c>
      <c r="S1476" s="28" t="s">
        <v>29</v>
      </c>
    </row>
    <row r="1477" spans="1:19" ht="29.25">
      <c r="A1477" s="28">
        <v>83600</v>
      </c>
      <c r="B1477" s="28" t="s">
        <v>87</v>
      </c>
      <c r="C1477" s="28" t="s">
        <v>30</v>
      </c>
      <c r="D1477" s="28" t="s">
        <v>21</v>
      </c>
      <c r="E1477" s="28" t="s">
        <v>2627</v>
      </c>
      <c r="F1477" s="28" t="s">
        <v>2628</v>
      </c>
      <c r="G1477" s="28">
        <v>0</v>
      </c>
      <c r="H1477" s="28" t="s">
        <v>143</v>
      </c>
      <c r="I1477" s="28">
        <v>467</v>
      </c>
      <c r="J1477" s="28" t="s">
        <v>295</v>
      </c>
      <c r="K1477" s="28" t="s">
        <v>580</v>
      </c>
      <c r="L1477" s="28" t="s">
        <v>240</v>
      </c>
      <c r="M1477" s="28" t="s">
        <v>38</v>
      </c>
      <c r="N1477" s="28" t="s">
        <v>144</v>
      </c>
      <c r="O1477" s="29">
        <v>37812</v>
      </c>
      <c r="P1477" s="28" t="s">
        <v>1495</v>
      </c>
      <c r="Q1477" s="28"/>
      <c r="R1477" s="28">
        <v>5.3</v>
      </c>
      <c r="S1477" s="28" t="s">
        <v>29</v>
      </c>
    </row>
    <row r="1478" spans="1:19" ht="29.25">
      <c r="A1478" s="28">
        <v>83700</v>
      </c>
      <c r="B1478" s="28" t="s">
        <v>87</v>
      </c>
      <c r="C1478" s="28" t="s">
        <v>30</v>
      </c>
      <c r="D1478" s="28" t="s">
        <v>21</v>
      </c>
      <c r="E1478" s="28" t="s">
        <v>2629</v>
      </c>
      <c r="F1478" s="28" t="s">
        <v>2630</v>
      </c>
      <c r="G1478" s="28">
        <v>0</v>
      </c>
      <c r="H1478" s="28" t="s">
        <v>143</v>
      </c>
      <c r="I1478" s="28">
        <v>467</v>
      </c>
      <c r="J1478" s="28" t="s">
        <v>365</v>
      </c>
      <c r="K1478" s="28" t="s">
        <v>366</v>
      </c>
      <c r="L1478" s="28" t="s">
        <v>240</v>
      </c>
      <c r="M1478" s="28" t="s">
        <v>38</v>
      </c>
      <c r="N1478" s="28" t="s">
        <v>144</v>
      </c>
      <c r="O1478" s="29">
        <v>37812</v>
      </c>
      <c r="P1478" s="28" t="s">
        <v>1495</v>
      </c>
      <c r="Q1478" s="28"/>
      <c r="R1478" s="28">
        <v>4</v>
      </c>
      <c r="S1478" s="28" t="s">
        <v>29</v>
      </c>
    </row>
    <row r="1479" spans="1:19" ht="29.25">
      <c r="A1479" s="28">
        <v>66900</v>
      </c>
      <c r="B1479" s="28" t="s">
        <v>87</v>
      </c>
      <c r="C1479" s="28" t="s">
        <v>30</v>
      </c>
      <c r="D1479" s="28" t="s">
        <v>21</v>
      </c>
      <c r="E1479" s="28" t="s">
        <v>2077</v>
      </c>
      <c r="F1479" s="28" t="s">
        <v>2078</v>
      </c>
      <c r="G1479" s="28">
        <v>12.4</v>
      </c>
      <c r="H1479" s="28" t="s">
        <v>24</v>
      </c>
      <c r="I1479" s="28" t="s">
        <v>2079</v>
      </c>
      <c r="J1479" s="28" t="s">
        <v>694</v>
      </c>
      <c r="K1479" s="28" t="s">
        <v>580</v>
      </c>
      <c r="L1479" s="28" t="s">
        <v>240</v>
      </c>
      <c r="M1479" s="28" t="s">
        <v>27</v>
      </c>
      <c r="N1479" s="28" t="s">
        <v>28</v>
      </c>
      <c r="O1479" s="29">
        <v>33347</v>
      </c>
      <c r="P1479" s="28"/>
      <c r="Q1479" s="28"/>
      <c r="R1479" s="28">
        <v>12.4</v>
      </c>
      <c r="S1479" s="28" t="s">
        <v>29</v>
      </c>
    </row>
    <row r="1480" spans="1:19">
      <c r="A1480" s="28">
        <v>67000</v>
      </c>
      <c r="B1480" s="28" t="s">
        <v>87</v>
      </c>
      <c r="C1480" s="28" t="s">
        <v>30</v>
      </c>
      <c r="D1480" s="28" t="s">
        <v>21</v>
      </c>
      <c r="E1480" s="28" t="s">
        <v>1100</v>
      </c>
      <c r="F1480" s="28" t="s">
        <v>1101</v>
      </c>
      <c r="G1480" s="28">
        <v>6.9</v>
      </c>
      <c r="H1480" s="28" t="s">
        <v>24</v>
      </c>
      <c r="I1480" s="28" t="s">
        <v>1102</v>
      </c>
      <c r="J1480" s="28" t="s">
        <v>694</v>
      </c>
      <c r="K1480" s="28" t="s">
        <v>580</v>
      </c>
      <c r="L1480" s="28" t="s">
        <v>240</v>
      </c>
      <c r="M1480" s="28" t="s">
        <v>27</v>
      </c>
      <c r="N1480" s="28" t="s">
        <v>28</v>
      </c>
      <c r="O1480" s="29">
        <v>31034</v>
      </c>
      <c r="P1480" s="28"/>
      <c r="Q1480" s="28"/>
      <c r="R1480" s="28">
        <v>6.9</v>
      </c>
      <c r="S1480" s="28" t="s">
        <v>29</v>
      </c>
    </row>
    <row r="1481" spans="1:19" ht="29.25">
      <c r="A1481" s="28">
        <v>67100</v>
      </c>
      <c r="B1481" s="28" t="s">
        <v>87</v>
      </c>
      <c r="C1481" s="28" t="s">
        <v>30</v>
      </c>
      <c r="D1481" s="28" t="s">
        <v>21</v>
      </c>
      <c r="E1481" s="28" t="s">
        <v>2001</v>
      </c>
      <c r="F1481" s="28" t="s">
        <v>2002</v>
      </c>
      <c r="G1481" s="28">
        <v>2.5</v>
      </c>
      <c r="H1481" s="28" t="s">
        <v>24</v>
      </c>
      <c r="I1481" s="28" t="s">
        <v>2003</v>
      </c>
      <c r="J1481" s="28" t="s">
        <v>694</v>
      </c>
      <c r="K1481" s="28"/>
      <c r="L1481" s="28" t="s">
        <v>240</v>
      </c>
      <c r="M1481" s="28" t="s">
        <v>27</v>
      </c>
      <c r="N1481" s="28" t="s">
        <v>28</v>
      </c>
      <c r="O1481" s="29">
        <v>32965</v>
      </c>
      <c r="P1481" s="28" t="s">
        <v>2004</v>
      </c>
      <c r="Q1481" s="28"/>
      <c r="R1481" s="28">
        <v>2.5</v>
      </c>
      <c r="S1481" s="28" t="s">
        <v>29</v>
      </c>
    </row>
    <row r="1482" spans="1:19">
      <c r="A1482" s="28">
        <v>67200</v>
      </c>
      <c r="B1482" s="28" t="s">
        <v>87</v>
      </c>
      <c r="C1482" s="28" t="s">
        <v>30</v>
      </c>
      <c r="D1482" s="28" t="s">
        <v>21</v>
      </c>
      <c r="E1482" s="28" t="s">
        <v>1779</v>
      </c>
      <c r="F1482" s="28" t="s">
        <v>1780</v>
      </c>
      <c r="G1482" s="28">
        <v>5</v>
      </c>
      <c r="H1482" s="28" t="s">
        <v>143</v>
      </c>
      <c r="I1482" s="28">
        <v>155</v>
      </c>
      <c r="J1482" s="28" t="s">
        <v>788</v>
      </c>
      <c r="K1482" s="28"/>
      <c r="L1482" s="28" t="s">
        <v>888</v>
      </c>
      <c r="M1482" s="28" t="s">
        <v>38</v>
      </c>
      <c r="N1482" s="28" t="s">
        <v>144</v>
      </c>
      <c r="O1482" s="29">
        <v>32509</v>
      </c>
      <c r="P1482" s="28"/>
      <c r="Q1482" s="28"/>
      <c r="R1482" s="28">
        <v>1.88</v>
      </c>
      <c r="S1482" s="28" t="s">
        <v>29</v>
      </c>
    </row>
    <row r="1483" spans="1:19">
      <c r="A1483" s="28">
        <v>67400</v>
      </c>
      <c r="B1483" s="28" t="s">
        <v>87</v>
      </c>
      <c r="C1483" s="28" t="s">
        <v>30</v>
      </c>
      <c r="D1483" s="28" t="s">
        <v>21</v>
      </c>
      <c r="E1483" s="28" t="s">
        <v>2047</v>
      </c>
      <c r="F1483" s="28" t="s">
        <v>2048</v>
      </c>
      <c r="G1483" s="28">
        <v>48.3</v>
      </c>
      <c r="H1483" s="28" t="s">
        <v>24</v>
      </c>
      <c r="I1483" s="28" t="s">
        <v>2049</v>
      </c>
      <c r="J1483" s="28" t="s">
        <v>694</v>
      </c>
      <c r="K1483" s="28" t="s">
        <v>580</v>
      </c>
      <c r="L1483" s="28" t="s">
        <v>240</v>
      </c>
      <c r="M1483" s="28" t="s">
        <v>27</v>
      </c>
      <c r="N1483" s="28" t="s">
        <v>28</v>
      </c>
      <c r="O1483" s="29">
        <v>33218</v>
      </c>
      <c r="P1483" s="28"/>
      <c r="Q1483" s="28"/>
      <c r="R1483" s="28">
        <v>48.3</v>
      </c>
      <c r="S1483" s="28" t="s">
        <v>29</v>
      </c>
    </row>
    <row r="1484" spans="1:19" ht="29.25">
      <c r="A1484" s="24">
        <v>67500</v>
      </c>
      <c r="B1484" s="24" t="s">
        <v>87</v>
      </c>
      <c r="C1484" s="24" t="s">
        <v>30</v>
      </c>
      <c r="D1484" s="24" t="s">
        <v>30</v>
      </c>
      <c r="E1484" s="24" t="s">
        <v>1502</v>
      </c>
      <c r="F1484" s="24" t="s">
        <v>1503</v>
      </c>
      <c r="G1484" s="24">
        <v>12.9</v>
      </c>
      <c r="H1484" s="24" t="s">
        <v>5</v>
      </c>
      <c r="I1484" s="24" t="s">
        <v>90</v>
      </c>
      <c r="J1484" s="24" t="s">
        <v>90</v>
      </c>
      <c r="K1484" s="24"/>
      <c r="L1484" s="24" t="s">
        <v>888</v>
      </c>
      <c r="M1484" s="24" t="s">
        <v>38</v>
      </c>
      <c r="N1484" s="24" t="s">
        <v>39</v>
      </c>
      <c r="O1484" s="25">
        <v>31778</v>
      </c>
      <c r="P1484" s="24"/>
      <c r="Q1484" s="24"/>
      <c r="R1484" s="24">
        <v>11.16</v>
      </c>
      <c r="S1484" s="24" t="s">
        <v>29</v>
      </c>
    </row>
    <row r="1485" spans="1:19" ht="29.25">
      <c r="A1485" s="26">
        <v>67507</v>
      </c>
      <c r="B1485" s="26" t="s">
        <v>87</v>
      </c>
      <c r="C1485" s="26" t="s">
        <v>30</v>
      </c>
      <c r="D1485" s="26" t="s">
        <v>21</v>
      </c>
      <c r="E1485" s="26"/>
      <c r="F1485" s="26" t="s">
        <v>1099</v>
      </c>
      <c r="G1485" s="26"/>
      <c r="H1485" s="26" t="s">
        <v>5</v>
      </c>
      <c r="I1485" s="26">
        <v>1005</v>
      </c>
      <c r="J1485" s="26" t="s">
        <v>788</v>
      </c>
      <c r="K1485" s="26"/>
      <c r="L1485" s="26"/>
      <c r="M1485" s="26" t="s">
        <v>38</v>
      </c>
      <c r="N1485" s="26" t="s">
        <v>39</v>
      </c>
      <c r="O1485" s="27">
        <v>31031</v>
      </c>
      <c r="P1485" s="26"/>
      <c r="Q1485" s="26"/>
      <c r="R1485" s="26">
        <v>5.63</v>
      </c>
      <c r="S1485" s="26" t="s">
        <v>29</v>
      </c>
    </row>
    <row r="1486" spans="1:19" ht="29.25">
      <c r="A1486" s="26">
        <v>67504</v>
      </c>
      <c r="B1486" s="26" t="s">
        <v>87</v>
      </c>
      <c r="C1486" s="26" t="s">
        <v>30</v>
      </c>
      <c r="D1486" s="26" t="s">
        <v>21</v>
      </c>
      <c r="E1486" s="26"/>
      <c r="F1486" s="26" t="s">
        <v>2168</v>
      </c>
      <c r="G1486" s="26"/>
      <c r="H1486" s="26" t="s">
        <v>5</v>
      </c>
      <c r="I1486" s="26">
        <v>4152</v>
      </c>
      <c r="J1486" s="26" t="s">
        <v>25</v>
      </c>
      <c r="K1486" s="26"/>
      <c r="L1486" s="26"/>
      <c r="M1486" s="26" t="s">
        <v>38</v>
      </c>
      <c r="N1486" s="26" t="s">
        <v>39</v>
      </c>
      <c r="O1486" s="27">
        <v>34410</v>
      </c>
      <c r="P1486" s="26"/>
      <c r="Q1486" s="26"/>
      <c r="R1486" s="26">
        <v>1</v>
      </c>
      <c r="S1486" s="26" t="s">
        <v>29</v>
      </c>
    </row>
    <row r="1487" spans="1:19" ht="29.25">
      <c r="A1487" s="26">
        <v>67509</v>
      </c>
      <c r="B1487" s="26" t="s">
        <v>87</v>
      </c>
      <c r="C1487" s="26" t="s">
        <v>30</v>
      </c>
      <c r="D1487" s="26" t="s">
        <v>21</v>
      </c>
      <c r="E1487" s="26"/>
      <c r="F1487" s="26" t="s">
        <v>2105</v>
      </c>
      <c r="G1487" s="26"/>
      <c r="H1487" s="26" t="s">
        <v>5</v>
      </c>
      <c r="I1487" s="26">
        <v>2430</v>
      </c>
      <c r="J1487" s="26" t="s">
        <v>694</v>
      </c>
      <c r="K1487" s="26"/>
      <c r="L1487" s="26"/>
      <c r="M1487" s="26" t="s">
        <v>38</v>
      </c>
      <c r="N1487" s="26" t="s">
        <v>39</v>
      </c>
      <c r="O1487" s="27">
        <v>33654</v>
      </c>
      <c r="P1487" s="26"/>
      <c r="Q1487" s="26"/>
      <c r="R1487" s="26">
        <v>1.4</v>
      </c>
      <c r="S1487" s="26" t="s">
        <v>29</v>
      </c>
    </row>
    <row r="1488" spans="1:19">
      <c r="A1488" s="26">
        <v>67506</v>
      </c>
      <c r="B1488" s="26" t="s">
        <v>87</v>
      </c>
      <c r="C1488" s="26" t="s">
        <v>30</v>
      </c>
      <c r="D1488" s="26" t="s">
        <v>21</v>
      </c>
      <c r="E1488" s="26"/>
      <c r="F1488" s="26" t="s">
        <v>812</v>
      </c>
      <c r="G1488" s="26"/>
      <c r="H1488" s="26" t="s">
        <v>5</v>
      </c>
      <c r="I1488" s="26">
        <v>2490</v>
      </c>
      <c r="J1488" s="26" t="s">
        <v>694</v>
      </c>
      <c r="K1488" s="26"/>
      <c r="L1488" s="26"/>
      <c r="M1488" s="26" t="s">
        <v>38</v>
      </c>
      <c r="N1488" s="26" t="s">
        <v>39</v>
      </c>
      <c r="O1488" s="27">
        <v>29963</v>
      </c>
      <c r="P1488" s="26"/>
      <c r="Q1488" s="26"/>
      <c r="R1488" s="26">
        <v>1.5</v>
      </c>
      <c r="S1488" s="26" t="s">
        <v>29</v>
      </c>
    </row>
    <row r="1489" spans="1:19">
      <c r="A1489" s="26">
        <v>67508</v>
      </c>
      <c r="B1489" s="26" t="s">
        <v>87</v>
      </c>
      <c r="C1489" s="26" t="s">
        <v>30</v>
      </c>
      <c r="D1489" s="26" t="s">
        <v>21</v>
      </c>
      <c r="E1489" s="26"/>
      <c r="F1489" s="26" t="s">
        <v>2015</v>
      </c>
      <c r="G1489" s="26"/>
      <c r="H1489" s="26" t="s">
        <v>5</v>
      </c>
      <c r="I1489" s="26">
        <v>2411</v>
      </c>
      <c r="J1489" s="26" t="s">
        <v>694</v>
      </c>
      <c r="K1489" s="26"/>
      <c r="L1489" s="26"/>
      <c r="M1489" s="26" t="s">
        <v>38</v>
      </c>
      <c r="N1489" s="26" t="s">
        <v>39</v>
      </c>
      <c r="O1489" s="27">
        <v>33018</v>
      </c>
      <c r="P1489" s="26"/>
      <c r="Q1489" s="26"/>
      <c r="R1489" s="26">
        <v>0.08</v>
      </c>
      <c r="S1489" s="26" t="s">
        <v>29</v>
      </c>
    </row>
    <row r="1490" spans="1:19" ht="29.25">
      <c r="A1490" s="26">
        <v>67505</v>
      </c>
      <c r="B1490" s="26" t="s">
        <v>87</v>
      </c>
      <c r="C1490" s="26" t="s">
        <v>30</v>
      </c>
      <c r="D1490" s="26" t="s">
        <v>21</v>
      </c>
      <c r="E1490" s="26"/>
      <c r="F1490" s="26" t="s">
        <v>1570</v>
      </c>
      <c r="G1490" s="26"/>
      <c r="H1490" s="26" t="s">
        <v>5</v>
      </c>
      <c r="I1490" s="26">
        <v>4076</v>
      </c>
      <c r="J1490" s="26" t="s">
        <v>25</v>
      </c>
      <c r="K1490" s="26"/>
      <c r="L1490" s="26"/>
      <c r="M1490" s="26" t="s">
        <v>38</v>
      </c>
      <c r="N1490" s="26" t="s">
        <v>39</v>
      </c>
      <c r="O1490" s="27">
        <v>31939</v>
      </c>
      <c r="P1490" s="26"/>
      <c r="Q1490" s="26"/>
      <c r="R1490" s="26">
        <v>0.15</v>
      </c>
      <c r="S1490" s="26" t="s">
        <v>29</v>
      </c>
    </row>
    <row r="1491" spans="1:19" ht="29.25">
      <c r="A1491" s="28">
        <v>67900</v>
      </c>
      <c r="B1491" s="28" t="s">
        <v>87</v>
      </c>
      <c r="C1491" s="28" t="s">
        <v>30</v>
      </c>
      <c r="D1491" s="28" t="s">
        <v>21</v>
      </c>
      <c r="E1491" s="28" t="s">
        <v>2086</v>
      </c>
      <c r="F1491" s="28" t="s">
        <v>2087</v>
      </c>
      <c r="G1491" s="28">
        <v>57.1</v>
      </c>
      <c r="H1491" s="28" t="s">
        <v>24</v>
      </c>
      <c r="I1491" s="28" t="s">
        <v>2088</v>
      </c>
      <c r="J1491" s="28" t="s">
        <v>694</v>
      </c>
      <c r="K1491" s="28" t="s">
        <v>580</v>
      </c>
      <c r="L1491" s="28" t="s">
        <v>240</v>
      </c>
      <c r="M1491" s="28" t="s">
        <v>27</v>
      </c>
      <c r="N1491" s="28" t="s">
        <v>28</v>
      </c>
      <c r="O1491" s="29">
        <v>33518</v>
      </c>
      <c r="P1491" s="28"/>
      <c r="Q1491" s="28"/>
      <c r="R1491" s="28">
        <v>57.1</v>
      </c>
      <c r="S1491" s="28" t="s">
        <v>29</v>
      </c>
    </row>
    <row r="1492" spans="1:19" ht="29.25">
      <c r="A1492" s="24">
        <v>68000</v>
      </c>
      <c r="B1492" s="24" t="s">
        <v>87</v>
      </c>
      <c r="C1492" s="24" t="s">
        <v>30</v>
      </c>
      <c r="D1492" s="24" t="s">
        <v>30</v>
      </c>
      <c r="E1492" s="24" t="s">
        <v>1504</v>
      </c>
      <c r="F1492" s="24" t="s">
        <v>1505</v>
      </c>
      <c r="G1492" s="24">
        <v>8.9</v>
      </c>
      <c r="H1492" s="24" t="s">
        <v>5</v>
      </c>
      <c r="I1492" s="24" t="s">
        <v>90</v>
      </c>
      <c r="J1492" s="24" t="s">
        <v>25</v>
      </c>
      <c r="K1492" s="24" t="s">
        <v>25</v>
      </c>
      <c r="L1492" s="24" t="s">
        <v>26</v>
      </c>
      <c r="M1492" s="24" t="s">
        <v>38</v>
      </c>
      <c r="N1492" s="24" t="s">
        <v>39</v>
      </c>
      <c r="O1492" s="25">
        <v>31778</v>
      </c>
      <c r="P1492" s="24"/>
      <c r="Q1492" s="24"/>
      <c r="R1492" s="24">
        <v>9.33</v>
      </c>
      <c r="S1492" s="24" t="s">
        <v>29</v>
      </c>
    </row>
    <row r="1493" spans="1:19" ht="29.25">
      <c r="A1493" s="26">
        <v>68001</v>
      </c>
      <c r="B1493" s="26" t="s">
        <v>87</v>
      </c>
      <c r="C1493" s="26" t="s">
        <v>30</v>
      </c>
      <c r="D1493" s="26" t="s">
        <v>21</v>
      </c>
      <c r="E1493" s="26"/>
      <c r="F1493" s="26" t="s">
        <v>1079</v>
      </c>
      <c r="G1493" s="26"/>
      <c r="H1493" s="26" t="s">
        <v>5</v>
      </c>
      <c r="I1493" s="26">
        <v>4022</v>
      </c>
      <c r="J1493" s="26" t="s">
        <v>25</v>
      </c>
      <c r="K1493" s="26"/>
      <c r="L1493" s="26"/>
      <c r="M1493" s="26" t="s">
        <v>38</v>
      </c>
      <c r="N1493" s="26" t="s">
        <v>39</v>
      </c>
      <c r="O1493" s="27">
        <v>30956</v>
      </c>
      <c r="P1493" s="26"/>
      <c r="Q1493" s="26"/>
      <c r="R1493" s="26">
        <v>1.25</v>
      </c>
      <c r="S1493" s="26" t="s">
        <v>29</v>
      </c>
    </row>
    <row r="1494" spans="1:19">
      <c r="A1494" s="26">
        <v>68005</v>
      </c>
      <c r="B1494" s="26" t="s">
        <v>87</v>
      </c>
      <c r="C1494" s="26" t="s">
        <v>30</v>
      </c>
      <c r="D1494" s="26" t="s">
        <v>21</v>
      </c>
      <c r="E1494" s="26"/>
      <c r="F1494" s="26" t="s">
        <v>2214</v>
      </c>
      <c r="G1494" s="26"/>
      <c r="H1494" s="26" t="s">
        <v>5</v>
      </c>
      <c r="I1494" s="26">
        <v>2479</v>
      </c>
      <c r="J1494" s="26" t="s">
        <v>694</v>
      </c>
      <c r="K1494" s="26"/>
      <c r="L1494" s="26"/>
      <c r="M1494" s="26" t="s">
        <v>38</v>
      </c>
      <c r="N1494" s="26" t="s">
        <v>39</v>
      </c>
      <c r="O1494" s="27">
        <v>35223</v>
      </c>
      <c r="P1494" s="26"/>
      <c r="Q1494" s="26"/>
      <c r="R1494" s="26">
        <v>0.19</v>
      </c>
      <c r="S1494" s="26" t="s">
        <v>29</v>
      </c>
    </row>
    <row r="1495" spans="1:19" ht="29.25">
      <c r="A1495" s="26">
        <v>68003</v>
      </c>
      <c r="B1495" s="26" t="s">
        <v>87</v>
      </c>
      <c r="C1495" s="26" t="s">
        <v>30</v>
      </c>
      <c r="D1495" s="26" t="s">
        <v>21</v>
      </c>
      <c r="E1495" s="26"/>
      <c r="F1495" s="26" t="s">
        <v>1406</v>
      </c>
      <c r="G1495" s="26"/>
      <c r="H1495" s="26" t="s">
        <v>5</v>
      </c>
      <c r="I1495" s="26">
        <v>2210</v>
      </c>
      <c r="J1495" s="26" t="s">
        <v>694</v>
      </c>
      <c r="K1495" s="26"/>
      <c r="L1495" s="26"/>
      <c r="M1495" s="26" t="s">
        <v>38</v>
      </c>
      <c r="N1495" s="26" t="s">
        <v>39</v>
      </c>
      <c r="O1495" s="27">
        <v>31587</v>
      </c>
      <c r="P1495" s="26"/>
      <c r="Q1495" s="26"/>
      <c r="R1495" s="26">
        <v>0.16</v>
      </c>
      <c r="S1495" s="26" t="s">
        <v>29</v>
      </c>
    </row>
    <row r="1496" spans="1:19" ht="29.25">
      <c r="A1496" s="26">
        <v>68006</v>
      </c>
      <c r="B1496" s="26" t="s">
        <v>87</v>
      </c>
      <c r="C1496" s="26" t="s">
        <v>30</v>
      </c>
      <c r="D1496" s="26" t="s">
        <v>21</v>
      </c>
      <c r="E1496" s="26"/>
      <c r="F1496" s="26" t="s">
        <v>1567</v>
      </c>
      <c r="G1496" s="26"/>
      <c r="H1496" s="26" t="s">
        <v>5</v>
      </c>
      <c r="I1496" s="26">
        <v>4058</v>
      </c>
      <c r="J1496" s="26" t="s">
        <v>25</v>
      </c>
      <c r="K1496" s="26"/>
      <c r="L1496" s="26"/>
      <c r="M1496" s="26" t="s">
        <v>38</v>
      </c>
      <c r="N1496" s="26" t="s">
        <v>39</v>
      </c>
      <c r="O1496" s="27">
        <v>31929</v>
      </c>
      <c r="P1496" s="26"/>
      <c r="Q1496" s="26"/>
      <c r="R1496" s="26">
        <v>0.94</v>
      </c>
      <c r="S1496" s="26" t="s">
        <v>29</v>
      </c>
    </row>
    <row r="1497" spans="1:19">
      <c r="A1497" s="28">
        <v>68100</v>
      </c>
      <c r="B1497" s="28" t="s">
        <v>87</v>
      </c>
      <c r="C1497" s="28" t="s">
        <v>30</v>
      </c>
      <c r="D1497" s="28" t="s">
        <v>21</v>
      </c>
      <c r="E1497" s="28"/>
      <c r="F1497" s="28" t="s">
        <v>2152</v>
      </c>
      <c r="G1497" s="28">
        <v>7.0000000000000007E-2</v>
      </c>
      <c r="H1497" s="28" t="s">
        <v>5</v>
      </c>
      <c r="I1497" s="28">
        <v>5066</v>
      </c>
      <c r="J1497" s="28" t="s">
        <v>1025</v>
      </c>
      <c r="K1497" s="28"/>
      <c r="L1497" s="28"/>
      <c r="M1497" s="28" t="s">
        <v>38</v>
      </c>
      <c r="N1497" s="28" t="s">
        <v>39</v>
      </c>
      <c r="O1497" s="29">
        <v>34334</v>
      </c>
      <c r="P1497" s="28"/>
      <c r="Q1497" s="28"/>
      <c r="R1497" s="28">
        <v>7.0000000000000007E-2</v>
      </c>
      <c r="S1497" s="28" t="s">
        <v>29</v>
      </c>
    </row>
    <row r="1498" spans="1:19" ht="29.25">
      <c r="A1498" s="24">
        <v>68400</v>
      </c>
      <c r="B1498" s="24" t="s">
        <v>87</v>
      </c>
      <c r="C1498" s="24" t="s">
        <v>30</v>
      </c>
      <c r="D1498" s="24" t="s">
        <v>30</v>
      </c>
      <c r="E1498" s="24" t="s">
        <v>893</v>
      </c>
      <c r="F1498" s="24" t="s">
        <v>894</v>
      </c>
      <c r="G1498" s="24">
        <v>100</v>
      </c>
      <c r="H1498" s="24" t="s">
        <v>24</v>
      </c>
      <c r="I1498" s="24" t="s">
        <v>895</v>
      </c>
      <c r="J1498" s="24" t="s">
        <v>781</v>
      </c>
      <c r="K1498" s="24" t="s">
        <v>781</v>
      </c>
      <c r="L1498" s="24" t="s">
        <v>781</v>
      </c>
      <c r="M1498" s="24" t="s">
        <v>27</v>
      </c>
      <c r="N1498" s="24" t="s">
        <v>28</v>
      </c>
      <c r="O1498" s="25">
        <v>30317</v>
      </c>
      <c r="P1498" s="24"/>
      <c r="Q1498" s="24"/>
      <c r="R1498" s="24">
        <v>100</v>
      </c>
      <c r="S1498" s="24" t="s">
        <v>29</v>
      </c>
    </row>
    <row r="1499" spans="1:19">
      <c r="A1499" s="26">
        <v>68401</v>
      </c>
      <c r="B1499" s="26" t="s">
        <v>87</v>
      </c>
      <c r="C1499" s="26" t="s">
        <v>30</v>
      </c>
      <c r="D1499" s="26" t="s">
        <v>21</v>
      </c>
      <c r="E1499" s="26"/>
      <c r="F1499" s="26" t="s">
        <v>909</v>
      </c>
      <c r="G1499" s="26"/>
      <c r="H1499" s="26" t="s">
        <v>24</v>
      </c>
      <c r="I1499" s="26" t="s">
        <v>910</v>
      </c>
      <c r="J1499" s="26" t="s">
        <v>781</v>
      </c>
      <c r="K1499" s="26" t="s">
        <v>781</v>
      </c>
      <c r="L1499" s="26" t="s">
        <v>781</v>
      </c>
      <c r="M1499" s="26" t="s">
        <v>27</v>
      </c>
      <c r="N1499" s="26" t="s">
        <v>28</v>
      </c>
      <c r="O1499" s="27">
        <v>30338</v>
      </c>
      <c r="P1499" s="26"/>
      <c r="Q1499" s="26"/>
      <c r="R1499" s="26">
        <v>5.76</v>
      </c>
      <c r="S1499" s="26" t="s">
        <v>29</v>
      </c>
    </row>
    <row r="1500" spans="1:19">
      <c r="A1500" s="26">
        <v>68402</v>
      </c>
      <c r="B1500" s="26" t="s">
        <v>87</v>
      </c>
      <c r="C1500" s="26" t="s">
        <v>30</v>
      </c>
      <c r="D1500" s="26" t="s">
        <v>21</v>
      </c>
      <c r="E1500" s="26"/>
      <c r="F1500" s="26" t="s">
        <v>911</v>
      </c>
      <c r="G1500" s="26"/>
      <c r="H1500" s="26" t="s">
        <v>24</v>
      </c>
      <c r="I1500" s="26" t="s">
        <v>912</v>
      </c>
      <c r="J1500" s="26" t="s">
        <v>781</v>
      </c>
      <c r="K1500" s="26" t="s">
        <v>781</v>
      </c>
      <c r="L1500" s="26" t="s">
        <v>781</v>
      </c>
      <c r="M1500" s="26" t="s">
        <v>27</v>
      </c>
      <c r="N1500" s="26" t="s">
        <v>28</v>
      </c>
      <c r="O1500" s="27">
        <v>30338</v>
      </c>
      <c r="P1500" s="26"/>
      <c r="Q1500" s="26"/>
      <c r="R1500" s="26">
        <v>1.5</v>
      </c>
      <c r="S1500" s="26" t="s">
        <v>29</v>
      </c>
    </row>
    <row r="1501" spans="1:19">
      <c r="A1501" s="26">
        <v>68406</v>
      </c>
      <c r="B1501" s="26" t="s">
        <v>87</v>
      </c>
      <c r="C1501" s="26" t="s">
        <v>30</v>
      </c>
      <c r="D1501" s="26" t="s">
        <v>21</v>
      </c>
      <c r="E1501" s="26"/>
      <c r="F1501" s="26" t="s">
        <v>919</v>
      </c>
      <c r="G1501" s="26"/>
      <c r="H1501" s="26" t="s">
        <v>24</v>
      </c>
      <c r="I1501" s="26" t="s">
        <v>920</v>
      </c>
      <c r="J1501" s="26" t="s">
        <v>781</v>
      </c>
      <c r="K1501" s="26" t="s">
        <v>781</v>
      </c>
      <c r="L1501" s="26" t="s">
        <v>781</v>
      </c>
      <c r="M1501" s="26" t="s">
        <v>27</v>
      </c>
      <c r="N1501" s="26" t="s">
        <v>28</v>
      </c>
      <c r="O1501" s="27">
        <v>30338</v>
      </c>
      <c r="P1501" s="26"/>
      <c r="Q1501" s="26"/>
      <c r="R1501" s="26">
        <v>0.9</v>
      </c>
      <c r="S1501" s="26" t="s">
        <v>29</v>
      </c>
    </row>
    <row r="1502" spans="1:19">
      <c r="A1502" s="26">
        <v>68404</v>
      </c>
      <c r="B1502" s="26" t="s">
        <v>87</v>
      </c>
      <c r="C1502" s="26" t="s">
        <v>30</v>
      </c>
      <c r="D1502" s="26" t="s">
        <v>21</v>
      </c>
      <c r="E1502" s="26"/>
      <c r="F1502" s="26" t="s">
        <v>915</v>
      </c>
      <c r="G1502" s="26"/>
      <c r="H1502" s="26" t="s">
        <v>24</v>
      </c>
      <c r="I1502" s="26" t="s">
        <v>916</v>
      </c>
      <c r="J1502" s="26" t="s">
        <v>781</v>
      </c>
      <c r="K1502" s="26" t="s">
        <v>781</v>
      </c>
      <c r="L1502" s="26" t="s">
        <v>781</v>
      </c>
      <c r="M1502" s="26" t="s">
        <v>27</v>
      </c>
      <c r="N1502" s="26" t="s">
        <v>28</v>
      </c>
      <c r="O1502" s="27">
        <v>30338</v>
      </c>
      <c r="P1502" s="26"/>
      <c r="Q1502" s="26"/>
      <c r="R1502" s="26">
        <v>10.68</v>
      </c>
      <c r="S1502" s="26" t="s">
        <v>29</v>
      </c>
    </row>
    <row r="1503" spans="1:19">
      <c r="A1503" s="26">
        <v>68405</v>
      </c>
      <c r="B1503" s="26" t="s">
        <v>87</v>
      </c>
      <c r="C1503" s="26" t="s">
        <v>30</v>
      </c>
      <c r="D1503" s="26" t="s">
        <v>21</v>
      </c>
      <c r="E1503" s="26"/>
      <c r="F1503" s="26" t="s">
        <v>917</v>
      </c>
      <c r="G1503" s="26"/>
      <c r="H1503" s="26" t="s">
        <v>24</v>
      </c>
      <c r="I1503" s="26" t="s">
        <v>918</v>
      </c>
      <c r="J1503" s="26" t="s">
        <v>781</v>
      </c>
      <c r="K1503" s="26" t="s">
        <v>781</v>
      </c>
      <c r="L1503" s="26" t="s">
        <v>781</v>
      </c>
      <c r="M1503" s="26" t="s">
        <v>27</v>
      </c>
      <c r="N1503" s="26" t="s">
        <v>28</v>
      </c>
      <c r="O1503" s="27">
        <v>30338</v>
      </c>
      <c r="P1503" s="26"/>
      <c r="Q1503" s="26"/>
      <c r="R1503" s="26">
        <v>1.56</v>
      </c>
      <c r="S1503" s="26" t="s">
        <v>29</v>
      </c>
    </row>
    <row r="1504" spans="1:19">
      <c r="A1504" s="26">
        <v>68403</v>
      </c>
      <c r="B1504" s="26" t="s">
        <v>87</v>
      </c>
      <c r="C1504" s="26" t="s">
        <v>30</v>
      </c>
      <c r="D1504" s="26" t="s">
        <v>21</v>
      </c>
      <c r="E1504" s="26"/>
      <c r="F1504" s="26" t="s">
        <v>913</v>
      </c>
      <c r="G1504" s="26"/>
      <c r="H1504" s="26" t="s">
        <v>24</v>
      </c>
      <c r="I1504" s="26" t="s">
        <v>914</v>
      </c>
      <c r="J1504" s="26" t="s">
        <v>781</v>
      </c>
      <c r="K1504" s="26" t="s">
        <v>781</v>
      </c>
      <c r="L1504" s="26" t="s">
        <v>781</v>
      </c>
      <c r="M1504" s="26" t="s">
        <v>27</v>
      </c>
      <c r="N1504" s="26" t="s">
        <v>28</v>
      </c>
      <c r="O1504" s="27">
        <v>30338</v>
      </c>
      <c r="P1504" s="26"/>
      <c r="Q1504" s="26"/>
      <c r="R1504" s="26">
        <v>0.06</v>
      </c>
      <c r="S1504" s="26" t="s">
        <v>29</v>
      </c>
    </row>
    <row r="1505" spans="1:19" ht="29.25">
      <c r="A1505" s="28">
        <v>59800</v>
      </c>
      <c r="B1505" s="28" t="s">
        <v>87</v>
      </c>
      <c r="C1505" s="28" t="s">
        <v>21</v>
      </c>
      <c r="D1505" s="28" t="s">
        <v>21</v>
      </c>
      <c r="E1505" s="28" t="s">
        <v>926</v>
      </c>
      <c r="F1505" s="28" t="s">
        <v>927</v>
      </c>
      <c r="G1505" s="28">
        <v>62.5</v>
      </c>
      <c r="H1505" s="28" t="s">
        <v>5</v>
      </c>
      <c r="I1505" s="28">
        <v>2025</v>
      </c>
      <c r="J1505" s="28" t="s">
        <v>694</v>
      </c>
      <c r="K1505" s="28" t="s">
        <v>366</v>
      </c>
      <c r="L1505" s="28" t="s">
        <v>928</v>
      </c>
      <c r="M1505" s="28" t="s">
        <v>38</v>
      </c>
      <c r="N1505" s="28" t="s">
        <v>39</v>
      </c>
      <c r="O1505" s="29">
        <v>30407</v>
      </c>
      <c r="P1505" s="28"/>
      <c r="Q1505" s="28"/>
      <c r="R1505" s="28">
        <v>62.5</v>
      </c>
      <c r="S1505" s="28" t="s">
        <v>29</v>
      </c>
    </row>
    <row r="1506" spans="1:19" ht="29.25">
      <c r="A1506" s="28">
        <v>59900</v>
      </c>
      <c r="B1506" s="28" t="s">
        <v>87</v>
      </c>
      <c r="C1506" s="28" t="s">
        <v>30</v>
      </c>
      <c r="D1506" s="28" t="s">
        <v>21</v>
      </c>
      <c r="E1506" s="28" t="s">
        <v>747</v>
      </c>
      <c r="F1506" s="28" t="s">
        <v>748</v>
      </c>
      <c r="G1506" s="28">
        <v>15.5</v>
      </c>
      <c r="H1506" s="28" t="s">
        <v>5</v>
      </c>
      <c r="I1506" s="28">
        <v>2007</v>
      </c>
      <c r="J1506" s="28" t="s">
        <v>694</v>
      </c>
      <c r="K1506" s="28" t="s">
        <v>580</v>
      </c>
      <c r="L1506" s="28" t="s">
        <v>240</v>
      </c>
      <c r="M1506" s="28" t="s">
        <v>38</v>
      </c>
      <c r="N1506" s="28" t="s">
        <v>39</v>
      </c>
      <c r="O1506" s="29">
        <v>29031</v>
      </c>
      <c r="P1506" s="28"/>
      <c r="Q1506" s="28"/>
      <c r="R1506" s="28">
        <v>15</v>
      </c>
      <c r="S1506" s="28" t="s">
        <v>29</v>
      </c>
    </row>
    <row r="1507" spans="1:19" ht="29.25">
      <c r="A1507" s="28">
        <v>38800</v>
      </c>
      <c r="B1507" s="28" t="s">
        <v>87</v>
      </c>
      <c r="C1507" s="28" t="s">
        <v>30</v>
      </c>
      <c r="D1507" s="28" t="s">
        <v>21</v>
      </c>
      <c r="E1507" s="28" t="s">
        <v>1027</v>
      </c>
      <c r="F1507" s="28" t="s">
        <v>1028</v>
      </c>
      <c r="G1507" s="28">
        <v>0.36</v>
      </c>
      <c r="H1507" s="28" t="s">
        <v>24</v>
      </c>
      <c r="I1507" s="28" t="s">
        <v>1029</v>
      </c>
      <c r="J1507" s="28" t="s">
        <v>25</v>
      </c>
      <c r="K1507" s="28" t="s">
        <v>25</v>
      </c>
      <c r="L1507" s="28" t="s">
        <v>26</v>
      </c>
      <c r="M1507" s="28" t="s">
        <v>27</v>
      </c>
      <c r="N1507" s="28" t="s">
        <v>28</v>
      </c>
      <c r="O1507" s="29">
        <v>30690</v>
      </c>
      <c r="P1507" s="28"/>
      <c r="Q1507" s="28"/>
      <c r="R1507" s="28">
        <v>0.36</v>
      </c>
      <c r="S1507" s="28" t="s">
        <v>29</v>
      </c>
    </row>
    <row r="1508" spans="1:19" ht="29.25">
      <c r="A1508" s="28">
        <v>29400</v>
      </c>
      <c r="B1508" s="28" t="s">
        <v>87</v>
      </c>
      <c r="C1508" s="28" t="s">
        <v>30</v>
      </c>
      <c r="D1508" s="28" t="s">
        <v>21</v>
      </c>
      <c r="E1508" s="28" t="s">
        <v>1316</v>
      </c>
      <c r="F1508" s="28" t="s">
        <v>1317</v>
      </c>
      <c r="G1508" s="28">
        <v>22</v>
      </c>
      <c r="H1508" s="28" t="s">
        <v>24</v>
      </c>
      <c r="I1508" s="28" t="s">
        <v>1318</v>
      </c>
      <c r="J1508" s="28" t="s">
        <v>788</v>
      </c>
      <c r="K1508" s="28" t="s">
        <v>366</v>
      </c>
      <c r="L1508" s="28" t="s">
        <v>789</v>
      </c>
      <c r="M1508" s="28" t="s">
        <v>27</v>
      </c>
      <c r="N1508" s="28" t="s">
        <v>28</v>
      </c>
      <c r="O1508" s="29">
        <v>31413</v>
      </c>
      <c r="P1508" s="28"/>
      <c r="Q1508" s="28"/>
      <c r="R1508" s="28">
        <v>22</v>
      </c>
      <c r="S1508" s="28" t="s">
        <v>29</v>
      </c>
    </row>
    <row r="1509" spans="1:19" ht="29.25">
      <c r="A1509" s="28">
        <v>29500</v>
      </c>
      <c r="B1509" s="28" t="s">
        <v>87</v>
      </c>
      <c r="C1509" s="28" t="s">
        <v>30</v>
      </c>
      <c r="D1509" s="28" t="s">
        <v>21</v>
      </c>
      <c r="E1509" s="28" t="s">
        <v>1398</v>
      </c>
      <c r="F1509" s="28" t="s">
        <v>1399</v>
      </c>
      <c r="G1509" s="28">
        <v>17.2</v>
      </c>
      <c r="H1509" s="28" t="s">
        <v>24</v>
      </c>
      <c r="I1509" s="28" t="s">
        <v>1400</v>
      </c>
      <c r="J1509" s="28" t="s">
        <v>788</v>
      </c>
      <c r="K1509" s="28" t="s">
        <v>366</v>
      </c>
      <c r="L1509" s="28" t="s">
        <v>789</v>
      </c>
      <c r="M1509" s="28" t="s">
        <v>27</v>
      </c>
      <c r="N1509" s="28" t="s">
        <v>28</v>
      </c>
      <c r="O1509" s="29">
        <v>31566</v>
      </c>
      <c r="P1509" s="28" t="s">
        <v>1401</v>
      </c>
      <c r="Q1509" s="28"/>
      <c r="R1509" s="28">
        <v>18.3</v>
      </c>
      <c r="S1509" s="28" t="s">
        <v>29</v>
      </c>
    </row>
    <row r="1510" spans="1:19" ht="29.25">
      <c r="A1510" s="28">
        <v>29600</v>
      </c>
      <c r="B1510" s="28" t="s">
        <v>87</v>
      </c>
      <c r="C1510" s="28" t="s">
        <v>30</v>
      </c>
      <c r="D1510" s="28" t="s">
        <v>21</v>
      </c>
      <c r="E1510" s="28" t="s">
        <v>905</v>
      </c>
      <c r="F1510" s="28" t="s">
        <v>906</v>
      </c>
      <c r="G1510" s="28">
        <v>22</v>
      </c>
      <c r="H1510" s="28" t="s">
        <v>24</v>
      </c>
      <c r="I1510" s="28" t="s">
        <v>907</v>
      </c>
      <c r="J1510" s="28" t="s">
        <v>788</v>
      </c>
      <c r="K1510" s="28" t="s">
        <v>366</v>
      </c>
      <c r="L1510" s="28" t="s">
        <v>789</v>
      </c>
      <c r="M1510" s="28" t="s">
        <v>27</v>
      </c>
      <c r="N1510" s="28" t="s">
        <v>28</v>
      </c>
      <c r="O1510" s="29">
        <v>30330</v>
      </c>
      <c r="P1510" s="28"/>
      <c r="Q1510" s="28"/>
      <c r="R1510" s="28">
        <v>22</v>
      </c>
      <c r="S1510" s="28" t="s">
        <v>29</v>
      </c>
    </row>
    <row r="1511" spans="1:19" ht="29.25">
      <c r="A1511" s="24">
        <v>85000</v>
      </c>
      <c r="B1511" s="24" t="s">
        <v>87</v>
      </c>
      <c r="C1511" s="24" t="s">
        <v>30</v>
      </c>
      <c r="D1511" s="24" t="s">
        <v>30</v>
      </c>
      <c r="E1511" s="24" t="s">
        <v>3298</v>
      </c>
      <c r="F1511" s="24" t="s">
        <v>3299</v>
      </c>
      <c r="G1511" s="24">
        <v>14.3</v>
      </c>
      <c r="H1511" s="24" t="s">
        <v>5</v>
      </c>
      <c r="I1511" s="24"/>
      <c r="J1511" s="24" t="s">
        <v>644</v>
      </c>
      <c r="K1511" s="24"/>
      <c r="L1511" s="24"/>
      <c r="M1511" s="24" t="s">
        <v>38</v>
      </c>
      <c r="N1511" s="24" t="s">
        <v>3300</v>
      </c>
      <c r="O1511" s="24" t="s">
        <v>4687</v>
      </c>
      <c r="P1511" s="24" t="s">
        <v>3233</v>
      </c>
      <c r="Q1511" s="24"/>
      <c r="R1511" s="24">
        <v>11</v>
      </c>
      <c r="S1511" s="24" t="s">
        <v>3234</v>
      </c>
    </row>
    <row r="1512" spans="1:19">
      <c r="A1512" s="26">
        <v>85001</v>
      </c>
      <c r="B1512" s="26" t="s">
        <v>87</v>
      </c>
      <c r="C1512" s="26" t="s">
        <v>30</v>
      </c>
      <c r="D1512" s="26" t="s">
        <v>21</v>
      </c>
      <c r="E1512" s="26"/>
      <c r="F1512" s="26" t="s">
        <v>3301</v>
      </c>
      <c r="G1512" s="26"/>
      <c r="H1512" s="26" t="s">
        <v>5</v>
      </c>
      <c r="I1512" s="26">
        <v>3017</v>
      </c>
      <c r="J1512" s="26" t="s">
        <v>644</v>
      </c>
      <c r="K1512" s="26" t="s">
        <v>366</v>
      </c>
      <c r="L1512" s="26" t="s">
        <v>644</v>
      </c>
      <c r="M1512" s="26" t="s">
        <v>38</v>
      </c>
      <c r="N1512" s="26" t="s">
        <v>39</v>
      </c>
      <c r="O1512" s="26" t="s">
        <v>4687</v>
      </c>
      <c r="P1512" s="26"/>
      <c r="Q1512" s="26"/>
      <c r="R1512" s="26">
        <v>11</v>
      </c>
      <c r="S1512" s="26" t="s">
        <v>3234</v>
      </c>
    </row>
    <row r="1513" spans="1:19" ht="29.25">
      <c r="A1513" s="28">
        <v>34900</v>
      </c>
      <c r="B1513" s="28" t="s">
        <v>87</v>
      </c>
      <c r="C1513" s="28" t="s">
        <v>30</v>
      </c>
      <c r="D1513" s="28" t="s">
        <v>21</v>
      </c>
      <c r="E1513" s="28"/>
      <c r="F1513" s="28" t="s">
        <v>1689</v>
      </c>
      <c r="G1513" s="28">
        <v>0.15</v>
      </c>
      <c r="H1513" s="28" t="s">
        <v>5</v>
      </c>
      <c r="I1513" s="28">
        <v>2359</v>
      </c>
      <c r="J1513" s="28" t="s">
        <v>694</v>
      </c>
      <c r="K1513" s="28"/>
      <c r="L1513" s="28"/>
      <c r="M1513" s="28" t="s">
        <v>38</v>
      </c>
      <c r="N1513" s="28" t="s">
        <v>39</v>
      </c>
      <c r="O1513" s="29">
        <v>32295</v>
      </c>
      <c r="P1513" s="28"/>
      <c r="Q1513" s="28"/>
      <c r="R1513" s="28">
        <v>0.15</v>
      </c>
      <c r="S1513" s="28" t="s">
        <v>29</v>
      </c>
    </row>
    <row r="1514" spans="1:19" ht="29.25">
      <c r="A1514" s="28">
        <v>41500</v>
      </c>
      <c r="B1514" s="28" t="s">
        <v>87</v>
      </c>
      <c r="C1514" s="28" t="s">
        <v>30</v>
      </c>
      <c r="D1514" s="28" t="s">
        <v>21</v>
      </c>
      <c r="E1514" s="28"/>
      <c r="F1514" s="28" t="s">
        <v>1222</v>
      </c>
      <c r="G1514" s="28">
        <v>0.1</v>
      </c>
      <c r="H1514" s="28" t="s">
        <v>5</v>
      </c>
      <c r="I1514" s="28">
        <v>2057</v>
      </c>
      <c r="J1514" s="28" t="s">
        <v>694</v>
      </c>
      <c r="K1514" s="28"/>
      <c r="L1514" s="28"/>
      <c r="M1514" s="28" t="s">
        <v>38</v>
      </c>
      <c r="N1514" s="28" t="s">
        <v>39</v>
      </c>
      <c r="O1514" s="29">
        <v>31229</v>
      </c>
      <c r="P1514" s="28"/>
      <c r="Q1514" s="28"/>
      <c r="R1514" s="28">
        <v>0.1</v>
      </c>
      <c r="S1514" s="28" t="s">
        <v>29</v>
      </c>
    </row>
    <row r="1515" spans="1:19" ht="29.25">
      <c r="A1515" s="24">
        <v>35000</v>
      </c>
      <c r="B1515" s="24" t="s">
        <v>87</v>
      </c>
      <c r="C1515" s="24" t="s">
        <v>30</v>
      </c>
      <c r="D1515" s="24" t="s">
        <v>30</v>
      </c>
      <c r="E1515" s="24" t="s">
        <v>3302</v>
      </c>
      <c r="F1515" s="24" t="s">
        <v>3303</v>
      </c>
      <c r="G1515" s="24">
        <v>2.5</v>
      </c>
      <c r="H1515" s="24" t="s">
        <v>24</v>
      </c>
      <c r="I1515" s="24" t="s">
        <v>90</v>
      </c>
      <c r="J1515" s="24" t="s">
        <v>25</v>
      </c>
      <c r="K1515" s="24" t="s">
        <v>25</v>
      </c>
      <c r="L1515" s="24" t="s">
        <v>26</v>
      </c>
      <c r="M1515" s="24" t="s">
        <v>27</v>
      </c>
      <c r="N1515" s="24" t="s">
        <v>28</v>
      </c>
      <c r="O1515" s="263">
        <v>31444</v>
      </c>
      <c r="P1515" s="24" t="s">
        <v>3304</v>
      </c>
      <c r="Q1515" s="24"/>
      <c r="R1515" s="24">
        <v>1.68</v>
      </c>
      <c r="S1515" s="24" t="s">
        <v>29</v>
      </c>
    </row>
    <row r="1516" spans="1:19" ht="29.25">
      <c r="A1516" s="26">
        <v>35002</v>
      </c>
      <c r="B1516" s="26" t="s">
        <v>87</v>
      </c>
      <c r="C1516" s="26" t="s">
        <v>30</v>
      </c>
      <c r="D1516" s="26" t="s">
        <v>21</v>
      </c>
      <c r="E1516" s="26"/>
      <c r="F1516" s="26" t="s">
        <v>1348</v>
      </c>
      <c r="G1516" s="26"/>
      <c r="H1516" s="26" t="s">
        <v>24</v>
      </c>
      <c r="I1516" s="26" t="s">
        <v>1349</v>
      </c>
      <c r="J1516" s="26" t="s">
        <v>25</v>
      </c>
      <c r="K1516" s="26" t="s">
        <v>25</v>
      </c>
      <c r="L1516" s="26" t="s">
        <v>26</v>
      </c>
      <c r="M1516" s="26" t="s">
        <v>27</v>
      </c>
      <c r="N1516" s="26" t="s">
        <v>28</v>
      </c>
      <c r="O1516" s="27">
        <v>31444</v>
      </c>
      <c r="P1516" s="26"/>
      <c r="Q1516" s="26"/>
      <c r="R1516" s="26">
        <v>1</v>
      </c>
      <c r="S1516" s="26" t="s">
        <v>29</v>
      </c>
    </row>
    <row r="1517" spans="1:19" ht="29.25">
      <c r="A1517" s="26">
        <v>35001</v>
      </c>
      <c r="B1517" s="26" t="s">
        <v>87</v>
      </c>
      <c r="C1517" s="26" t="s">
        <v>30</v>
      </c>
      <c r="D1517" s="26" t="s">
        <v>21</v>
      </c>
      <c r="E1517" s="26"/>
      <c r="F1517" s="26" t="s">
        <v>1346</v>
      </c>
      <c r="G1517" s="26"/>
      <c r="H1517" s="26" t="s">
        <v>24</v>
      </c>
      <c r="I1517" s="26" t="s">
        <v>1347</v>
      </c>
      <c r="J1517" s="26" t="s">
        <v>25</v>
      </c>
      <c r="K1517" s="26" t="s">
        <v>25</v>
      </c>
      <c r="L1517" s="26" t="s">
        <v>26</v>
      </c>
      <c r="M1517" s="26" t="s">
        <v>27</v>
      </c>
      <c r="N1517" s="26" t="s">
        <v>28</v>
      </c>
      <c r="O1517" s="27">
        <v>31444</v>
      </c>
      <c r="P1517" s="26"/>
      <c r="Q1517" s="26"/>
      <c r="R1517" s="26">
        <v>0.68</v>
      </c>
      <c r="S1517" s="26" t="s">
        <v>29</v>
      </c>
    </row>
    <row r="1518" spans="1:19" ht="29.25">
      <c r="A1518" s="28">
        <v>43407</v>
      </c>
      <c r="B1518" s="28" t="s">
        <v>87</v>
      </c>
      <c r="C1518" s="28" t="s">
        <v>30</v>
      </c>
      <c r="D1518" s="28" t="s">
        <v>21</v>
      </c>
      <c r="E1518" s="28" t="s">
        <v>1997</v>
      </c>
      <c r="F1518" s="28" t="s">
        <v>1998</v>
      </c>
      <c r="G1518" s="28">
        <v>3</v>
      </c>
      <c r="H1518" s="28" t="s">
        <v>24</v>
      </c>
      <c r="I1518" s="28" t="s">
        <v>1999</v>
      </c>
      <c r="J1518" s="28" t="s">
        <v>25</v>
      </c>
      <c r="K1518" s="28" t="s">
        <v>25</v>
      </c>
      <c r="L1518" s="28" t="s">
        <v>26</v>
      </c>
      <c r="M1518" s="28" t="s">
        <v>27</v>
      </c>
      <c r="N1518" s="28" t="s">
        <v>28</v>
      </c>
      <c r="O1518" s="29">
        <v>32960</v>
      </c>
      <c r="P1518" s="28" t="s">
        <v>1049</v>
      </c>
      <c r="Q1518" s="28"/>
      <c r="R1518" s="28">
        <v>3</v>
      </c>
      <c r="S1518" s="28" t="s">
        <v>29</v>
      </c>
    </row>
    <row r="1519" spans="1:19">
      <c r="A1519" s="28">
        <v>69200</v>
      </c>
      <c r="B1519" s="28" t="s">
        <v>87</v>
      </c>
      <c r="C1519" s="28" t="s">
        <v>30</v>
      </c>
      <c r="D1519" s="28" t="s">
        <v>21</v>
      </c>
      <c r="E1519" s="28" t="s">
        <v>1171</v>
      </c>
      <c r="F1519" s="28" t="s">
        <v>1172</v>
      </c>
      <c r="G1519" s="28">
        <v>2.2000000000000002</v>
      </c>
      <c r="H1519" s="28" t="s">
        <v>24</v>
      </c>
      <c r="I1519" s="28" t="s">
        <v>1173</v>
      </c>
      <c r="J1519" s="28" t="s">
        <v>694</v>
      </c>
      <c r="K1519" s="28"/>
      <c r="L1519" s="28" t="s">
        <v>240</v>
      </c>
      <c r="M1519" s="28" t="s">
        <v>27</v>
      </c>
      <c r="N1519" s="28" t="s">
        <v>28</v>
      </c>
      <c r="O1519" s="29">
        <v>31048</v>
      </c>
      <c r="P1519" s="28"/>
      <c r="Q1519" s="28"/>
      <c r="R1519" s="28">
        <v>2.2000000000000002</v>
      </c>
      <c r="S1519" s="28" t="s">
        <v>29</v>
      </c>
    </row>
    <row r="1520" spans="1:19">
      <c r="A1520" s="28">
        <v>88200</v>
      </c>
      <c r="B1520" s="28" t="s">
        <v>87</v>
      </c>
      <c r="C1520" s="28" t="s">
        <v>30</v>
      </c>
      <c r="D1520" s="28" t="s">
        <v>21</v>
      </c>
      <c r="E1520" s="28"/>
      <c r="F1520" s="28" t="s">
        <v>2491</v>
      </c>
      <c r="G1520" s="28">
        <v>0</v>
      </c>
      <c r="H1520" s="28" t="s">
        <v>5</v>
      </c>
      <c r="I1520" s="28" t="s">
        <v>2492</v>
      </c>
      <c r="J1520" s="28" t="s">
        <v>365</v>
      </c>
      <c r="K1520" s="28" t="s">
        <v>580</v>
      </c>
      <c r="L1520" s="28" t="s">
        <v>240</v>
      </c>
      <c r="M1520" s="28" t="s">
        <v>38</v>
      </c>
      <c r="N1520" s="28" t="s">
        <v>39</v>
      </c>
      <c r="O1520" s="29">
        <v>37315</v>
      </c>
      <c r="P1520" s="28" t="s">
        <v>1887</v>
      </c>
      <c r="Q1520" s="28"/>
      <c r="R1520" s="28">
        <v>3.8</v>
      </c>
      <c r="S1520" s="28" t="s">
        <v>29</v>
      </c>
    </row>
    <row r="1521" spans="1:19" ht="29.25">
      <c r="A1521" s="24">
        <v>69600</v>
      </c>
      <c r="B1521" s="24" t="s">
        <v>87</v>
      </c>
      <c r="C1521" s="24" t="s">
        <v>30</v>
      </c>
      <c r="D1521" s="24" t="s">
        <v>30</v>
      </c>
      <c r="E1521" s="24" t="s">
        <v>88</v>
      </c>
      <c r="F1521" s="24" t="s">
        <v>89</v>
      </c>
      <c r="G1521" s="24">
        <v>2.2999999999999998</v>
      </c>
      <c r="H1521" s="24" t="s">
        <v>5</v>
      </c>
      <c r="I1521" s="24" t="s">
        <v>90</v>
      </c>
      <c r="J1521" s="24" t="s">
        <v>90</v>
      </c>
      <c r="K1521" s="24"/>
      <c r="L1521" s="24" t="s">
        <v>26</v>
      </c>
      <c r="M1521" s="24" t="s">
        <v>38</v>
      </c>
      <c r="N1521" s="24" t="s">
        <v>39</v>
      </c>
      <c r="O1521" s="25">
        <v>3289</v>
      </c>
      <c r="P1521" s="24"/>
      <c r="Q1521" s="24"/>
      <c r="R1521" s="24">
        <v>2.2799999999999998</v>
      </c>
      <c r="S1521" s="24" t="s">
        <v>29</v>
      </c>
    </row>
    <row r="1522" spans="1:19">
      <c r="A1522" s="26">
        <v>69603</v>
      </c>
      <c r="B1522" s="26" t="s">
        <v>87</v>
      </c>
      <c r="C1522" s="26" t="s">
        <v>30</v>
      </c>
      <c r="D1522" s="26" t="s">
        <v>21</v>
      </c>
      <c r="E1522" s="26"/>
      <c r="F1522" s="26" t="s">
        <v>908</v>
      </c>
      <c r="G1522" s="26"/>
      <c r="H1522" s="26" t="s">
        <v>5</v>
      </c>
      <c r="I1522" s="26">
        <v>1007</v>
      </c>
      <c r="J1522" s="26" t="s">
        <v>788</v>
      </c>
      <c r="K1522" s="26"/>
      <c r="L1522" s="26"/>
      <c r="M1522" s="26" t="s">
        <v>38</v>
      </c>
      <c r="N1522" s="26" t="s">
        <v>39</v>
      </c>
      <c r="O1522" s="27">
        <v>30337</v>
      </c>
      <c r="P1522" s="26"/>
      <c r="Q1522" s="26"/>
      <c r="R1522" s="26">
        <v>0.08</v>
      </c>
      <c r="S1522" s="26" t="s">
        <v>29</v>
      </c>
    </row>
    <row r="1523" spans="1:19" ht="29.25">
      <c r="A1523" s="26">
        <v>69601</v>
      </c>
      <c r="B1523" s="26" t="s">
        <v>87</v>
      </c>
      <c r="C1523" s="26" t="s">
        <v>30</v>
      </c>
      <c r="D1523" s="26" t="s">
        <v>21</v>
      </c>
      <c r="E1523" s="26"/>
      <c r="F1523" s="26" t="s">
        <v>1892</v>
      </c>
      <c r="G1523" s="26"/>
      <c r="H1523" s="26" t="s">
        <v>5</v>
      </c>
      <c r="I1523" s="26">
        <v>4028</v>
      </c>
      <c r="J1523" s="26" t="s">
        <v>25</v>
      </c>
      <c r="K1523" s="26"/>
      <c r="L1523" s="26"/>
      <c r="M1523" s="26" t="s">
        <v>38</v>
      </c>
      <c r="N1523" s="26" t="s">
        <v>39</v>
      </c>
      <c r="O1523" s="27">
        <v>32845</v>
      </c>
      <c r="P1523" s="26"/>
      <c r="Q1523" s="26"/>
      <c r="R1523" s="26">
        <v>1.5</v>
      </c>
      <c r="S1523" s="26" t="s">
        <v>29</v>
      </c>
    </row>
    <row r="1524" spans="1:19">
      <c r="A1524" s="26">
        <v>69604</v>
      </c>
      <c r="B1524" s="26" t="s">
        <v>87</v>
      </c>
      <c r="C1524" s="26" t="s">
        <v>30</v>
      </c>
      <c r="D1524" s="26" t="s">
        <v>21</v>
      </c>
      <c r="E1524" s="26"/>
      <c r="F1524" s="26" t="s">
        <v>1540</v>
      </c>
      <c r="G1524" s="26"/>
      <c r="H1524" s="26" t="s">
        <v>5</v>
      </c>
      <c r="I1524" s="26">
        <v>1087</v>
      </c>
      <c r="J1524" s="26" t="s">
        <v>788</v>
      </c>
      <c r="K1524" s="26"/>
      <c r="L1524" s="26"/>
      <c r="M1524" s="26" t="s">
        <v>38</v>
      </c>
      <c r="N1524" s="26" t="s">
        <v>39</v>
      </c>
      <c r="O1524" s="27">
        <v>31862</v>
      </c>
      <c r="P1524" s="26"/>
      <c r="Q1524" s="26"/>
      <c r="R1524" s="26">
        <v>0.1</v>
      </c>
      <c r="S1524" s="26" t="s">
        <v>29</v>
      </c>
    </row>
    <row r="1525" spans="1:19">
      <c r="A1525" s="28">
        <v>69700</v>
      </c>
      <c r="B1525" s="28" t="s">
        <v>87</v>
      </c>
      <c r="C1525" s="28" t="s">
        <v>30</v>
      </c>
      <c r="D1525" s="28" t="s">
        <v>21</v>
      </c>
      <c r="E1525" s="28" t="s">
        <v>1536</v>
      </c>
      <c r="F1525" s="28" t="s">
        <v>1537</v>
      </c>
      <c r="G1525" s="28">
        <v>6.9</v>
      </c>
      <c r="H1525" s="28" t="s">
        <v>24</v>
      </c>
      <c r="I1525" s="28" t="s">
        <v>1538</v>
      </c>
      <c r="J1525" s="28" t="s">
        <v>694</v>
      </c>
      <c r="K1525" s="28" t="s">
        <v>580</v>
      </c>
      <c r="L1525" s="28" t="s">
        <v>240</v>
      </c>
      <c r="M1525" s="28" t="s">
        <v>27</v>
      </c>
      <c r="N1525" s="28" t="s">
        <v>28</v>
      </c>
      <c r="O1525" s="29">
        <v>31846</v>
      </c>
      <c r="P1525" s="28"/>
      <c r="Q1525" s="28"/>
      <c r="R1525" s="28">
        <v>6.9</v>
      </c>
      <c r="S1525" s="28" t="s">
        <v>29</v>
      </c>
    </row>
    <row r="1526" spans="1:19" ht="29.25">
      <c r="A1526" s="28">
        <v>69800</v>
      </c>
      <c r="B1526" s="28" t="s">
        <v>87</v>
      </c>
      <c r="C1526" s="28" t="s">
        <v>30</v>
      </c>
      <c r="D1526" s="28" t="s">
        <v>21</v>
      </c>
      <c r="E1526" s="28"/>
      <c r="F1526" s="28" t="s">
        <v>2102</v>
      </c>
      <c r="G1526" s="28">
        <v>1.08</v>
      </c>
      <c r="H1526" s="28" t="s">
        <v>5</v>
      </c>
      <c r="I1526" s="28">
        <v>2413</v>
      </c>
      <c r="J1526" s="28" t="s">
        <v>694</v>
      </c>
      <c r="K1526" s="28"/>
      <c r="L1526" s="28" t="s">
        <v>240</v>
      </c>
      <c r="M1526" s="28" t="s">
        <v>38</v>
      </c>
      <c r="N1526" s="28" t="s">
        <v>39</v>
      </c>
      <c r="O1526" s="29">
        <v>33639</v>
      </c>
      <c r="P1526" s="28"/>
      <c r="Q1526" s="28"/>
      <c r="R1526" s="28">
        <v>1.08</v>
      </c>
      <c r="S1526" s="28" t="s">
        <v>29</v>
      </c>
    </row>
    <row r="1527" spans="1:19" ht="29.25">
      <c r="A1527" s="28">
        <v>69900</v>
      </c>
      <c r="B1527" s="28" t="s">
        <v>87</v>
      </c>
      <c r="C1527" s="28" t="s">
        <v>30</v>
      </c>
      <c r="D1527" s="28" t="s">
        <v>21</v>
      </c>
      <c r="E1527" s="28" t="s">
        <v>1727</v>
      </c>
      <c r="F1527" s="28" t="s">
        <v>1728</v>
      </c>
      <c r="G1527" s="28">
        <v>22.3</v>
      </c>
      <c r="H1527" s="28" t="s">
        <v>24</v>
      </c>
      <c r="I1527" s="28" t="s">
        <v>1729</v>
      </c>
      <c r="J1527" s="28" t="s">
        <v>788</v>
      </c>
      <c r="K1527" s="28" t="s">
        <v>366</v>
      </c>
      <c r="L1527" s="28" t="s">
        <v>1730</v>
      </c>
      <c r="M1527" s="28" t="s">
        <v>27</v>
      </c>
      <c r="N1527" s="28" t="s">
        <v>28</v>
      </c>
      <c r="O1527" s="29">
        <v>32392</v>
      </c>
      <c r="P1527" s="28"/>
      <c r="Q1527" s="28"/>
      <c r="R1527" s="28">
        <v>22.3</v>
      </c>
      <c r="S1527" s="28" t="s">
        <v>29</v>
      </c>
    </row>
    <row r="1528" spans="1:19">
      <c r="A1528" s="28">
        <v>70000</v>
      </c>
      <c r="B1528" s="28" t="s">
        <v>87</v>
      </c>
      <c r="C1528" s="28" t="s">
        <v>30</v>
      </c>
      <c r="D1528" s="28" t="s">
        <v>21</v>
      </c>
      <c r="E1528" s="28" t="s">
        <v>1665</v>
      </c>
      <c r="F1528" s="28" t="s">
        <v>1666</v>
      </c>
      <c r="G1528" s="28">
        <v>63</v>
      </c>
      <c r="H1528" s="28" t="s">
        <v>24</v>
      </c>
      <c r="I1528" s="28" t="s">
        <v>1667</v>
      </c>
      <c r="J1528" s="28" t="s">
        <v>694</v>
      </c>
      <c r="K1528" s="28" t="s">
        <v>366</v>
      </c>
      <c r="L1528" s="28" t="s">
        <v>928</v>
      </c>
      <c r="M1528" s="28" t="s">
        <v>27</v>
      </c>
      <c r="N1528" s="28" t="s">
        <v>28</v>
      </c>
      <c r="O1528" s="29">
        <v>32200</v>
      </c>
      <c r="P1528" s="28"/>
      <c r="Q1528" s="28"/>
      <c r="R1528" s="28">
        <v>63</v>
      </c>
      <c r="S1528" s="28" t="s">
        <v>29</v>
      </c>
    </row>
    <row r="1529" spans="1:19" ht="29.25">
      <c r="A1529" s="28">
        <v>89500</v>
      </c>
      <c r="B1529" s="28" t="s">
        <v>87</v>
      </c>
      <c r="C1529" s="28" t="s">
        <v>30</v>
      </c>
      <c r="D1529" s="28" t="s">
        <v>21</v>
      </c>
      <c r="E1529" s="28"/>
      <c r="F1529" s="28" t="s">
        <v>1885</v>
      </c>
      <c r="G1529" s="28">
        <v>0</v>
      </c>
      <c r="H1529" s="28" t="s">
        <v>24</v>
      </c>
      <c r="I1529" s="28" t="s">
        <v>1886</v>
      </c>
      <c r="J1529" s="28" t="s">
        <v>365</v>
      </c>
      <c r="K1529" s="28" t="s">
        <v>296</v>
      </c>
      <c r="L1529" s="28" t="s">
        <v>1169</v>
      </c>
      <c r="M1529" s="28" t="s">
        <v>27</v>
      </c>
      <c r="N1529" s="28" t="s">
        <v>28</v>
      </c>
      <c r="O1529" s="29">
        <v>32820</v>
      </c>
      <c r="P1529" s="28" t="s">
        <v>1887</v>
      </c>
      <c r="Q1529" s="28"/>
      <c r="R1529" s="28">
        <v>1.5</v>
      </c>
      <c r="S1529" s="28" t="s">
        <v>29</v>
      </c>
    </row>
    <row r="1530" spans="1:19" ht="29.25">
      <c r="A1530" s="28">
        <v>70100</v>
      </c>
      <c r="B1530" s="28" t="s">
        <v>87</v>
      </c>
      <c r="C1530" s="28" t="s">
        <v>30</v>
      </c>
      <c r="D1530" s="28" t="s">
        <v>21</v>
      </c>
      <c r="E1530" s="28" t="s">
        <v>1800</v>
      </c>
      <c r="F1530" s="28" t="s">
        <v>1801</v>
      </c>
      <c r="G1530" s="28">
        <v>2.5</v>
      </c>
      <c r="H1530" s="28" t="s">
        <v>24</v>
      </c>
      <c r="I1530" s="28" t="s">
        <v>1802</v>
      </c>
      <c r="J1530" s="28" t="s">
        <v>25</v>
      </c>
      <c r="K1530" s="28" t="s">
        <v>25</v>
      </c>
      <c r="L1530" s="28" t="s">
        <v>26</v>
      </c>
      <c r="M1530" s="28" t="s">
        <v>27</v>
      </c>
      <c r="N1530" s="28" t="s">
        <v>28</v>
      </c>
      <c r="O1530" s="29">
        <v>32552</v>
      </c>
      <c r="P1530" s="28"/>
      <c r="Q1530" s="28"/>
      <c r="R1530" s="28">
        <v>2.5</v>
      </c>
      <c r="S1530" s="28" t="s">
        <v>29</v>
      </c>
    </row>
    <row r="1531" spans="1:19" ht="29.25">
      <c r="A1531" s="28">
        <v>70200</v>
      </c>
      <c r="B1531" s="28" t="s">
        <v>87</v>
      </c>
      <c r="C1531" s="28" t="s">
        <v>30</v>
      </c>
      <c r="D1531" s="28" t="s">
        <v>21</v>
      </c>
      <c r="E1531" s="28" t="s">
        <v>1918</v>
      </c>
      <c r="F1531" s="28" t="s">
        <v>1919</v>
      </c>
      <c r="G1531" s="28">
        <v>6</v>
      </c>
      <c r="H1531" s="28" t="s">
        <v>24</v>
      </c>
      <c r="I1531" s="28" t="s">
        <v>1920</v>
      </c>
      <c r="J1531" s="28" t="s">
        <v>25</v>
      </c>
      <c r="K1531" s="28" t="s">
        <v>25</v>
      </c>
      <c r="L1531" s="28" t="s">
        <v>26</v>
      </c>
      <c r="M1531" s="28" t="s">
        <v>27</v>
      </c>
      <c r="N1531" s="28" t="s">
        <v>159</v>
      </c>
      <c r="O1531" s="29">
        <v>32869</v>
      </c>
      <c r="P1531" s="28"/>
      <c r="Q1531" s="28"/>
      <c r="R1531" s="28">
        <v>6</v>
      </c>
      <c r="S1531" s="28" t="s">
        <v>29</v>
      </c>
    </row>
    <row r="1532" spans="1:19" ht="29.25">
      <c r="A1532" s="28">
        <v>70301</v>
      </c>
      <c r="B1532" s="28" t="s">
        <v>87</v>
      </c>
      <c r="C1532" s="28" t="s">
        <v>30</v>
      </c>
      <c r="D1532" s="28" t="s">
        <v>21</v>
      </c>
      <c r="E1532" s="28" t="s">
        <v>1023</v>
      </c>
      <c r="F1532" s="28" t="s">
        <v>1024</v>
      </c>
      <c r="G1532" s="28">
        <v>14.2</v>
      </c>
      <c r="H1532" s="28" t="s">
        <v>5</v>
      </c>
      <c r="I1532" s="28">
        <v>5005</v>
      </c>
      <c r="J1532" s="28" t="s">
        <v>1025</v>
      </c>
      <c r="K1532" s="28" t="s">
        <v>366</v>
      </c>
      <c r="L1532" s="28" t="s">
        <v>1026</v>
      </c>
      <c r="M1532" s="28" t="s">
        <v>38</v>
      </c>
      <c r="N1532" s="28" t="s">
        <v>39</v>
      </c>
      <c r="O1532" s="29">
        <v>30682</v>
      </c>
      <c r="P1532" s="28"/>
      <c r="Q1532" s="28"/>
      <c r="R1532" s="28">
        <v>14.2</v>
      </c>
      <c r="S1532" s="28" t="s">
        <v>29</v>
      </c>
    </row>
    <row r="1533" spans="1:19" ht="29.25">
      <c r="A1533" s="28">
        <v>70302</v>
      </c>
      <c r="B1533" s="28" t="s">
        <v>87</v>
      </c>
      <c r="C1533" s="28" t="s">
        <v>30</v>
      </c>
      <c r="D1533" s="28" t="s">
        <v>21</v>
      </c>
      <c r="E1533" s="28" t="s">
        <v>1087</v>
      </c>
      <c r="F1533" s="28" t="s">
        <v>1088</v>
      </c>
      <c r="G1533" s="28">
        <v>38.44</v>
      </c>
      <c r="H1533" s="28" t="s">
        <v>5</v>
      </c>
      <c r="I1533" s="28">
        <v>5005</v>
      </c>
      <c r="J1533" s="28" t="s">
        <v>1025</v>
      </c>
      <c r="K1533" s="28" t="s">
        <v>366</v>
      </c>
      <c r="L1533" s="28" t="s">
        <v>1026</v>
      </c>
      <c r="M1533" s="28" t="s">
        <v>38</v>
      </c>
      <c r="N1533" s="28" t="s">
        <v>39</v>
      </c>
      <c r="O1533" s="29">
        <v>30988</v>
      </c>
      <c r="P1533" s="28"/>
      <c r="Q1533" s="28"/>
      <c r="R1533" s="28">
        <v>43.8</v>
      </c>
      <c r="S1533" s="28" t="s">
        <v>29</v>
      </c>
    </row>
    <row r="1534" spans="1:19">
      <c r="A1534" s="28">
        <v>70500</v>
      </c>
      <c r="B1534" s="28" t="s">
        <v>87</v>
      </c>
      <c r="C1534" s="28" t="s">
        <v>30</v>
      </c>
      <c r="D1534" s="28" t="s">
        <v>21</v>
      </c>
      <c r="E1534" s="28" t="s">
        <v>1652</v>
      </c>
      <c r="F1534" s="28" t="s">
        <v>1653</v>
      </c>
      <c r="G1534" s="28">
        <v>5</v>
      </c>
      <c r="H1534" s="28" t="s">
        <v>143</v>
      </c>
      <c r="I1534" s="28">
        <v>152</v>
      </c>
      <c r="J1534" s="28" t="s">
        <v>788</v>
      </c>
      <c r="K1534" s="28" t="s">
        <v>296</v>
      </c>
      <c r="L1534" s="28" t="s">
        <v>888</v>
      </c>
      <c r="M1534" s="28" t="s">
        <v>38</v>
      </c>
      <c r="N1534" s="28" t="s">
        <v>144</v>
      </c>
      <c r="O1534" s="29">
        <v>32143</v>
      </c>
      <c r="P1534" s="28"/>
      <c r="Q1534" s="28"/>
      <c r="R1534" s="28">
        <v>1.87</v>
      </c>
      <c r="S1534" s="28" t="s">
        <v>29</v>
      </c>
    </row>
    <row r="1535" spans="1:19">
      <c r="A1535" s="28">
        <v>67300</v>
      </c>
      <c r="B1535" s="28" t="s">
        <v>87</v>
      </c>
      <c r="C1535" s="28" t="s">
        <v>30</v>
      </c>
      <c r="D1535" s="28" t="s">
        <v>21</v>
      </c>
      <c r="E1535" s="28" t="s">
        <v>1393</v>
      </c>
      <c r="F1535" s="28" t="s">
        <v>1394</v>
      </c>
      <c r="G1535" s="28">
        <v>18.600000000000001</v>
      </c>
      <c r="H1535" s="28" t="s">
        <v>24</v>
      </c>
      <c r="I1535" s="28" t="s">
        <v>1395</v>
      </c>
      <c r="J1535" s="28" t="s">
        <v>25</v>
      </c>
      <c r="K1535" s="28" t="s">
        <v>25</v>
      </c>
      <c r="L1535" s="28" t="s">
        <v>26</v>
      </c>
      <c r="M1535" s="28" t="s">
        <v>27</v>
      </c>
      <c r="N1535" s="28" t="s">
        <v>28</v>
      </c>
      <c r="O1535" s="29">
        <v>31551</v>
      </c>
      <c r="P1535" s="28"/>
      <c r="Q1535" s="28" t="s">
        <v>312</v>
      </c>
      <c r="R1535" s="28">
        <v>18.600000000000001</v>
      </c>
      <c r="S1535" s="28" t="s">
        <v>29</v>
      </c>
    </row>
    <row r="1536" spans="1:19" ht="29.25">
      <c r="A1536" s="24">
        <v>70600</v>
      </c>
      <c r="B1536" s="24" t="s">
        <v>87</v>
      </c>
      <c r="C1536" s="24" t="s">
        <v>30</v>
      </c>
      <c r="D1536" s="24" t="s">
        <v>30</v>
      </c>
      <c r="E1536" s="24" t="s">
        <v>896</v>
      </c>
      <c r="F1536" s="24" t="s">
        <v>897</v>
      </c>
      <c r="G1536" s="24">
        <v>5.3</v>
      </c>
      <c r="H1536" s="24" t="s">
        <v>24</v>
      </c>
      <c r="I1536" s="24" t="s">
        <v>90</v>
      </c>
      <c r="J1536" s="24" t="s">
        <v>25</v>
      </c>
      <c r="K1536" s="24" t="s">
        <v>25</v>
      </c>
      <c r="L1536" s="24" t="s">
        <v>26</v>
      </c>
      <c r="M1536" s="24" t="s">
        <v>27</v>
      </c>
      <c r="N1536" s="24" t="s">
        <v>28</v>
      </c>
      <c r="O1536" s="25">
        <v>30317</v>
      </c>
      <c r="P1536" s="24"/>
      <c r="Q1536" s="24"/>
      <c r="R1536" s="24">
        <v>5.8</v>
      </c>
      <c r="S1536" s="24" t="s">
        <v>29</v>
      </c>
    </row>
    <row r="1537" spans="1:19">
      <c r="A1537" s="26">
        <v>70616</v>
      </c>
      <c r="B1537" s="26" t="s">
        <v>87</v>
      </c>
      <c r="C1537" s="26" t="s">
        <v>30</v>
      </c>
      <c r="D1537" s="26" t="s">
        <v>21</v>
      </c>
      <c r="E1537" s="26"/>
      <c r="F1537" s="26" t="s">
        <v>3305</v>
      </c>
      <c r="G1537" s="26"/>
      <c r="H1537" s="26" t="s">
        <v>24</v>
      </c>
      <c r="I1537" s="26" t="s">
        <v>3306</v>
      </c>
      <c r="J1537" s="26" t="s">
        <v>694</v>
      </c>
      <c r="K1537" s="26"/>
      <c r="L1537" s="26" t="s">
        <v>240</v>
      </c>
      <c r="M1537" s="26" t="s">
        <v>27</v>
      </c>
      <c r="N1537" s="26" t="s">
        <v>28</v>
      </c>
      <c r="O1537" s="26" t="s">
        <v>4687</v>
      </c>
      <c r="P1537" s="26"/>
      <c r="Q1537" s="26"/>
      <c r="R1537" s="26">
        <v>0.06</v>
      </c>
      <c r="S1537" s="26" t="s">
        <v>29</v>
      </c>
    </row>
    <row r="1538" spans="1:19">
      <c r="A1538" s="26">
        <v>70601</v>
      </c>
      <c r="B1538" s="26" t="s">
        <v>87</v>
      </c>
      <c r="C1538" s="26" t="s">
        <v>30</v>
      </c>
      <c r="D1538" s="26" t="s">
        <v>21</v>
      </c>
      <c r="E1538" s="26"/>
      <c r="F1538" s="26" t="s">
        <v>1435</v>
      </c>
      <c r="G1538" s="26"/>
      <c r="H1538" s="26" t="s">
        <v>24</v>
      </c>
      <c r="I1538" s="26" t="s">
        <v>1436</v>
      </c>
      <c r="J1538" s="26" t="s">
        <v>25</v>
      </c>
      <c r="K1538" s="26" t="s">
        <v>25</v>
      </c>
      <c r="L1538" s="26" t="s">
        <v>26</v>
      </c>
      <c r="M1538" s="26" t="s">
        <v>27</v>
      </c>
      <c r="N1538" s="26" t="s">
        <v>28</v>
      </c>
      <c r="O1538" s="27">
        <v>31747</v>
      </c>
      <c r="P1538" s="26"/>
      <c r="Q1538" s="26"/>
      <c r="R1538" s="26">
        <v>0.36</v>
      </c>
      <c r="S1538" s="26" t="s">
        <v>29</v>
      </c>
    </row>
    <row r="1539" spans="1:19" ht="29.25">
      <c r="A1539" s="26">
        <v>70602</v>
      </c>
      <c r="B1539" s="26" t="s">
        <v>87</v>
      </c>
      <c r="C1539" s="26" t="s">
        <v>30</v>
      </c>
      <c r="D1539" s="26" t="s">
        <v>21</v>
      </c>
      <c r="E1539" s="26"/>
      <c r="F1539" s="26" t="s">
        <v>1061</v>
      </c>
      <c r="G1539" s="26"/>
      <c r="H1539" s="26" t="s">
        <v>24</v>
      </c>
      <c r="I1539" s="26" t="s">
        <v>1062</v>
      </c>
      <c r="J1539" s="26" t="s">
        <v>25</v>
      </c>
      <c r="K1539" s="26" t="s">
        <v>25</v>
      </c>
      <c r="L1539" s="26" t="s">
        <v>26</v>
      </c>
      <c r="M1539" s="26" t="s">
        <v>27</v>
      </c>
      <c r="N1539" s="26" t="s">
        <v>28</v>
      </c>
      <c r="O1539" s="27">
        <v>30862</v>
      </c>
      <c r="P1539" s="26"/>
      <c r="Q1539" s="26"/>
      <c r="R1539" s="26">
        <v>1.28</v>
      </c>
      <c r="S1539" s="26" t="s">
        <v>29</v>
      </c>
    </row>
    <row r="1540" spans="1:19">
      <c r="A1540" s="26">
        <v>70603</v>
      </c>
      <c r="B1540" s="26" t="s">
        <v>87</v>
      </c>
      <c r="C1540" s="26" t="s">
        <v>30</v>
      </c>
      <c r="D1540" s="26" t="s">
        <v>21</v>
      </c>
      <c r="E1540" s="26"/>
      <c r="F1540" s="26" t="s">
        <v>1832</v>
      </c>
      <c r="G1540" s="26"/>
      <c r="H1540" s="26" t="s">
        <v>24</v>
      </c>
      <c r="I1540" s="26" t="s">
        <v>1833</v>
      </c>
      <c r="J1540" s="26" t="s">
        <v>25</v>
      </c>
      <c r="K1540" s="26" t="s">
        <v>25</v>
      </c>
      <c r="L1540" s="26" t="s">
        <v>26</v>
      </c>
      <c r="M1540" s="26" t="s">
        <v>27</v>
      </c>
      <c r="N1540" s="26" t="s">
        <v>28</v>
      </c>
      <c r="O1540" s="27">
        <v>32625</v>
      </c>
      <c r="P1540" s="26"/>
      <c r="Q1540" s="26"/>
      <c r="R1540" s="26">
        <v>0.99</v>
      </c>
      <c r="S1540" s="26" t="s">
        <v>29</v>
      </c>
    </row>
    <row r="1541" spans="1:19">
      <c r="A1541" s="26">
        <v>70605</v>
      </c>
      <c r="B1541" s="26" t="s">
        <v>87</v>
      </c>
      <c r="C1541" s="26" t="s">
        <v>30</v>
      </c>
      <c r="D1541" s="26" t="s">
        <v>21</v>
      </c>
      <c r="E1541" s="26"/>
      <c r="F1541" s="26" t="s">
        <v>1036</v>
      </c>
      <c r="G1541" s="26"/>
      <c r="H1541" s="26" t="s">
        <v>24</v>
      </c>
      <c r="I1541" s="26" t="s">
        <v>1037</v>
      </c>
      <c r="J1541" s="26" t="s">
        <v>25</v>
      </c>
      <c r="K1541" s="26" t="s">
        <v>25</v>
      </c>
      <c r="L1541" s="26" t="s">
        <v>26</v>
      </c>
      <c r="M1541" s="26" t="s">
        <v>27</v>
      </c>
      <c r="N1541" s="26" t="s">
        <v>28</v>
      </c>
      <c r="O1541" s="27">
        <v>30698</v>
      </c>
      <c r="P1541" s="26"/>
      <c r="Q1541" s="26"/>
      <c r="R1541" s="26">
        <v>0.02</v>
      </c>
      <c r="S1541" s="26" t="s">
        <v>29</v>
      </c>
    </row>
    <row r="1542" spans="1:19">
      <c r="A1542" s="26">
        <v>70606</v>
      </c>
      <c r="B1542" s="26" t="s">
        <v>87</v>
      </c>
      <c r="C1542" s="26" t="s">
        <v>30</v>
      </c>
      <c r="D1542" s="26" t="s">
        <v>21</v>
      </c>
      <c r="E1542" s="26"/>
      <c r="F1542" s="26" t="s">
        <v>2081</v>
      </c>
      <c r="G1542" s="26"/>
      <c r="H1542" s="26" t="s">
        <v>24</v>
      </c>
      <c r="I1542" s="26" t="s">
        <v>2082</v>
      </c>
      <c r="J1542" s="26" t="s">
        <v>25</v>
      </c>
      <c r="K1542" s="26" t="s">
        <v>25</v>
      </c>
      <c r="L1542" s="26" t="s">
        <v>26</v>
      </c>
      <c r="M1542" s="26" t="s">
        <v>27</v>
      </c>
      <c r="N1542" s="26" t="s">
        <v>28</v>
      </c>
      <c r="O1542" s="27">
        <v>33409</v>
      </c>
      <c r="P1542" s="26"/>
      <c r="Q1542" s="26"/>
      <c r="R1542" s="26">
        <v>0</v>
      </c>
      <c r="S1542" s="26" t="s">
        <v>29</v>
      </c>
    </row>
    <row r="1543" spans="1:19">
      <c r="A1543" s="26">
        <v>70608</v>
      </c>
      <c r="B1543" s="26" t="s">
        <v>87</v>
      </c>
      <c r="C1543" s="26" t="s">
        <v>30</v>
      </c>
      <c r="D1543" s="26" t="s">
        <v>21</v>
      </c>
      <c r="E1543" s="26"/>
      <c r="F1543" s="26" t="s">
        <v>837</v>
      </c>
      <c r="G1543" s="26"/>
      <c r="H1543" s="26" t="s">
        <v>24</v>
      </c>
      <c r="I1543" s="26" t="s">
        <v>838</v>
      </c>
      <c r="J1543" s="26" t="s">
        <v>788</v>
      </c>
      <c r="K1543" s="26"/>
      <c r="L1543" s="26"/>
      <c r="M1543" s="26" t="s">
        <v>27</v>
      </c>
      <c r="N1543" s="26" t="s">
        <v>28</v>
      </c>
      <c r="O1543" s="27">
        <v>30258</v>
      </c>
      <c r="P1543" s="26"/>
      <c r="Q1543" s="26"/>
      <c r="R1543" s="26">
        <v>0.09</v>
      </c>
      <c r="S1543" s="26" t="s">
        <v>29</v>
      </c>
    </row>
    <row r="1544" spans="1:19" ht="29.25">
      <c r="A1544" s="26">
        <v>70607</v>
      </c>
      <c r="B1544" s="26" t="s">
        <v>87</v>
      </c>
      <c r="C1544" s="26" t="s">
        <v>30</v>
      </c>
      <c r="D1544" s="26" t="s">
        <v>21</v>
      </c>
      <c r="E1544" s="26"/>
      <c r="F1544" s="26" t="s">
        <v>1190</v>
      </c>
      <c r="G1544" s="26"/>
      <c r="H1544" s="26" t="s">
        <v>24</v>
      </c>
      <c r="I1544" s="26" t="s">
        <v>1191</v>
      </c>
      <c r="J1544" s="26" t="s">
        <v>25</v>
      </c>
      <c r="K1544" s="26" t="s">
        <v>25</v>
      </c>
      <c r="L1544" s="26" t="s">
        <v>26</v>
      </c>
      <c r="M1544" s="26" t="s">
        <v>27</v>
      </c>
      <c r="N1544" s="26" t="s">
        <v>28</v>
      </c>
      <c r="O1544" s="27">
        <v>31143</v>
      </c>
      <c r="P1544" s="26"/>
      <c r="Q1544" s="26"/>
      <c r="R1544" s="26">
        <v>0.28000000000000003</v>
      </c>
      <c r="S1544" s="26" t="s">
        <v>29</v>
      </c>
    </row>
    <row r="1545" spans="1:19">
      <c r="A1545" s="26">
        <v>70610</v>
      </c>
      <c r="B1545" s="26" t="s">
        <v>87</v>
      </c>
      <c r="C1545" s="26" t="s">
        <v>30</v>
      </c>
      <c r="D1545" s="26" t="s">
        <v>21</v>
      </c>
      <c r="E1545" s="26"/>
      <c r="F1545" s="26" t="s">
        <v>962</v>
      </c>
      <c r="G1545" s="26"/>
      <c r="H1545" s="26" t="s">
        <v>24</v>
      </c>
      <c r="I1545" s="26" t="s">
        <v>963</v>
      </c>
      <c r="J1545" s="26" t="s">
        <v>25</v>
      </c>
      <c r="K1545" s="26" t="s">
        <v>25</v>
      </c>
      <c r="L1545" s="26" t="s">
        <v>26</v>
      </c>
      <c r="M1545" s="26" t="s">
        <v>27</v>
      </c>
      <c r="N1545" s="26" t="s">
        <v>28</v>
      </c>
      <c r="O1545" s="27">
        <v>30624</v>
      </c>
      <c r="P1545" s="26"/>
      <c r="Q1545" s="26"/>
      <c r="R1545" s="26">
        <v>0.3</v>
      </c>
      <c r="S1545" s="26" t="s">
        <v>29</v>
      </c>
    </row>
    <row r="1546" spans="1:19">
      <c r="A1546" s="26">
        <v>70611</v>
      </c>
      <c r="B1546" s="26" t="s">
        <v>87</v>
      </c>
      <c r="C1546" s="26" t="s">
        <v>30</v>
      </c>
      <c r="D1546" s="26" t="s">
        <v>21</v>
      </c>
      <c r="E1546" s="26"/>
      <c r="F1546" s="26" t="s">
        <v>921</v>
      </c>
      <c r="G1546" s="26"/>
      <c r="H1546" s="26" t="s">
        <v>24</v>
      </c>
      <c r="I1546" s="26" t="s">
        <v>922</v>
      </c>
      <c r="J1546" s="26" t="s">
        <v>25</v>
      </c>
      <c r="K1546" s="26" t="s">
        <v>25</v>
      </c>
      <c r="L1546" s="26" t="s">
        <v>26</v>
      </c>
      <c r="M1546" s="26" t="s">
        <v>27</v>
      </c>
      <c r="N1546" s="26" t="s">
        <v>28</v>
      </c>
      <c r="O1546" s="27">
        <v>30342</v>
      </c>
      <c r="P1546" s="26"/>
      <c r="Q1546" s="26"/>
      <c r="R1546" s="26">
        <v>0.3</v>
      </c>
      <c r="S1546" s="26" t="s">
        <v>29</v>
      </c>
    </row>
    <row r="1547" spans="1:19">
      <c r="A1547" s="26">
        <v>70612</v>
      </c>
      <c r="B1547" s="26" t="s">
        <v>87</v>
      </c>
      <c r="C1547" s="26" t="s">
        <v>30</v>
      </c>
      <c r="D1547" s="26" t="s">
        <v>21</v>
      </c>
      <c r="E1547" s="26"/>
      <c r="F1547" s="26" t="s">
        <v>1223</v>
      </c>
      <c r="G1547" s="26"/>
      <c r="H1547" s="26" t="s">
        <v>24</v>
      </c>
      <c r="I1547" s="26" t="s">
        <v>1224</v>
      </c>
      <c r="J1547" s="26" t="s">
        <v>25</v>
      </c>
      <c r="K1547" s="26" t="s">
        <v>25</v>
      </c>
      <c r="L1547" s="26" t="s">
        <v>26</v>
      </c>
      <c r="M1547" s="26" t="s">
        <v>27</v>
      </c>
      <c r="N1547" s="26" t="s">
        <v>28</v>
      </c>
      <c r="O1547" s="27">
        <v>31245</v>
      </c>
      <c r="P1547" s="26"/>
      <c r="Q1547" s="26"/>
      <c r="R1547" s="26">
        <v>0.4</v>
      </c>
      <c r="S1547" s="26" t="s">
        <v>29</v>
      </c>
    </row>
    <row r="1548" spans="1:19">
      <c r="A1548" s="26">
        <v>70613</v>
      </c>
      <c r="B1548" s="26" t="s">
        <v>87</v>
      </c>
      <c r="C1548" s="26" t="s">
        <v>30</v>
      </c>
      <c r="D1548" s="26" t="s">
        <v>21</v>
      </c>
      <c r="E1548" s="26"/>
      <c r="F1548" s="26" t="s">
        <v>960</v>
      </c>
      <c r="G1548" s="26"/>
      <c r="H1548" s="26" t="s">
        <v>24</v>
      </c>
      <c r="I1548" s="26" t="s">
        <v>961</v>
      </c>
      <c r="J1548" s="26" t="s">
        <v>25</v>
      </c>
      <c r="K1548" s="26" t="s">
        <v>25</v>
      </c>
      <c r="L1548" s="26" t="s">
        <v>26</v>
      </c>
      <c r="M1548" s="26" t="s">
        <v>27</v>
      </c>
      <c r="N1548" s="26" t="s">
        <v>28</v>
      </c>
      <c r="O1548" s="27">
        <v>30603</v>
      </c>
      <c r="P1548" s="26"/>
      <c r="Q1548" s="26"/>
      <c r="R1548" s="26">
        <v>0.1</v>
      </c>
      <c r="S1548" s="26" t="s">
        <v>29</v>
      </c>
    </row>
    <row r="1549" spans="1:19">
      <c r="A1549" s="26">
        <v>70617</v>
      </c>
      <c r="B1549" s="26" t="s">
        <v>87</v>
      </c>
      <c r="C1549" s="26" t="s">
        <v>30</v>
      </c>
      <c r="D1549" s="26" t="s">
        <v>21</v>
      </c>
      <c r="E1549" s="26"/>
      <c r="F1549" s="26" t="s">
        <v>1424</v>
      </c>
      <c r="G1549" s="26"/>
      <c r="H1549" s="26" t="s">
        <v>24</v>
      </c>
      <c r="I1549" s="26" t="s">
        <v>1425</v>
      </c>
      <c r="J1549" s="26" t="s">
        <v>25</v>
      </c>
      <c r="K1549" s="26" t="s">
        <v>25</v>
      </c>
      <c r="L1549" s="26" t="s">
        <v>26</v>
      </c>
      <c r="M1549" s="26" t="s">
        <v>27</v>
      </c>
      <c r="N1549" s="26" t="s">
        <v>28</v>
      </c>
      <c r="O1549" s="27">
        <v>31685</v>
      </c>
      <c r="P1549" s="26"/>
      <c r="Q1549" s="26"/>
      <c r="R1549" s="26">
        <v>0.15</v>
      </c>
      <c r="S1549" s="26" t="s">
        <v>29</v>
      </c>
    </row>
    <row r="1550" spans="1:19">
      <c r="A1550" s="26">
        <v>70609</v>
      </c>
      <c r="B1550" s="26" t="s">
        <v>87</v>
      </c>
      <c r="C1550" s="26" t="s">
        <v>30</v>
      </c>
      <c r="D1550" s="26" t="s">
        <v>21</v>
      </c>
      <c r="E1550" s="26"/>
      <c r="F1550" s="26" t="s">
        <v>1396</v>
      </c>
      <c r="G1550" s="26">
        <v>1</v>
      </c>
      <c r="H1550" s="26" t="s">
        <v>24</v>
      </c>
      <c r="I1550" s="26" t="s">
        <v>1397</v>
      </c>
      <c r="J1550" s="26" t="s">
        <v>25</v>
      </c>
      <c r="K1550" s="26" t="s">
        <v>25</v>
      </c>
      <c r="L1550" s="26" t="s">
        <v>26</v>
      </c>
      <c r="M1550" s="26" t="s">
        <v>27</v>
      </c>
      <c r="N1550" s="26" t="s">
        <v>28</v>
      </c>
      <c r="O1550" s="27">
        <v>31554</v>
      </c>
      <c r="P1550" s="26"/>
      <c r="Q1550" s="26"/>
      <c r="R1550" s="26">
        <v>0.99</v>
      </c>
      <c r="S1550" s="26" t="s">
        <v>29</v>
      </c>
    </row>
    <row r="1551" spans="1:19" ht="29.25">
      <c r="A1551" s="24">
        <v>70800</v>
      </c>
      <c r="B1551" s="24" t="s">
        <v>87</v>
      </c>
      <c r="C1551" s="24" t="s">
        <v>30</v>
      </c>
      <c r="D1551" s="24" t="s">
        <v>30</v>
      </c>
      <c r="E1551" s="24" t="s">
        <v>810</v>
      </c>
      <c r="F1551" s="24" t="s">
        <v>811</v>
      </c>
      <c r="G1551" s="24">
        <v>5</v>
      </c>
      <c r="H1551" s="24" t="s">
        <v>24</v>
      </c>
      <c r="I1551" s="24" t="s">
        <v>90</v>
      </c>
      <c r="J1551" s="24" t="s">
        <v>25</v>
      </c>
      <c r="K1551" s="24" t="s">
        <v>25</v>
      </c>
      <c r="L1551" s="24" t="s">
        <v>26</v>
      </c>
      <c r="M1551" s="24" t="s">
        <v>27</v>
      </c>
      <c r="N1551" s="24" t="s">
        <v>28</v>
      </c>
      <c r="O1551" s="25">
        <v>29952</v>
      </c>
      <c r="P1551" s="24"/>
      <c r="Q1551" s="24"/>
      <c r="R1551" s="24">
        <v>2.46</v>
      </c>
      <c r="S1551" s="24" t="s">
        <v>29</v>
      </c>
    </row>
    <row r="1552" spans="1:19">
      <c r="A1552" s="26">
        <v>70801</v>
      </c>
      <c r="B1552" s="26" t="s">
        <v>87</v>
      </c>
      <c r="C1552" s="26" t="s">
        <v>30</v>
      </c>
      <c r="D1552" s="26" t="s">
        <v>21</v>
      </c>
      <c r="E1552" s="26"/>
      <c r="F1552" s="26" t="s">
        <v>1379</v>
      </c>
      <c r="G1552" s="26"/>
      <c r="H1552" s="26" t="s">
        <v>24</v>
      </c>
      <c r="I1552" s="26" t="s">
        <v>1380</v>
      </c>
      <c r="J1552" s="26" t="s">
        <v>25</v>
      </c>
      <c r="K1552" s="26" t="s">
        <v>25</v>
      </c>
      <c r="L1552" s="26" t="s">
        <v>26</v>
      </c>
      <c r="M1552" s="26" t="s">
        <v>27</v>
      </c>
      <c r="N1552" s="26" t="s">
        <v>28</v>
      </c>
      <c r="O1552" s="27">
        <v>31517</v>
      </c>
      <c r="P1552" s="26"/>
      <c r="Q1552" s="26"/>
      <c r="R1552" s="26">
        <v>0.09</v>
      </c>
      <c r="S1552" s="26" t="s">
        <v>29</v>
      </c>
    </row>
    <row r="1553" spans="1:19">
      <c r="A1553" s="26">
        <v>70802</v>
      </c>
      <c r="B1553" s="26" t="s">
        <v>87</v>
      </c>
      <c r="C1553" s="26" t="s">
        <v>30</v>
      </c>
      <c r="D1553" s="26" t="s">
        <v>21</v>
      </c>
      <c r="E1553" s="26"/>
      <c r="F1553" s="26" t="s">
        <v>1381</v>
      </c>
      <c r="G1553" s="26"/>
      <c r="H1553" s="26" t="s">
        <v>24</v>
      </c>
      <c r="I1553" s="26" t="s">
        <v>1382</v>
      </c>
      <c r="J1553" s="26" t="s">
        <v>25</v>
      </c>
      <c r="K1553" s="26" t="s">
        <v>25</v>
      </c>
      <c r="L1553" s="26" t="s">
        <v>26</v>
      </c>
      <c r="M1553" s="26" t="s">
        <v>27</v>
      </c>
      <c r="N1553" s="26" t="s">
        <v>28</v>
      </c>
      <c r="O1553" s="27">
        <v>31517</v>
      </c>
      <c r="P1553" s="26"/>
      <c r="Q1553" s="26"/>
      <c r="R1553" s="26">
        <v>0.09</v>
      </c>
      <c r="S1553" s="26" t="s">
        <v>29</v>
      </c>
    </row>
    <row r="1554" spans="1:19">
      <c r="A1554" s="26">
        <v>70803</v>
      </c>
      <c r="B1554" s="26" t="s">
        <v>87</v>
      </c>
      <c r="C1554" s="26" t="s">
        <v>30</v>
      </c>
      <c r="D1554" s="26" t="s">
        <v>21</v>
      </c>
      <c r="E1554" s="26"/>
      <c r="F1554" s="26" t="s">
        <v>1383</v>
      </c>
      <c r="G1554" s="26"/>
      <c r="H1554" s="26" t="s">
        <v>24</v>
      </c>
      <c r="I1554" s="26" t="s">
        <v>1384</v>
      </c>
      <c r="J1554" s="26" t="s">
        <v>25</v>
      </c>
      <c r="K1554" s="26" t="s">
        <v>25</v>
      </c>
      <c r="L1554" s="26" t="s">
        <v>26</v>
      </c>
      <c r="M1554" s="26" t="s">
        <v>27</v>
      </c>
      <c r="N1554" s="26" t="s">
        <v>28</v>
      </c>
      <c r="O1554" s="27">
        <v>31517</v>
      </c>
      <c r="P1554" s="26"/>
      <c r="Q1554" s="26"/>
      <c r="R1554" s="26">
        <v>0.09</v>
      </c>
      <c r="S1554" s="26" t="s">
        <v>29</v>
      </c>
    </row>
    <row r="1555" spans="1:19" ht="29.25">
      <c r="A1555" s="26">
        <v>70805</v>
      </c>
      <c r="B1555" s="26" t="s">
        <v>87</v>
      </c>
      <c r="C1555" s="26" t="s">
        <v>30</v>
      </c>
      <c r="D1555" s="26" t="s">
        <v>21</v>
      </c>
      <c r="E1555" s="26"/>
      <c r="F1555" s="26" t="s">
        <v>1239</v>
      </c>
      <c r="G1555" s="26"/>
      <c r="H1555" s="26" t="s">
        <v>24</v>
      </c>
      <c r="I1555" s="26" t="s">
        <v>1240</v>
      </c>
      <c r="J1555" s="26" t="s">
        <v>788</v>
      </c>
      <c r="K1555" s="26"/>
      <c r="L1555" s="26"/>
      <c r="M1555" s="26" t="s">
        <v>27</v>
      </c>
      <c r="N1555" s="26" t="s">
        <v>28</v>
      </c>
      <c r="O1555" s="27">
        <v>31378</v>
      </c>
      <c r="P1555" s="26"/>
      <c r="Q1555" s="26"/>
      <c r="R1555" s="26">
        <v>0.8</v>
      </c>
      <c r="S1555" s="26" t="s">
        <v>29</v>
      </c>
    </row>
    <row r="1556" spans="1:19">
      <c r="A1556" s="26">
        <v>70806</v>
      </c>
      <c r="B1556" s="26" t="s">
        <v>87</v>
      </c>
      <c r="C1556" s="26" t="s">
        <v>30</v>
      </c>
      <c r="D1556" s="26" t="s">
        <v>21</v>
      </c>
      <c r="E1556" s="26"/>
      <c r="F1556" s="26" t="s">
        <v>1358</v>
      </c>
      <c r="G1556" s="26"/>
      <c r="H1556" s="26" t="s">
        <v>24</v>
      </c>
      <c r="I1556" s="26" t="s">
        <v>1359</v>
      </c>
      <c r="J1556" s="26" t="s">
        <v>25</v>
      </c>
      <c r="K1556" s="26" t="s">
        <v>25</v>
      </c>
      <c r="L1556" s="26" t="s">
        <v>26</v>
      </c>
      <c r="M1556" s="26" t="s">
        <v>27</v>
      </c>
      <c r="N1556" s="26" t="s">
        <v>28</v>
      </c>
      <c r="O1556" s="27">
        <v>31468</v>
      </c>
      <c r="P1556" s="26"/>
      <c r="Q1556" s="26"/>
      <c r="R1556" s="26">
        <v>0.7</v>
      </c>
      <c r="S1556" s="26" t="s">
        <v>29</v>
      </c>
    </row>
    <row r="1557" spans="1:19">
      <c r="A1557" s="26">
        <v>70807</v>
      </c>
      <c r="B1557" s="26" t="s">
        <v>87</v>
      </c>
      <c r="C1557" s="26" t="s">
        <v>30</v>
      </c>
      <c r="D1557" s="26" t="s">
        <v>21</v>
      </c>
      <c r="E1557" s="26"/>
      <c r="F1557" s="26" t="s">
        <v>1353</v>
      </c>
      <c r="G1557" s="26"/>
      <c r="H1557" s="26" t="s">
        <v>24</v>
      </c>
      <c r="I1557" s="26" t="s">
        <v>1354</v>
      </c>
      <c r="J1557" s="26" t="s">
        <v>25</v>
      </c>
      <c r="K1557" s="26" t="s">
        <v>25</v>
      </c>
      <c r="L1557" s="26" t="s">
        <v>26</v>
      </c>
      <c r="M1557" s="26" t="s">
        <v>27</v>
      </c>
      <c r="N1557" s="26" t="s">
        <v>28</v>
      </c>
      <c r="O1557" s="27">
        <v>31461</v>
      </c>
      <c r="P1557" s="26"/>
      <c r="Q1557" s="26"/>
      <c r="R1557" s="26">
        <v>0.23</v>
      </c>
      <c r="S1557" s="26" t="s">
        <v>29</v>
      </c>
    </row>
    <row r="1558" spans="1:19" ht="29.25">
      <c r="A1558" s="26">
        <v>70804</v>
      </c>
      <c r="B1558" s="26" t="s">
        <v>87</v>
      </c>
      <c r="C1558" s="26" t="s">
        <v>30</v>
      </c>
      <c r="D1558" s="26" t="s">
        <v>21</v>
      </c>
      <c r="E1558" s="26"/>
      <c r="F1558" s="26" t="s">
        <v>829</v>
      </c>
      <c r="G1558" s="26"/>
      <c r="H1558" s="26" t="s">
        <v>24</v>
      </c>
      <c r="I1558" s="26" t="s">
        <v>830</v>
      </c>
      <c r="J1558" s="26" t="s">
        <v>25</v>
      </c>
      <c r="K1558" s="26" t="s">
        <v>25</v>
      </c>
      <c r="L1558" s="26" t="s">
        <v>26</v>
      </c>
      <c r="M1558" s="26" t="s">
        <v>27</v>
      </c>
      <c r="N1558" s="26" t="s">
        <v>28</v>
      </c>
      <c r="O1558" s="27">
        <v>30195</v>
      </c>
      <c r="P1558" s="26"/>
      <c r="Q1558" s="26"/>
      <c r="R1558" s="26">
        <v>0.46</v>
      </c>
      <c r="S1558" s="26" t="s">
        <v>29</v>
      </c>
    </row>
    <row r="1559" spans="1:19" ht="29.25">
      <c r="A1559" s="28">
        <v>70900</v>
      </c>
      <c r="B1559" s="28" t="s">
        <v>87</v>
      </c>
      <c r="C1559" s="28" t="s">
        <v>30</v>
      </c>
      <c r="D1559" s="28" t="s">
        <v>21</v>
      </c>
      <c r="E1559" s="28" t="s">
        <v>1797</v>
      </c>
      <c r="F1559" s="28" t="s">
        <v>1798</v>
      </c>
      <c r="G1559" s="28">
        <v>39.700000000000003</v>
      </c>
      <c r="H1559" s="28" t="s">
        <v>24</v>
      </c>
      <c r="I1559" s="28" t="s">
        <v>1799</v>
      </c>
      <c r="J1559" s="28" t="s">
        <v>694</v>
      </c>
      <c r="K1559" s="28" t="s">
        <v>580</v>
      </c>
      <c r="L1559" s="28" t="s">
        <v>240</v>
      </c>
      <c r="M1559" s="28" t="s">
        <v>193</v>
      </c>
      <c r="N1559" s="28" t="s">
        <v>194</v>
      </c>
      <c r="O1559" s="29">
        <v>32539</v>
      </c>
      <c r="P1559" s="28"/>
      <c r="Q1559" s="28"/>
      <c r="R1559" s="28">
        <v>39.700000000000003</v>
      </c>
      <c r="S1559" s="28" t="s">
        <v>29</v>
      </c>
    </row>
    <row r="1560" spans="1:19" ht="29.25">
      <c r="A1560" s="24">
        <v>71300</v>
      </c>
      <c r="B1560" s="24" t="s">
        <v>87</v>
      </c>
      <c r="C1560" s="24" t="s">
        <v>30</v>
      </c>
      <c r="D1560" s="24" t="s">
        <v>30</v>
      </c>
      <c r="E1560" s="24" t="s">
        <v>1319</v>
      </c>
      <c r="F1560" s="24" t="s">
        <v>1320</v>
      </c>
      <c r="G1560" s="24">
        <v>19.100000000000001</v>
      </c>
      <c r="H1560" s="24" t="s">
        <v>24</v>
      </c>
      <c r="I1560" s="24" t="s">
        <v>1321</v>
      </c>
      <c r="J1560" s="24" t="s">
        <v>694</v>
      </c>
      <c r="K1560" s="24"/>
      <c r="L1560" s="24" t="s">
        <v>240</v>
      </c>
      <c r="M1560" s="24" t="s">
        <v>193</v>
      </c>
      <c r="N1560" s="24" t="s">
        <v>194</v>
      </c>
      <c r="O1560" s="25">
        <v>31413</v>
      </c>
      <c r="P1560" s="24" t="s">
        <v>1322</v>
      </c>
      <c r="Q1560" s="24"/>
      <c r="R1560" s="24">
        <v>14.9</v>
      </c>
      <c r="S1560" s="24" t="s">
        <v>29</v>
      </c>
    </row>
    <row r="1561" spans="1:19" ht="29.25">
      <c r="A1561" s="26">
        <v>71303</v>
      </c>
      <c r="B1561" s="26" t="s">
        <v>87</v>
      </c>
      <c r="C1561" s="26" t="s">
        <v>30</v>
      </c>
      <c r="D1561" s="26" t="s">
        <v>21</v>
      </c>
      <c r="E1561" s="26"/>
      <c r="F1561" s="26" t="s">
        <v>1532</v>
      </c>
      <c r="G1561" s="26"/>
      <c r="H1561" s="26" t="s">
        <v>24</v>
      </c>
      <c r="I1561" s="26" t="s">
        <v>1533</v>
      </c>
      <c r="J1561" s="26" t="s">
        <v>694</v>
      </c>
      <c r="K1561" s="26"/>
      <c r="L1561" s="26" t="s">
        <v>240</v>
      </c>
      <c r="M1561" s="26" t="s">
        <v>193</v>
      </c>
      <c r="N1561" s="26" t="s">
        <v>28</v>
      </c>
      <c r="O1561" s="27">
        <v>31834</v>
      </c>
      <c r="P1561" s="26"/>
      <c r="Q1561" s="26"/>
      <c r="R1561" s="26">
        <v>7.45</v>
      </c>
      <c r="S1561" s="26" t="s">
        <v>29</v>
      </c>
    </row>
    <row r="1562" spans="1:19" ht="29.25">
      <c r="A1562" s="26">
        <v>71301</v>
      </c>
      <c r="B1562" s="26" t="s">
        <v>87</v>
      </c>
      <c r="C1562" s="26" t="s">
        <v>30</v>
      </c>
      <c r="D1562" s="26" t="s">
        <v>21</v>
      </c>
      <c r="E1562" s="26"/>
      <c r="F1562" s="26" t="s">
        <v>1407</v>
      </c>
      <c r="G1562" s="26"/>
      <c r="H1562" s="26" t="s">
        <v>24</v>
      </c>
      <c r="I1562" s="26" t="s">
        <v>1408</v>
      </c>
      <c r="J1562" s="26" t="s">
        <v>694</v>
      </c>
      <c r="K1562" s="26"/>
      <c r="L1562" s="26" t="s">
        <v>240</v>
      </c>
      <c r="M1562" s="26" t="s">
        <v>193</v>
      </c>
      <c r="N1562" s="26" t="s">
        <v>28</v>
      </c>
      <c r="O1562" s="27">
        <v>31588</v>
      </c>
      <c r="P1562" s="26"/>
      <c r="Q1562" s="26"/>
      <c r="R1562" s="26">
        <v>7.45</v>
      </c>
      <c r="S1562" s="26" t="s">
        <v>29</v>
      </c>
    </row>
    <row r="1563" spans="1:19">
      <c r="A1563" s="28">
        <v>71700</v>
      </c>
      <c r="B1563" s="28" t="s">
        <v>87</v>
      </c>
      <c r="C1563" s="28" t="s">
        <v>30</v>
      </c>
      <c r="D1563" s="28" t="s">
        <v>21</v>
      </c>
      <c r="E1563" s="28" t="s">
        <v>2012</v>
      </c>
      <c r="F1563" s="28" t="s">
        <v>2013</v>
      </c>
      <c r="G1563" s="28">
        <v>24.2</v>
      </c>
      <c r="H1563" s="28" t="s">
        <v>24</v>
      </c>
      <c r="I1563" s="28" t="s">
        <v>2014</v>
      </c>
      <c r="J1563" s="28" t="s">
        <v>788</v>
      </c>
      <c r="K1563" s="28" t="s">
        <v>366</v>
      </c>
      <c r="L1563" s="28" t="s">
        <v>789</v>
      </c>
      <c r="M1563" s="28" t="s">
        <v>27</v>
      </c>
      <c r="N1563" s="28" t="s">
        <v>28</v>
      </c>
      <c r="O1563" s="29">
        <v>32989</v>
      </c>
      <c r="P1563" s="28"/>
      <c r="Q1563" s="28"/>
      <c r="R1563" s="28">
        <v>24.2</v>
      </c>
      <c r="S1563" s="28" t="s">
        <v>29</v>
      </c>
    </row>
    <row r="1564" spans="1:19">
      <c r="A1564" s="28">
        <v>82300</v>
      </c>
      <c r="B1564" s="28" t="s">
        <v>87</v>
      </c>
      <c r="C1564" s="28" t="s">
        <v>21</v>
      </c>
      <c r="D1564" s="28" t="s">
        <v>21</v>
      </c>
      <c r="E1564" s="28" t="s">
        <v>2559</v>
      </c>
      <c r="F1564" s="28" t="s">
        <v>2560</v>
      </c>
      <c r="G1564" s="28">
        <v>47</v>
      </c>
      <c r="H1564" s="28" t="s">
        <v>5</v>
      </c>
      <c r="I1564" s="28" t="s">
        <v>2561</v>
      </c>
      <c r="J1564" s="28" t="s">
        <v>295</v>
      </c>
      <c r="K1564" s="28" t="s">
        <v>580</v>
      </c>
      <c r="L1564" s="28" t="s">
        <v>240</v>
      </c>
      <c r="M1564" s="28" t="s">
        <v>38</v>
      </c>
      <c r="N1564" s="28" t="s">
        <v>39</v>
      </c>
      <c r="O1564" s="29">
        <v>37610</v>
      </c>
      <c r="P1564" s="28" t="s">
        <v>1887</v>
      </c>
      <c r="Q1564" s="28"/>
      <c r="R1564" s="28">
        <v>47</v>
      </c>
      <c r="S1564" s="28" t="s">
        <v>29</v>
      </c>
    </row>
    <row r="1565" spans="1:19" ht="29.25">
      <c r="A1565" s="28">
        <v>71900</v>
      </c>
      <c r="B1565" s="28" t="s">
        <v>87</v>
      </c>
      <c r="C1565" s="28" t="s">
        <v>30</v>
      </c>
      <c r="D1565" s="28" t="s">
        <v>21</v>
      </c>
      <c r="E1565" s="28" t="s">
        <v>1335</v>
      </c>
      <c r="F1565" s="28" t="s">
        <v>1336</v>
      </c>
      <c r="G1565" s="28">
        <v>5</v>
      </c>
      <c r="H1565" s="28" t="s">
        <v>24</v>
      </c>
      <c r="I1565" s="28" t="s">
        <v>1337</v>
      </c>
      <c r="J1565" s="28" t="s">
        <v>25</v>
      </c>
      <c r="K1565" s="28" t="s">
        <v>25</v>
      </c>
      <c r="L1565" s="28" t="s">
        <v>26</v>
      </c>
      <c r="M1565" s="28" t="s">
        <v>27</v>
      </c>
      <c r="N1565" s="28" t="s">
        <v>28</v>
      </c>
      <c r="O1565" s="29">
        <v>31427</v>
      </c>
      <c r="P1565" s="28"/>
      <c r="Q1565" s="28"/>
      <c r="R1565" s="28">
        <v>5</v>
      </c>
      <c r="S1565" s="28" t="s">
        <v>29</v>
      </c>
    </row>
    <row r="1566" spans="1:19" ht="29.25">
      <c r="A1566" s="24">
        <v>72000</v>
      </c>
      <c r="B1566" s="24" t="s">
        <v>87</v>
      </c>
      <c r="C1566" s="24" t="s">
        <v>30</v>
      </c>
      <c r="D1566" s="24" t="s">
        <v>30</v>
      </c>
      <c r="E1566" s="24" t="s">
        <v>1554</v>
      </c>
      <c r="F1566" s="24" t="s">
        <v>1555</v>
      </c>
      <c r="G1566" s="24">
        <v>57.3</v>
      </c>
      <c r="H1566" s="24" t="s">
        <v>24</v>
      </c>
      <c r="I1566" s="24" t="s">
        <v>1556</v>
      </c>
      <c r="J1566" s="24" t="s">
        <v>694</v>
      </c>
      <c r="K1566" s="24"/>
      <c r="L1566" s="24" t="s">
        <v>240</v>
      </c>
      <c r="M1566" s="24" t="s">
        <v>27</v>
      </c>
      <c r="N1566" s="24" t="s">
        <v>28</v>
      </c>
      <c r="O1566" s="25">
        <v>31918</v>
      </c>
      <c r="P1566" s="24"/>
      <c r="Q1566" s="24"/>
      <c r="R1566" s="24">
        <v>64.8</v>
      </c>
      <c r="S1566" s="24" t="s">
        <v>29</v>
      </c>
    </row>
    <row r="1567" spans="1:19">
      <c r="A1567" s="26">
        <v>72001</v>
      </c>
      <c r="B1567" s="26" t="s">
        <v>87</v>
      </c>
      <c r="C1567" s="26" t="s">
        <v>30</v>
      </c>
      <c r="D1567" s="26" t="s">
        <v>21</v>
      </c>
      <c r="E1567" s="26" t="s">
        <v>1557</v>
      </c>
      <c r="F1567" s="26" t="s">
        <v>1558</v>
      </c>
      <c r="G1567" s="26"/>
      <c r="H1567" s="26" t="s">
        <v>24</v>
      </c>
      <c r="I1567" s="26" t="s">
        <v>1559</v>
      </c>
      <c r="J1567" s="26" t="s">
        <v>694</v>
      </c>
      <c r="K1567" s="26"/>
      <c r="L1567" s="26" t="s">
        <v>240</v>
      </c>
      <c r="M1567" s="26" t="s">
        <v>27</v>
      </c>
      <c r="N1567" s="26" t="s">
        <v>28</v>
      </c>
      <c r="O1567" s="27">
        <v>31918</v>
      </c>
      <c r="P1567" s="26"/>
      <c r="Q1567" s="26"/>
      <c r="R1567" s="26">
        <v>21.6</v>
      </c>
      <c r="S1567" s="26" t="s">
        <v>29</v>
      </c>
    </row>
    <row r="1568" spans="1:19">
      <c r="A1568" s="26">
        <v>72002</v>
      </c>
      <c r="B1568" s="26" t="s">
        <v>87</v>
      </c>
      <c r="C1568" s="26" t="s">
        <v>30</v>
      </c>
      <c r="D1568" s="26" t="s">
        <v>21</v>
      </c>
      <c r="E1568" s="26" t="s">
        <v>1560</v>
      </c>
      <c r="F1568" s="26" t="s">
        <v>1561</v>
      </c>
      <c r="G1568" s="26"/>
      <c r="H1568" s="26" t="s">
        <v>24</v>
      </c>
      <c r="I1568" s="26" t="s">
        <v>1559</v>
      </c>
      <c r="J1568" s="26" t="s">
        <v>694</v>
      </c>
      <c r="K1568" s="26"/>
      <c r="L1568" s="26" t="s">
        <v>240</v>
      </c>
      <c r="M1568" s="26" t="s">
        <v>27</v>
      </c>
      <c r="N1568" s="26" t="s">
        <v>28</v>
      </c>
      <c r="O1568" s="27">
        <v>31918</v>
      </c>
      <c r="P1568" s="26"/>
      <c r="Q1568" s="26"/>
      <c r="R1568" s="26">
        <v>21.6</v>
      </c>
      <c r="S1568" s="26" t="s">
        <v>29</v>
      </c>
    </row>
    <row r="1569" spans="1:19">
      <c r="A1569" s="26">
        <v>72003</v>
      </c>
      <c r="B1569" s="26" t="s">
        <v>87</v>
      </c>
      <c r="C1569" s="26" t="s">
        <v>30</v>
      </c>
      <c r="D1569" s="26" t="s">
        <v>21</v>
      </c>
      <c r="E1569" s="26" t="s">
        <v>1562</v>
      </c>
      <c r="F1569" s="26" t="s">
        <v>1563</v>
      </c>
      <c r="G1569" s="26"/>
      <c r="H1569" s="26" t="s">
        <v>24</v>
      </c>
      <c r="I1569" s="26" t="s">
        <v>1559</v>
      </c>
      <c r="J1569" s="26" t="s">
        <v>694</v>
      </c>
      <c r="K1569" s="26"/>
      <c r="L1569" s="26" t="s">
        <v>240</v>
      </c>
      <c r="M1569" s="26" t="s">
        <v>27</v>
      </c>
      <c r="N1569" s="26" t="s">
        <v>28</v>
      </c>
      <c r="O1569" s="27">
        <v>31918</v>
      </c>
      <c r="P1569" s="26"/>
      <c r="Q1569" s="26"/>
      <c r="R1569" s="26">
        <v>21.6</v>
      </c>
      <c r="S1569" s="26" t="s">
        <v>29</v>
      </c>
    </row>
    <row r="1570" spans="1:19" ht="29.25">
      <c r="A1570" s="24">
        <v>90000</v>
      </c>
      <c r="B1570" s="24" t="s">
        <v>87</v>
      </c>
      <c r="C1570" s="24" t="s">
        <v>30</v>
      </c>
      <c r="D1570" s="24" t="s">
        <v>30</v>
      </c>
      <c r="E1570" s="24" t="s">
        <v>1324</v>
      </c>
      <c r="F1570" s="24" t="s">
        <v>1325</v>
      </c>
      <c r="G1570" s="24">
        <v>69.099999999999994</v>
      </c>
      <c r="H1570" s="24" t="s">
        <v>24</v>
      </c>
      <c r="I1570" s="24" t="s">
        <v>90</v>
      </c>
      <c r="J1570" s="24" t="s">
        <v>781</v>
      </c>
      <c r="K1570" s="24" t="s">
        <v>781</v>
      </c>
      <c r="L1570" s="24" t="s">
        <v>781</v>
      </c>
      <c r="M1570" s="24" t="s">
        <v>27</v>
      </c>
      <c r="N1570" s="24" t="s">
        <v>28</v>
      </c>
      <c r="O1570" s="25">
        <v>31416</v>
      </c>
      <c r="P1570" s="24"/>
      <c r="Q1570" s="24"/>
      <c r="R1570" s="24">
        <v>69.099999999999994</v>
      </c>
      <c r="S1570" s="24" t="s">
        <v>29</v>
      </c>
    </row>
    <row r="1571" spans="1:19">
      <c r="A1571" s="26">
        <v>60400</v>
      </c>
      <c r="B1571" s="26" t="s">
        <v>87</v>
      </c>
      <c r="C1571" s="26" t="s">
        <v>30</v>
      </c>
      <c r="D1571" s="26" t="s">
        <v>21</v>
      </c>
      <c r="E1571" s="26"/>
      <c r="F1571" s="26" t="s">
        <v>1328</v>
      </c>
      <c r="G1571" s="26"/>
      <c r="H1571" s="26" t="s">
        <v>24</v>
      </c>
      <c r="I1571" s="26" t="s">
        <v>1329</v>
      </c>
      <c r="J1571" s="26" t="s">
        <v>781</v>
      </c>
      <c r="K1571" s="26" t="s">
        <v>781</v>
      </c>
      <c r="L1571" s="26" t="s">
        <v>781</v>
      </c>
      <c r="M1571" s="26" t="s">
        <v>27</v>
      </c>
      <c r="N1571" s="26" t="s">
        <v>28</v>
      </c>
      <c r="O1571" s="27">
        <v>31416</v>
      </c>
      <c r="P1571" s="26"/>
      <c r="Q1571" s="26"/>
      <c r="R1571" s="26">
        <v>31.1</v>
      </c>
      <c r="S1571" s="26" t="s">
        <v>29</v>
      </c>
    </row>
    <row r="1572" spans="1:19" ht="29.25">
      <c r="A1572" s="26">
        <v>72100</v>
      </c>
      <c r="B1572" s="26" t="s">
        <v>87</v>
      </c>
      <c r="C1572" s="26" t="s">
        <v>30</v>
      </c>
      <c r="D1572" s="26" t="s">
        <v>21</v>
      </c>
      <c r="E1572" s="26"/>
      <c r="F1572" s="26" t="s">
        <v>1326</v>
      </c>
      <c r="G1572" s="26"/>
      <c r="H1572" s="26" t="s">
        <v>24</v>
      </c>
      <c r="I1572" s="26" t="s">
        <v>1327</v>
      </c>
      <c r="J1572" s="26" t="s">
        <v>781</v>
      </c>
      <c r="K1572" s="26" t="s">
        <v>781</v>
      </c>
      <c r="L1572" s="26" t="s">
        <v>781</v>
      </c>
      <c r="M1572" s="26" t="s">
        <v>27</v>
      </c>
      <c r="N1572" s="26" t="s">
        <v>28</v>
      </c>
      <c r="O1572" s="27">
        <v>31416</v>
      </c>
      <c r="P1572" s="26"/>
      <c r="Q1572" s="26"/>
      <c r="R1572" s="26">
        <v>38</v>
      </c>
      <c r="S1572" s="26" t="s">
        <v>29</v>
      </c>
    </row>
    <row r="1573" spans="1:19" ht="29.25">
      <c r="A1573" s="28">
        <v>72200</v>
      </c>
      <c r="B1573" s="28" t="s">
        <v>87</v>
      </c>
      <c r="C1573" s="28" t="s">
        <v>30</v>
      </c>
      <c r="D1573" s="28" t="s">
        <v>21</v>
      </c>
      <c r="E1573" s="28" t="s">
        <v>1058</v>
      </c>
      <c r="F1573" s="28" t="s">
        <v>1059</v>
      </c>
      <c r="G1573" s="28">
        <v>48.2</v>
      </c>
      <c r="H1573" s="28" t="s">
        <v>5</v>
      </c>
      <c r="I1573" s="28">
        <v>2019</v>
      </c>
      <c r="J1573" s="28" t="s">
        <v>694</v>
      </c>
      <c r="K1573" s="28" t="s">
        <v>580</v>
      </c>
      <c r="L1573" s="28" t="s">
        <v>240</v>
      </c>
      <c r="M1573" s="28" t="s">
        <v>38</v>
      </c>
      <c r="N1573" s="28" t="s">
        <v>39</v>
      </c>
      <c r="O1573" s="29">
        <v>30834</v>
      </c>
      <c r="P1573" s="28"/>
      <c r="Q1573" s="28"/>
      <c r="R1573" s="28">
        <v>22</v>
      </c>
      <c r="S1573" s="28" t="s">
        <v>29</v>
      </c>
    </row>
    <row r="1574" spans="1:19">
      <c r="A1574" s="28">
        <v>89400</v>
      </c>
      <c r="B1574" s="28" t="s">
        <v>87</v>
      </c>
      <c r="C1574" s="28" t="s">
        <v>30</v>
      </c>
      <c r="D1574" s="28" t="s">
        <v>21</v>
      </c>
      <c r="E1574" s="28"/>
      <c r="F1574" s="28" t="s">
        <v>3307</v>
      </c>
      <c r="G1574" s="28">
        <v>0</v>
      </c>
      <c r="H1574" s="28" t="s">
        <v>24</v>
      </c>
      <c r="I1574" s="28" t="s">
        <v>3308</v>
      </c>
      <c r="J1574" s="28" t="s">
        <v>365</v>
      </c>
      <c r="K1574" s="28" t="s">
        <v>366</v>
      </c>
      <c r="L1574" s="28" t="s">
        <v>1169</v>
      </c>
      <c r="M1574" s="28" t="s">
        <v>193</v>
      </c>
      <c r="N1574" s="28" t="s">
        <v>194</v>
      </c>
      <c r="O1574" s="28" t="s">
        <v>4687</v>
      </c>
      <c r="P1574" s="28" t="s">
        <v>1887</v>
      </c>
      <c r="Q1574" s="28"/>
      <c r="R1574" s="28">
        <v>5.8</v>
      </c>
      <c r="S1574" s="28" t="s">
        <v>29</v>
      </c>
    </row>
    <row r="1575" spans="1:19" ht="29.25">
      <c r="A1575" s="28">
        <v>57421</v>
      </c>
      <c r="B1575" s="28" t="s">
        <v>87</v>
      </c>
      <c r="C1575" s="28" t="s">
        <v>30</v>
      </c>
      <c r="D1575" s="28" t="s">
        <v>21</v>
      </c>
      <c r="E1575" s="28" t="s">
        <v>1781</v>
      </c>
      <c r="F1575" s="28" t="s">
        <v>1782</v>
      </c>
      <c r="G1575" s="28">
        <v>0</v>
      </c>
      <c r="H1575" s="28" t="s">
        <v>143</v>
      </c>
      <c r="I1575" s="28">
        <v>35</v>
      </c>
      <c r="J1575" s="28" t="s">
        <v>694</v>
      </c>
      <c r="K1575" s="28"/>
      <c r="L1575" s="28" t="s">
        <v>240</v>
      </c>
      <c r="M1575" s="28" t="s">
        <v>38</v>
      </c>
      <c r="N1575" s="28" t="s">
        <v>144</v>
      </c>
      <c r="O1575" s="29">
        <v>32509</v>
      </c>
      <c r="P1575" s="28" t="s">
        <v>1495</v>
      </c>
      <c r="Q1575" s="28"/>
      <c r="R1575" s="28">
        <v>3.1</v>
      </c>
      <c r="S1575" s="28" t="s">
        <v>29</v>
      </c>
    </row>
    <row r="1576" spans="1:19">
      <c r="A1576" s="28">
        <v>72400</v>
      </c>
      <c r="B1576" s="28" t="s">
        <v>87</v>
      </c>
      <c r="C1576" s="28" t="s">
        <v>30</v>
      </c>
      <c r="D1576" s="28" t="s">
        <v>21</v>
      </c>
      <c r="E1576" s="28" t="s">
        <v>1417</v>
      </c>
      <c r="F1576" s="28" t="s">
        <v>1418</v>
      </c>
      <c r="G1576" s="28">
        <v>34.5</v>
      </c>
      <c r="H1576" s="28" t="s">
        <v>24</v>
      </c>
      <c r="I1576" s="28" t="s">
        <v>1419</v>
      </c>
      <c r="J1576" s="28" t="s">
        <v>694</v>
      </c>
      <c r="K1576" s="28" t="s">
        <v>580</v>
      </c>
      <c r="L1576" s="28" t="s">
        <v>240</v>
      </c>
      <c r="M1576" s="28" t="s">
        <v>27</v>
      </c>
      <c r="N1576" s="28" t="s">
        <v>1420</v>
      </c>
      <c r="O1576" s="29">
        <v>31667</v>
      </c>
      <c r="P1576" s="28"/>
      <c r="Q1576" s="28"/>
      <c r="R1576" s="28">
        <v>34.5</v>
      </c>
      <c r="S1576" s="28" t="s">
        <v>29</v>
      </c>
    </row>
    <row r="1577" spans="1:19" ht="29.25">
      <c r="A1577" s="28">
        <v>72500</v>
      </c>
      <c r="B1577" s="28" t="s">
        <v>87</v>
      </c>
      <c r="C1577" s="28" t="s">
        <v>30</v>
      </c>
      <c r="D1577" s="28" t="s">
        <v>21</v>
      </c>
      <c r="E1577" s="28" t="s">
        <v>2300</v>
      </c>
      <c r="F1577" s="28" t="s">
        <v>2301</v>
      </c>
      <c r="G1577" s="28">
        <v>0</v>
      </c>
      <c r="H1577" s="28" t="s">
        <v>143</v>
      </c>
      <c r="I1577" s="28">
        <v>470</v>
      </c>
      <c r="J1577" s="28" t="s">
        <v>694</v>
      </c>
      <c r="K1577" s="28" t="s">
        <v>580</v>
      </c>
      <c r="L1577" s="28" t="s">
        <v>240</v>
      </c>
      <c r="M1577" s="28" t="s">
        <v>38</v>
      </c>
      <c r="N1577" s="28" t="s">
        <v>144</v>
      </c>
      <c r="O1577" s="29">
        <v>36892</v>
      </c>
      <c r="P1577" s="28" t="s">
        <v>1495</v>
      </c>
      <c r="Q1577" s="28"/>
      <c r="R1577" s="28">
        <v>15.3</v>
      </c>
      <c r="S1577" s="28" t="s">
        <v>29</v>
      </c>
    </row>
    <row r="1578" spans="1:19" ht="29.25">
      <c r="A1578" s="28">
        <v>72600</v>
      </c>
      <c r="B1578" s="28" t="s">
        <v>87</v>
      </c>
      <c r="C1578" s="28" t="s">
        <v>30</v>
      </c>
      <c r="D1578" s="28" t="s">
        <v>21</v>
      </c>
      <c r="E1578" s="28" t="s">
        <v>2302</v>
      </c>
      <c r="F1578" s="28" t="s">
        <v>2303</v>
      </c>
      <c r="G1578" s="28">
        <v>0</v>
      </c>
      <c r="H1578" s="28" t="s">
        <v>143</v>
      </c>
      <c r="I1578" s="28">
        <v>470</v>
      </c>
      <c r="J1578" s="28" t="s">
        <v>694</v>
      </c>
      <c r="K1578" s="28" t="s">
        <v>580</v>
      </c>
      <c r="L1578" s="28" t="s">
        <v>240</v>
      </c>
      <c r="M1578" s="28" t="s">
        <v>38</v>
      </c>
      <c r="N1578" s="28" t="s">
        <v>144</v>
      </c>
      <c r="O1578" s="29">
        <v>36892</v>
      </c>
      <c r="P1578" s="28" t="s">
        <v>1495</v>
      </c>
      <c r="Q1578" s="28"/>
      <c r="R1578" s="28">
        <v>15.3</v>
      </c>
      <c r="S1578" s="28" t="s">
        <v>29</v>
      </c>
    </row>
    <row r="1579" spans="1:19" ht="29.25">
      <c r="A1579" s="24">
        <v>73000</v>
      </c>
      <c r="B1579" s="24" t="s">
        <v>87</v>
      </c>
      <c r="C1579" s="24" t="s">
        <v>30</v>
      </c>
      <c r="D1579" s="24" t="s">
        <v>30</v>
      </c>
      <c r="E1579" s="24" t="s">
        <v>898</v>
      </c>
      <c r="F1579" s="24" t="s">
        <v>899</v>
      </c>
      <c r="G1579" s="24">
        <v>1</v>
      </c>
      <c r="H1579" s="24" t="s">
        <v>24</v>
      </c>
      <c r="I1579" s="24" t="s">
        <v>90</v>
      </c>
      <c r="J1579" s="24" t="s">
        <v>781</v>
      </c>
      <c r="K1579" s="24" t="s">
        <v>781</v>
      </c>
      <c r="L1579" s="24" t="s">
        <v>781</v>
      </c>
      <c r="M1579" s="24" t="s">
        <v>27</v>
      </c>
      <c r="N1579" s="24" t="s">
        <v>28</v>
      </c>
      <c r="O1579" s="25">
        <v>30317</v>
      </c>
      <c r="P1579" s="24"/>
      <c r="Q1579" s="24"/>
      <c r="R1579" s="24">
        <v>1</v>
      </c>
      <c r="S1579" s="24" t="s">
        <v>29</v>
      </c>
    </row>
    <row r="1580" spans="1:19">
      <c r="A1580" s="26">
        <v>73006</v>
      </c>
      <c r="B1580" s="26" t="s">
        <v>87</v>
      </c>
      <c r="C1580" s="26" t="s">
        <v>30</v>
      </c>
      <c r="D1580" s="26" t="s">
        <v>21</v>
      </c>
      <c r="E1580" s="26"/>
      <c r="F1580" s="26" t="s">
        <v>3309</v>
      </c>
      <c r="G1580" s="26"/>
      <c r="H1580" s="26" t="s">
        <v>24</v>
      </c>
      <c r="I1580" s="26" t="s">
        <v>3310</v>
      </c>
      <c r="J1580" s="26" t="s">
        <v>694</v>
      </c>
      <c r="K1580" s="26"/>
      <c r="L1580" s="26" t="s">
        <v>240</v>
      </c>
      <c r="M1580" s="26" t="s">
        <v>27</v>
      </c>
      <c r="N1580" s="26" t="s">
        <v>28</v>
      </c>
      <c r="O1580" s="26" t="s">
        <v>4687</v>
      </c>
      <c r="P1580" s="26"/>
      <c r="Q1580" s="26"/>
      <c r="R1580" s="26">
        <v>0.02</v>
      </c>
      <c r="S1580" s="26" t="s">
        <v>29</v>
      </c>
    </row>
    <row r="1581" spans="1:19">
      <c r="A1581" s="26">
        <v>73007</v>
      </c>
      <c r="B1581" s="26" t="s">
        <v>87</v>
      </c>
      <c r="C1581" s="26" t="s">
        <v>30</v>
      </c>
      <c r="D1581" s="26" t="s">
        <v>21</v>
      </c>
      <c r="E1581" s="26"/>
      <c r="F1581" s="26" t="s">
        <v>835</v>
      </c>
      <c r="G1581" s="26"/>
      <c r="H1581" s="26" t="s">
        <v>24</v>
      </c>
      <c r="I1581" s="26" t="s">
        <v>836</v>
      </c>
      <c r="J1581" s="26" t="s">
        <v>781</v>
      </c>
      <c r="K1581" s="26" t="s">
        <v>781</v>
      </c>
      <c r="L1581" s="26" t="s">
        <v>781</v>
      </c>
      <c r="M1581" s="26" t="s">
        <v>27</v>
      </c>
      <c r="N1581" s="26" t="s">
        <v>28</v>
      </c>
      <c r="O1581" s="27">
        <v>30256</v>
      </c>
      <c r="P1581" s="26"/>
      <c r="Q1581" s="26"/>
      <c r="R1581" s="26">
        <v>0.01</v>
      </c>
      <c r="S1581" s="26" t="s">
        <v>29</v>
      </c>
    </row>
    <row r="1582" spans="1:19" ht="29.25">
      <c r="A1582" s="28">
        <v>49900</v>
      </c>
      <c r="B1582" s="28" t="s">
        <v>87</v>
      </c>
      <c r="C1582" s="28" t="s">
        <v>30</v>
      </c>
      <c r="D1582" s="28" t="s">
        <v>21</v>
      </c>
      <c r="E1582" s="28" t="s">
        <v>1993</v>
      </c>
      <c r="F1582" s="28" t="s">
        <v>1994</v>
      </c>
      <c r="G1582" s="28">
        <v>1.25</v>
      </c>
      <c r="H1582" s="28" t="s">
        <v>24</v>
      </c>
      <c r="I1582" s="28" t="s">
        <v>1995</v>
      </c>
      <c r="J1582" s="28" t="s">
        <v>25</v>
      </c>
      <c r="K1582" s="28" t="s">
        <v>25</v>
      </c>
      <c r="L1582" s="28" t="s">
        <v>26</v>
      </c>
      <c r="M1582" s="28" t="s">
        <v>27</v>
      </c>
      <c r="N1582" s="28" t="s">
        <v>28</v>
      </c>
      <c r="O1582" s="29">
        <v>32959</v>
      </c>
      <c r="P1582" s="28" t="s">
        <v>1996</v>
      </c>
      <c r="Q1582" s="28"/>
      <c r="R1582" s="28">
        <v>1.25</v>
      </c>
      <c r="S1582" s="28" t="s">
        <v>29</v>
      </c>
    </row>
    <row r="1583" spans="1:19" ht="29.25">
      <c r="A1583" s="24">
        <v>73300</v>
      </c>
      <c r="B1583" s="24" t="s">
        <v>87</v>
      </c>
      <c r="C1583" s="24" t="s">
        <v>30</v>
      </c>
      <c r="D1583" s="24" t="s">
        <v>30</v>
      </c>
      <c r="E1583" s="24" t="s">
        <v>1783</v>
      </c>
      <c r="F1583" s="24" t="s">
        <v>1784</v>
      </c>
      <c r="G1583" s="24">
        <v>18.600000000000001</v>
      </c>
      <c r="H1583" s="24" t="s">
        <v>5</v>
      </c>
      <c r="I1583" s="24" t="s">
        <v>90</v>
      </c>
      <c r="J1583" s="24" t="s">
        <v>25</v>
      </c>
      <c r="K1583" s="24" t="s">
        <v>25</v>
      </c>
      <c r="L1583" s="24" t="s">
        <v>26</v>
      </c>
      <c r="M1583" s="24" t="s">
        <v>38</v>
      </c>
      <c r="N1583" s="24" t="s">
        <v>39</v>
      </c>
      <c r="O1583" s="25">
        <v>32509</v>
      </c>
      <c r="P1583" s="24"/>
      <c r="Q1583" s="24"/>
      <c r="R1583" s="24">
        <v>12.3</v>
      </c>
      <c r="S1583" s="24" t="s">
        <v>29</v>
      </c>
    </row>
    <row r="1584" spans="1:19">
      <c r="A1584" s="26">
        <v>73302</v>
      </c>
      <c r="B1584" s="26" t="s">
        <v>87</v>
      </c>
      <c r="C1584" s="26" t="s">
        <v>30</v>
      </c>
      <c r="D1584" s="26" t="s">
        <v>21</v>
      </c>
      <c r="E1584" s="26"/>
      <c r="F1584" s="26" t="s">
        <v>1888</v>
      </c>
      <c r="G1584" s="26"/>
      <c r="H1584" s="26" t="s">
        <v>5</v>
      </c>
      <c r="I1584" s="26">
        <v>4030</v>
      </c>
      <c r="J1584" s="26" t="s">
        <v>25</v>
      </c>
      <c r="K1584" s="26"/>
      <c r="L1584" s="26"/>
      <c r="M1584" s="26" t="s">
        <v>38</v>
      </c>
      <c r="N1584" s="26" t="s">
        <v>39</v>
      </c>
      <c r="O1584" s="27">
        <v>32834</v>
      </c>
      <c r="P1584" s="26"/>
      <c r="Q1584" s="26"/>
      <c r="R1584" s="26">
        <v>0.35</v>
      </c>
      <c r="S1584" s="26" t="s">
        <v>29</v>
      </c>
    </row>
    <row r="1585" spans="1:19" ht="43.5">
      <c r="A1585" s="26">
        <v>73301</v>
      </c>
      <c r="B1585" s="26" t="s">
        <v>87</v>
      </c>
      <c r="C1585" s="26" t="s">
        <v>30</v>
      </c>
      <c r="D1585" s="26" t="s">
        <v>21</v>
      </c>
      <c r="E1585" s="26"/>
      <c r="F1585" s="26" t="s">
        <v>2046</v>
      </c>
      <c r="G1585" s="26"/>
      <c r="H1585" s="26" t="s">
        <v>5</v>
      </c>
      <c r="I1585" s="26">
        <v>4034</v>
      </c>
      <c r="J1585" s="26" t="s">
        <v>25</v>
      </c>
      <c r="K1585" s="26"/>
      <c r="L1585" s="26"/>
      <c r="M1585" s="26" t="s">
        <v>38</v>
      </c>
      <c r="N1585" s="26" t="s">
        <v>39</v>
      </c>
      <c r="O1585" s="27">
        <v>33215</v>
      </c>
      <c r="P1585" s="26"/>
      <c r="Q1585" s="26"/>
      <c r="R1585" s="26">
        <v>11.95</v>
      </c>
      <c r="S1585" s="26" t="s">
        <v>29</v>
      </c>
    </row>
    <row r="1586" spans="1:19" ht="29.25">
      <c r="A1586" s="24">
        <v>73400</v>
      </c>
      <c r="B1586" s="24" t="s">
        <v>87</v>
      </c>
      <c r="C1586" s="24" t="s">
        <v>30</v>
      </c>
      <c r="D1586" s="24" t="s">
        <v>30</v>
      </c>
      <c r="E1586" s="24" t="s">
        <v>371</v>
      </c>
      <c r="F1586" s="24" t="s">
        <v>372</v>
      </c>
      <c r="G1586" s="24">
        <v>0.4</v>
      </c>
      <c r="H1586" s="24" t="s">
        <v>5</v>
      </c>
      <c r="I1586" s="24" t="s">
        <v>90</v>
      </c>
      <c r="J1586" s="24" t="s">
        <v>90</v>
      </c>
      <c r="K1586" s="24"/>
      <c r="L1586" s="24"/>
      <c r="M1586" s="24" t="s">
        <v>38</v>
      </c>
      <c r="N1586" s="24" t="s">
        <v>39</v>
      </c>
      <c r="O1586" s="25">
        <v>19725</v>
      </c>
      <c r="P1586" s="24"/>
      <c r="Q1586" s="24"/>
      <c r="R1586" s="24">
        <v>0.4</v>
      </c>
      <c r="S1586" s="24" t="s">
        <v>29</v>
      </c>
    </row>
    <row r="1587" spans="1:19">
      <c r="A1587" s="26">
        <v>73401</v>
      </c>
      <c r="B1587" s="26" t="s">
        <v>87</v>
      </c>
      <c r="C1587" s="26" t="s">
        <v>30</v>
      </c>
      <c r="D1587" s="26" t="s">
        <v>21</v>
      </c>
      <c r="E1587" s="26"/>
      <c r="F1587" s="26" t="s">
        <v>3311</v>
      </c>
      <c r="G1587" s="26">
        <v>0</v>
      </c>
      <c r="H1587" s="26" t="s">
        <v>5</v>
      </c>
      <c r="I1587" s="26">
        <v>5010</v>
      </c>
      <c r="J1587" s="26" t="s">
        <v>1025</v>
      </c>
      <c r="K1587" s="26"/>
      <c r="L1587" s="26"/>
      <c r="M1587" s="26" t="s">
        <v>38</v>
      </c>
      <c r="N1587" s="26" t="s">
        <v>39</v>
      </c>
      <c r="O1587" s="26" t="s">
        <v>4687</v>
      </c>
      <c r="P1587" s="26"/>
      <c r="Q1587" s="26"/>
      <c r="R1587" s="26">
        <v>0</v>
      </c>
      <c r="S1587" s="26" t="s">
        <v>29</v>
      </c>
    </row>
    <row r="1588" spans="1:19" ht="29.25">
      <c r="A1588" s="26">
        <v>73405</v>
      </c>
      <c r="B1588" s="26" t="s">
        <v>87</v>
      </c>
      <c r="C1588" s="26" t="s">
        <v>30</v>
      </c>
      <c r="D1588" s="26" t="s">
        <v>21</v>
      </c>
      <c r="E1588" s="26"/>
      <c r="F1588" s="26" t="s">
        <v>1514</v>
      </c>
      <c r="G1588" s="26">
        <v>0.25</v>
      </c>
      <c r="H1588" s="26" t="s">
        <v>5</v>
      </c>
      <c r="I1588" s="26">
        <v>1102</v>
      </c>
      <c r="J1588" s="26" t="s">
        <v>788</v>
      </c>
      <c r="K1588" s="26"/>
      <c r="L1588" s="26"/>
      <c r="M1588" s="26" t="s">
        <v>38</v>
      </c>
      <c r="N1588" s="26" t="s">
        <v>39</v>
      </c>
      <c r="O1588" s="27">
        <v>31778</v>
      </c>
      <c r="P1588" s="26"/>
      <c r="Q1588" s="26"/>
      <c r="R1588" s="26">
        <v>0.25</v>
      </c>
      <c r="S1588" s="26" t="s">
        <v>29</v>
      </c>
    </row>
    <row r="1589" spans="1:19" ht="29.25">
      <c r="A1589" s="26">
        <v>73403</v>
      </c>
      <c r="B1589" s="26" t="s">
        <v>87</v>
      </c>
      <c r="C1589" s="26" t="s">
        <v>30</v>
      </c>
      <c r="D1589" s="26" t="s">
        <v>21</v>
      </c>
      <c r="E1589" s="26"/>
      <c r="F1589" s="26" t="s">
        <v>1881</v>
      </c>
      <c r="G1589" s="26">
        <v>0.02</v>
      </c>
      <c r="H1589" s="26" t="s">
        <v>5</v>
      </c>
      <c r="I1589" s="26">
        <v>2394</v>
      </c>
      <c r="J1589" s="26" t="s">
        <v>694</v>
      </c>
      <c r="K1589" s="26"/>
      <c r="L1589" s="26"/>
      <c r="M1589" s="26" t="s">
        <v>38</v>
      </c>
      <c r="N1589" s="26" t="s">
        <v>39</v>
      </c>
      <c r="O1589" s="27">
        <v>32813</v>
      </c>
      <c r="P1589" s="26"/>
      <c r="Q1589" s="26"/>
      <c r="R1589" s="26">
        <v>0.12</v>
      </c>
      <c r="S1589" s="26" t="s">
        <v>29</v>
      </c>
    </row>
    <row r="1590" spans="1:19">
      <c r="A1590" s="28">
        <v>73500</v>
      </c>
      <c r="B1590" s="28" t="s">
        <v>87</v>
      </c>
      <c r="C1590" s="28" t="s">
        <v>30</v>
      </c>
      <c r="D1590" s="28" t="s">
        <v>21</v>
      </c>
      <c r="E1590" s="28"/>
      <c r="F1590" s="28" t="s">
        <v>1185</v>
      </c>
      <c r="G1590" s="28">
        <v>0.01</v>
      </c>
      <c r="H1590" s="28" t="s">
        <v>5</v>
      </c>
      <c r="I1590" s="28">
        <v>5069</v>
      </c>
      <c r="J1590" s="28" t="s">
        <v>1025</v>
      </c>
      <c r="K1590" s="28"/>
      <c r="L1590" s="28"/>
      <c r="M1590" s="28" t="s">
        <v>38</v>
      </c>
      <c r="N1590" s="28" t="s">
        <v>39</v>
      </c>
      <c r="O1590" s="29">
        <v>31083</v>
      </c>
      <c r="P1590" s="28"/>
      <c r="Q1590" s="28"/>
      <c r="R1590" s="28">
        <v>0.01</v>
      </c>
      <c r="S1590" s="28" t="s">
        <v>29</v>
      </c>
    </row>
    <row r="1591" spans="1:19" ht="29.25">
      <c r="A1591" s="24">
        <v>73600</v>
      </c>
      <c r="B1591" s="24" t="s">
        <v>87</v>
      </c>
      <c r="C1591" s="24" t="s">
        <v>30</v>
      </c>
      <c r="D1591" s="24" t="s">
        <v>30</v>
      </c>
      <c r="E1591" s="24" t="s">
        <v>1174</v>
      </c>
      <c r="F1591" s="24" t="s">
        <v>1175</v>
      </c>
      <c r="G1591" s="24">
        <v>316.39999999999998</v>
      </c>
      <c r="H1591" s="24" t="s">
        <v>5</v>
      </c>
      <c r="I1591" s="24" t="s">
        <v>90</v>
      </c>
      <c r="J1591" s="24" t="s">
        <v>781</v>
      </c>
      <c r="K1591" s="24" t="s">
        <v>781</v>
      </c>
      <c r="L1591" s="24" t="s">
        <v>781</v>
      </c>
      <c r="M1591" s="24" t="s">
        <v>38</v>
      </c>
      <c r="N1591" s="24" t="s">
        <v>39</v>
      </c>
      <c r="O1591" s="25">
        <v>31048</v>
      </c>
      <c r="P1591" s="24"/>
      <c r="Q1591" s="24"/>
      <c r="R1591" s="24">
        <v>316.39999999999998</v>
      </c>
      <c r="S1591" s="24" t="s">
        <v>29</v>
      </c>
    </row>
    <row r="1592" spans="1:19" ht="29.25">
      <c r="A1592" s="26">
        <v>73614</v>
      </c>
      <c r="B1592" s="26" t="s">
        <v>87</v>
      </c>
      <c r="C1592" s="26" t="s">
        <v>30</v>
      </c>
      <c r="D1592" s="26" t="s">
        <v>21</v>
      </c>
      <c r="E1592" s="26"/>
      <c r="F1592" s="26" t="s">
        <v>1439</v>
      </c>
      <c r="G1592" s="26"/>
      <c r="H1592" s="26" t="s">
        <v>5</v>
      </c>
      <c r="I1592" s="26">
        <v>6044</v>
      </c>
      <c r="J1592" s="26" t="s">
        <v>781</v>
      </c>
      <c r="K1592" s="26" t="s">
        <v>781</v>
      </c>
      <c r="L1592" s="26" t="s">
        <v>781</v>
      </c>
      <c r="M1592" s="26" t="s">
        <v>38</v>
      </c>
      <c r="N1592" s="26" t="s">
        <v>39</v>
      </c>
      <c r="O1592" s="27">
        <v>31751</v>
      </c>
      <c r="P1592" s="26"/>
      <c r="Q1592" s="26"/>
      <c r="R1592" s="26">
        <v>21.24</v>
      </c>
      <c r="S1592" s="26" t="s">
        <v>29</v>
      </c>
    </row>
    <row r="1593" spans="1:19">
      <c r="A1593" s="26">
        <v>73601</v>
      </c>
      <c r="B1593" s="26" t="s">
        <v>87</v>
      </c>
      <c r="C1593" s="26" t="s">
        <v>30</v>
      </c>
      <c r="D1593" s="26" t="s">
        <v>21</v>
      </c>
      <c r="E1593" s="26"/>
      <c r="F1593" s="26" t="s">
        <v>1882</v>
      </c>
      <c r="G1593" s="26"/>
      <c r="H1593" s="26" t="s">
        <v>5</v>
      </c>
      <c r="I1593" s="26">
        <v>6063</v>
      </c>
      <c r="J1593" s="26" t="s">
        <v>781</v>
      </c>
      <c r="K1593" s="26" t="s">
        <v>781</v>
      </c>
      <c r="L1593" s="26" t="s">
        <v>781</v>
      </c>
      <c r="M1593" s="26" t="s">
        <v>38</v>
      </c>
      <c r="N1593" s="26" t="s">
        <v>39</v>
      </c>
      <c r="O1593" s="27">
        <v>32813</v>
      </c>
      <c r="P1593" s="26"/>
      <c r="Q1593" s="26"/>
      <c r="R1593" s="26">
        <v>48</v>
      </c>
      <c r="S1593" s="26" t="s">
        <v>29</v>
      </c>
    </row>
    <row r="1594" spans="1:19" ht="29.25">
      <c r="A1594" s="26">
        <v>73602</v>
      </c>
      <c r="B1594" s="26" t="s">
        <v>87</v>
      </c>
      <c r="C1594" s="26" t="s">
        <v>30</v>
      </c>
      <c r="D1594" s="26" t="s">
        <v>21</v>
      </c>
      <c r="E1594" s="26"/>
      <c r="F1594" s="26" t="s">
        <v>2019</v>
      </c>
      <c r="G1594" s="26"/>
      <c r="H1594" s="26" t="s">
        <v>5</v>
      </c>
      <c r="I1594" s="26">
        <v>6113</v>
      </c>
      <c r="J1594" s="26" t="s">
        <v>781</v>
      </c>
      <c r="K1594" s="26" t="s">
        <v>781</v>
      </c>
      <c r="L1594" s="26" t="s">
        <v>781</v>
      </c>
      <c r="M1594" s="26" t="s">
        <v>38</v>
      </c>
      <c r="N1594" s="26" t="s">
        <v>39</v>
      </c>
      <c r="O1594" s="27">
        <v>33102</v>
      </c>
      <c r="P1594" s="26"/>
      <c r="Q1594" s="26"/>
      <c r="R1594" s="26">
        <v>75</v>
      </c>
      <c r="S1594" s="26" t="s">
        <v>29</v>
      </c>
    </row>
    <row r="1595" spans="1:19" ht="29.25">
      <c r="A1595" s="26">
        <v>73603</v>
      </c>
      <c r="B1595" s="26" t="s">
        <v>87</v>
      </c>
      <c r="C1595" s="26" t="s">
        <v>30</v>
      </c>
      <c r="D1595" s="26" t="s">
        <v>21</v>
      </c>
      <c r="E1595" s="26"/>
      <c r="F1595" s="26" t="s">
        <v>2085</v>
      </c>
      <c r="G1595" s="26"/>
      <c r="H1595" s="26" t="s">
        <v>5</v>
      </c>
      <c r="I1595" s="26">
        <v>6065</v>
      </c>
      <c r="J1595" s="26" t="s">
        <v>781</v>
      </c>
      <c r="K1595" s="26" t="s">
        <v>781</v>
      </c>
      <c r="L1595" s="26" t="s">
        <v>781</v>
      </c>
      <c r="M1595" s="26" t="s">
        <v>38</v>
      </c>
      <c r="N1595" s="26" t="s">
        <v>39</v>
      </c>
      <c r="O1595" s="27">
        <v>33441</v>
      </c>
      <c r="P1595" s="26"/>
      <c r="Q1595" s="26"/>
      <c r="R1595" s="26">
        <v>36.229999999999997</v>
      </c>
      <c r="S1595" s="26" t="s">
        <v>29</v>
      </c>
    </row>
    <row r="1596" spans="1:19" ht="29.25">
      <c r="A1596" s="26">
        <v>73604</v>
      </c>
      <c r="B1596" s="26" t="s">
        <v>87</v>
      </c>
      <c r="C1596" s="26" t="s">
        <v>30</v>
      </c>
      <c r="D1596" s="26" t="s">
        <v>21</v>
      </c>
      <c r="E1596" s="26"/>
      <c r="F1596" s="26" t="s">
        <v>2080</v>
      </c>
      <c r="G1596" s="26"/>
      <c r="H1596" s="26" t="s">
        <v>5</v>
      </c>
      <c r="I1596" s="26">
        <v>6066</v>
      </c>
      <c r="J1596" s="26" t="s">
        <v>781</v>
      </c>
      <c r="K1596" s="26" t="s">
        <v>781</v>
      </c>
      <c r="L1596" s="26" t="s">
        <v>781</v>
      </c>
      <c r="M1596" s="26" t="s">
        <v>38</v>
      </c>
      <c r="N1596" s="26" t="s">
        <v>39</v>
      </c>
      <c r="O1596" s="27">
        <v>33381</v>
      </c>
      <c r="P1596" s="26"/>
      <c r="Q1596" s="26"/>
      <c r="R1596" s="26">
        <v>19.8</v>
      </c>
      <c r="S1596" s="26" t="s">
        <v>29</v>
      </c>
    </row>
    <row r="1597" spans="1:19" ht="29.25">
      <c r="A1597" s="26">
        <v>73605</v>
      </c>
      <c r="B1597" s="26" t="s">
        <v>87</v>
      </c>
      <c r="C1597" s="26" t="s">
        <v>30</v>
      </c>
      <c r="D1597" s="26" t="s">
        <v>21</v>
      </c>
      <c r="E1597" s="26"/>
      <c r="F1597" s="26" t="s">
        <v>2069</v>
      </c>
      <c r="G1597" s="26"/>
      <c r="H1597" s="26" t="s">
        <v>5</v>
      </c>
      <c r="I1597" s="26">
        <v>6067</v>
      </c>
      <c r="J1597" s="26" t="s">
        <v>781</v>
      </c>
      <c r="K1597" s="26" t="s">
        <v>781</v>
      </c>
      <c r="L1597" s="26" t="s">
        <v>781</v>
      </c>
      <c r="M1597" s="26" t="s">
        <v>38</v>
      </c>
      <c r="N1597" s="26" t="s">
        <v>39</v>
      </c>
      <c r="O1597" s="27">
        <v>33283</v>
      </c>
      <c r="P1597" s="26"/>
      <c r="Q1597" s="26"/>
      <c r="R1597" s="26">
        <v>20.93</v>
      </c>
      <c r="S1597" s="26" t="s">
        <v>29</v>
      </c>
    </row>
    <row r="1598" spans="1:19" ht="29.25">
      <c r="A1598" s="26">
        <v>73606</v>
      </c>
      <c r="B1598" s="26" t="s">
        <v>87</v>
      </c>
      <c r="C1598" s="26" t="s">
        <v>30</v>
      </c>
      <c r="D1598" s="26" t="s">
        <v>21</v>
      </c>
      <c r="E1598" s="26"/>
      <c r="F1598" s="26" t="s">
        <v>1989</v>
      </c>
      <c r="G1598" s="26"/>
      <c r="H1598" s="26" t="s">
        <v>5</v>
      </c>
      <c r="I1598" s="26">
        <v>6102</v>
      </c>
      <c r="J1598" s="26" t="s">
        <v>781</v>
      </c>
      <c r="K1598" s="26" t="s">
        <v>781</v>
      </c>
      <c r="L1598" s="26" t="s">
        <v>781</v>
      </c>
      <c r="M1598" s="26" t="s">
        <v>38</v>
      </c>
      <c r="N1598" s="26" t="s">
        <v>39</v>
      </c>
      <c r="O1598" s="27">
        <v>32949</v>
      </c>
      <c r="P1598" s="26"/>
      <c r="Q1598" s="26"/>
      <c r="R1598" s="26">
        <v>6.98</v>
      </c>
      <c r="S1598" s="26" t="s">
        <v>29</v>
      </c>
    </row>
    <row r="1599" spans="1:19" ht="29.25">
      <c r="A1599" s="26">
        <v>73607</v>
      </c>
      <c r="B1599" s="26" t="s">
        <v>87</v>
      </c>
      <c r="C1599" s="26" t="s">
        <v>30</v>
      </c>
      <c r="D1599" s="26" t="s">
        <v>21</v>
      </c>
      <c r="E1599" s="26"/>
      <c r="F1599" s="26" t="s">
        <v>1961</v>
      </c>
      <c r="G1599" s="26"/>
      <c r="H1599" s="26" t="s">
        <v>5</v>
      </c>
      <c r="I1599" s="26">
        <v>6103</v>
      </c>
      <c r="J1599" s="26" t="s">
        <v>781</v>
      </c>
      <c r="K1599" s="26" t="s">
        <v>781</v>
      </c>
      <c r="L1599" s="26" t="s">
        <v>781</v>
      </c>
      <c r="M1599" s="26" t="s">
        <v>38</v>
      </c>
      <c r="N1599" s="26" t="s">
        <v>39</v>
      </c>
      <c r="O1599" s="27">
        <v>32875</v>
      </c>
      <c r="P1599" s="26"/>
      <c r="Q1599" s="26"/>
      <c r="R1599" s="26">
        <v>6.98</v>
      </c>
      <c r="S1599" s="26" t="s">
        <v>29</v>
      </c>
    </row>
    <row r="1600" spans="1:19" ht="29.25">
      <c r="A1600" s="26">
        <v>73608</v>
      </c>
      <c r="B1600" s="26" t="s">
        <v>87</v>
      </c>
      <c r="C1600" s="26" t="s">
        <v>30</v>
      </c>
      <c r="D1600" s="26" t="s">
        <v>21</v>
      </c>
      <c r="E1600" s="26"/>
      <c r="F1600" s="26" t="s">
        <v>2005</v>
      </c>
      <c r="G1600" s="26"/>
      <c r="H1600" s="26" t="s">
        <v>5</v>
      </c>
      <c r="I1600" s="26">
        <v>6104</v>
      </c>
      <c r="J1600" s="26" t="s">
        <v>781</v>
      </c>
      <c r="K1600" s="26" t="s">
        <v>781</v>
      </c>
      <c r="L1600" s="26" t="s">
        <v>781</v>
      </c>
      <c r="M1600" s="26" t="s">
        <v>38</v>
      </c>
      <c r="N1600" s="26" t="s">
        <v>39</v>
      </c>
      <c r="O1600" s="27">
        <v>32974</v>
      </c>
      <c r="P1600" s="26"/>
      <c r="Q1600" s="26"/>
      <c r="R1600" s="26">
        <v>6.98</v>
      </c>
      <c r="S1600" s="26" t="s">
        <v>29</v>
      </c>
    </row>
    <row r="1601" spans="1:19" ht="29.25">
      <c r="A1601" s="26">
        <v>73609</v>
      </c>
      <c r="B1601" s="26" t="s">
        <v>87</v>
      </c>
      <c r="C1601" s="26" t="s">
        <v>30</v>
      </c>
      <c r="D1601" s="26" t="s">
        <v>21</v>
      </c>
      <c r="E1601" s="26"/>
      <c r="F1601" s="26" t="s">
        <v>1569</v>
      </c>
      <c r="G1601" s="26"/>
      <c r="H1601" s="26" t="s">
        <v>5</v>
      </c>
      <c r="I1601" s="26">
        <v>6105</v>
      </c>
      <c r="J1601" s="26" t="s">
        <v>781</v>
      </c>
      <c r="K1601" s="26" t="s">
        <v>781</v>
      </c>
      <c r="L1601" s="26" t="s">
        <v>781</v>
      </c>
      <c r="M1601" s="26" t="s">
        <v>38</v>
      </c>
      <c r="N1601" s="26" t="s">
        <v>39</v>
      </c>
      <c r="O1601" s="27">
        <v>31938</v>
      </c>
      <c r="P1601" s="26"/>
      <c r="Q1601" s="26"/>
      <c r="R1601" s="26">
        <v>5.01</v>
      </c>
      <c r="S1601" s="26" t="s">
        <v>29</v>
      </c>
    </row>
    <row r="1602" spans="1:19" ht="29.25">
      <c r="A1602" s="26">
        <v>73610</v>
      </c>
      <c r="B1602" s="26" t="s">
        <v>87</v>
      </c>
      <c r="C1602" s="26" t="s">
        <v>30</v>
      </c>
      <c r="D1602" s="26" t="s">
        <v>21</v>
      </c>
      <c r="E1602" s="26"/>
      <c r="F1602" s="26" t="s">
        <v>1571</v>
      </c>
      <c r="G1602" s="26"/>
      <c r="H1602" s="26" t="s">
        <v>5</v>
      </c>
      <c r="I1602" s="26">
        <v>6106</v>
      </c>
      <c r="J1602" s="26" t="s">
        <v>781</v>
      </c>
      <c r="K1602" s="26" t="s">
        <v>781</v>
      </c>
      <c r="L1602" s="26" t="s">
        <v>781</v>
      </c>
      <c r="M1602" s="26" t="s">
        <v>38</v>
      </c>
      <c r="N1602" s="26" t="s">
        <v>39</v>
      </c>
      <c r="O1602" s="27">
        <v>31958</v>
      </c>
      <c r="P1602" s="26"/>
      <c r="Q1602" s="26"/>
      <c r="R1602" s="26">
        <v>4.99</v>
      </c>
      <c r="S1602" s="26" t="s">
        <v>29</v>
      </c>
    </row>
    <row r="1603" spans="1:19" ht="29.25">
      <c r="A1603" s="26">
        <v>73611</v>
      </c>
      <c r="B1603" s="26" t="s">
        <v>87</v>
      </c>
      <c r="C1603" s="26" t="s">
        <v>30</v>
      </c>
      <c r="D1603" s="26" t="s">
        <v>21</v>
      </c>
      <c r="E1603" s="26"/>
      <c r="F1603" s="26" t="s">
        <v>1573</v>
      </c>
      <c r="G1603" s="26"/>
      <c r="H1603" s="26" t="s">
        <v>5</v>
      </c>
      <c r="I1603" s="26">
        <v>6107</v>
      </c>
      <c r="J1603" s="26" t="s">
        <v>781</v>
      </c>
      <c r="K1603" s="26" t="s">
        <v>781</v>
      </c>
      <c r="L1603" s="26" t="s">
        <v>781</v>
      </c>
      <c r="M1603" s="26" t="s">
        <v>38</v>
      </c>
      <c r="N1603" s="26" t="s">
        <v>39</v>
      </c>
      <c r="O1603" s="27">
        <v>31967</v>
      </c>
      <c r="P1603" s="26"/>
      <c r="Q1603" s="26"/>
      <c r="R1603" s="26">
        <v>6.72</v>
      </c>
      <c r="S1603" s="26" t="s">
        <v>29</v>
      </c>
    </row>
    <row r="1604" spans="1:19" ht="29.25">
      <c r="A1604" s="26">
        <v>73612</v>
      </c>
      <c r="B1604" s="26" t="s">
        <v>87</v>
      </c>
      <c r="C1604" s="26" t="s">
        <v>30</v>
      </c>
      <c r="D1604" s="26" t="s">
        <v>21</v>
      </c>
      <c r="E1604" s="26"/>
      <c r="F1604" s="26" t="s">
        <v>1572</v>
      </c>
      <c r="G1604" s="26"/>
      <c r="H1604" s="26" t="s">
        <v>5</v>
      </c>
      <c r="I1604" s="26">
        <v>6108</v>
      </c>
      <c r="J1604" s="26" t="s">
        <v>781</v>
      </c>
      <c r="K1604" s="26" t="s">
        <v>781</v>
      </c>
      <c r="L1604" s="26" t="s">
        <v>781</v>
      </c>
      <c r="M1604" s="26" t="s">
        <v>38</v>
      </c>
      <c r="N1604" s="26" t="s">
        <v>39</v>
      </c>
      <c r="O1604" s="27">
        <v>31958</v>
      </c>
      <c r="P1604" s="26"/>
      <c r="Q1604" s="26"/>
      <c r="R1604" s="26">
        <v>5.67</v>
      </c>
      <c r="S1604" s="26" t="s">
        <v>29</v>
      </c>
    </row>
    <row r="1605" spans="1:19" ht="29.25">
      <c r="A1605" s="26">
        <v>73613</v>
      </c>
      <c r="B1605" s="26" t="s">
        <v>87</v>
      </c>
      <c r="C1605" s="26" t="s">
        <v>30</v>
      </c>
      <c r="D1605" s="26" t="s">
        <v>21</v>
      </c>
      <c r="E1605" s="26"/>
      <c r="F1605" s="26" t="s">
        <v>1232</v>
      </c>
      <c r="G1605" s="26"/>
      <c r="H1605" s="26" t="s">
        <v>5</v>
      </c>
      <c r="I1605" s="26">
        <v>6043</v>
      </c>
      <c r="J1605" s="26" t="s">
        <v>781</v>
      </c>
      <c r="K1605" s="26" t="s">
        <v>781</v>
      </c>
      <c r="L1605" s="26" t="s">
        <v>781</v>
      </c>
      <c r="M1605" s="26" t="s">
        <v>38</v>
      </c>
      <c r="N1605" s="26" t="s">
        <v>39</v>
      </c>
      <c r="O1605" s="27">
        <v>31364</v>
      </c>
      <c r="P1605" s="26"/>
      <c r="Q1605" s="26"/>
      <c r="R1605" s="26">
        <v>14.89</v>
      </c>
      <c r="S1605" s="26" t="s">
        <v>29</v>
      </c>
    </row>
    <row r="1606" spans="1:19" ht="29.25">
      <c r="A1606" s="26">
        <v>44500</v>
      </c>
      <c r="B1606" s="26" t="s">
        <v>87</v>
      </c>
      <c r="C1606" s="26" t="s">
        <v>30</v>
      </c>
      <c r="D1606" s="26" t="s">
        <v>21</v>
      </c>
      <c r="E1606" s="26"/>
      <c r="F1606" s="26" t="s">
        <v>1785</v>
      </c>
      <c r="G1606" s="26"/>
      <c r="H1606" s="26" t="s">
        <v>5</v>
      </c>
      <c r="I1606" s="26">
        <v>6114</v>
      </c>
      <c r="J1606" s="26" t="s">
        <v>781</v>
      </c>
      <c r="K1606" s="26" t="s">
        <v>781</v>
      </c>
      <c r="L1606" s="26" t="s">
        <v>781</v>
      </c>
      <c r="M1606" s="26" t="s">
        <v>38</v>
      </c>
      <c r="N1606" s="26" t="s">
        <v>39</v>
      </c>
      <c r="O1606" s="27">
        <v>32509</v>
      </c>
      <c r="P1606" s="26"/>
      <c r="Q1606" s="26"/>
      <c r="R1606" s="26">
        <v>37</v>
      </c>
      <c r="S1606" s="26" t="s">
        <v>29</v>
      </c>
    </row>
    <row r="1607" spans="1:19" ht="29.25">
      <c r="A1607" s="24">
        <v>73800</v>
      </c>
      <c r="B1607" s="24" t="s">
        <v>87</v>
      </c>
      <c r="C1607" s="24" t="s">
        <v>30</v>
      </c>
      <c r="D1607" s="24" t="s">
        <v>30</v>
      </c>
      <c r="E1607" s="24" t="s">
        <v>900</v>
      </c>
      <c r="F1607" s="24" t="s">
        <v>901</v>
      </c>
      <c r="G1607" s="24">
        <v>0.6</v>
      </c>
      <c r="H1607" s="24" t="s">
        <v>5</v>
      </c>
      <c r="I1607" s="24" t="s">
        <v>90</v>
      </c>
      <c r="J1607" s="24" t="s">
        <v>90</v>
      </c>
      <c r="K1607" s="24"/>
      <c r="L1607" s="24"/>
      <c r="M1607" s="24" t="s">
        <v>38</v>
      </c>
      <c r="N1607" s="24" t="s">
        <v>39</v>
      </c>
      <c r="O1607" s="25">
        <v>30317</v>
      </c>
      <c r="P1607" s="24"/>
      <c r="Q1607" s="24"/>
      <c r="R1607" s="24">
        <v>0.46</v>
      </c>
      <c r="S1607" s="24" t="s">
        <v>29</v>
      </c>
    </row>
    <row r="1608" spans="1:19" ht="29.25">
      <c r="A1608" s="26">
        <v>73802</v>
      </c>
      <c r="B1608" s="26" t="s">
        <v>87</v>
      </c>
      <c r="C1608" s="26" t="s">
        <v>30</v>
      </c>
      <c r="D1608" s="26" t="s">
        <v>21</v>
      </c>
      <c r="E1608" s="26"/>
      <c r="F1608" s="26" t="s">
        <v>952</v>
      </c>
      <c r="G1608" s="26"/>
      <c r="H1608" s="26" t="s">
        <v>5</v>
      </c>
      <c r="I1608" s="26">
        <v>4014</v>
      </c>
      <c r="J1608" s="26" t="s">
        <v>25</v>
      </c>
      <c r="K1608" s="26"/>
      <c r="L1608" s="26"/>
      <c r="M1608" s="26" t="s">
        <v>38</v>
      </c>
      <c r="N1608" s="26" t="s">
        <v>39</v>
      </c>
      <c r="O1608" s="27">
        <v>30498</v>
      </c>
      <c r="P1608" s="26"/>
      <c r="Q1608" s="26"/>
      <c r="R1608" s="26">
        <v>0.18</v>
      </c>
      <c r="S1608" s="26" t="s">
        <v>29</v>
      </c>
    </row>
    <row r="1609" spans="1:19" ht="29.25">
      <c r="A1609" s="26">
        <v>73801</v>
      </c>
      <c r="B1609" s="26" t="s">
        <v>87</v>
      </c>
      <c r="C1609" s="26" t="s">
        <v>30</v>
      </c>
      <c r="D1609" s="26" t="s">
        <v>21</v>
      </c>
      <c r="E1609" s="26"/>
      <c r="F1609" s="26" t="s">
        <v>1734</v>
      </c>
      <c r="G1609" s="26"/>
      <c r="H1609" s="26" t="s">
        <v>5</v>
      </c>
      <c r="I1609" s="26">
        <v>2323</v>
      </c>
      <c r="J1609" s="26" t="s">
        <v>694</v>
      </c>
      <c r="K1609" s="26" t="s">
        <v>296</v>
      </c>
      <c r="L1609" s="26" t="s">
        <v>240</v>
      </c>
      <c r="M1609" s="26" t="s">
        <v>38</v>
      </c>
      <c r="N1609" s="26" t="s">
        <v>39</v>
      </c>
      <c r="O1609" s="27">
        <v>32399</v>
      </c>
      <c r="P1609" s="26"/>
      <c r="Q1609" s="26"/>
      <c r="R1609" s="26">
        <v>0.28000000000000003</v>
      </c>
      <c r="S1609" s="26" t="s">
        <v>29</v>
      </c>
    </row>
    <row r="1610" spans="1:19" ht="29.25">
      <c r="A1610" s="24">
        <v>93800</v>
      </c>
      <c r="B1610" s="24" t="s">
        <v>87</v>
      </c>
      <c r="C1610" s="24" t="s">
        <v>30</v>
      </c>
      <c r="D1610" s="24" t="s">
        <v>30</v>
      </c>
      <c r="E1610" s="24" t="s">
        <v>3312</v>
      </c>
      <c r="F1610" s="24" t="s">
        <v>3313</v>
      </c>
      <c r="G1610" s="24">
        <v>2.9</v>
      </c>
      <c r="H1610" s="24" t="s">
        <v>24</v>
      </c>
      <c r="I1610" s="24"/>
      <c r="J1610" s="24" t="s">
        <v>25</v>
      </c>
      <c r="K1610" s="24" t="s">
        <v>1022</v>
      </c>
      <c r="L1610" s="24" t="s">
        <v>26</v>
      </c>
      <c r="M1610" s="24" t="s">
        <v>27</v>
      </c>
      <c r="N1610" s="24" t="s">
        <v>28</v>
      </c>
      <c r="O1610" s="263">
        <v>30097</v>
      </c>
      <c r="P1610" s="24" t="s">
        <v>3216</v>
      </c>
      <c r="Q1610" s="24"/>
      <c r="R1610" s="24">
        <v>2.9</v>
      </c>
      <c r="S1610" s="24" t="s">
        <v>29</v>
      </c>
    </row>
    <row r="1611" spans="1:19" ht="29.25">
      <c r="A1611" s="26">
        <v>70614</v>
      </c>
      <c r="B1611" s="26" t="s">
        <v>87</v>
      </c>
      <c r="C1611" s="26" t="s">
        <v>30</v>
      </c>
      <c r="D1611" s="26" t="s">
        <v>21</v>
      </c>
      <c r="E1611" s="26"/>
      <c r="F1611" s="26" t="s">
        <v>1217</v>
      </c>
      <c r="G1611" s="26"/>
      <c r="H1611" s="26" t="s">
        <v>24</v>
      </c>
      <c r="I1611" s="26" t="s">
        <v>1218</v>
      </c>
      <c r="J1611" s="26" t="s">
        <v>25</v>
      </c>
      <c r="K1611" s="26" t="s">
        <v>25</v>
      </c>
      <c r="L1611" s="26" t="s">
        <v>26</v>
      </c>
      <c r="M1611" s="26" t="s">
        <v>27</v>
      </c>
      <c r="N1611" s="26" t="s">
        <v>28</v>
      </c>
      <c r="O1611" s="27">
        <v>31223</v>
      </c>
      <c r="P1611" s="26" t="s">
        <v>1219</v>
      </c>
      <c r="Q1611" s="26"/>
      <c r="R1611" s="26">
        <v>0.15</v>
      </c>
      <c r="S1611" s="26" t="s">
        <v>29</v>
      </c>
    </row>
    <row r="1612" spans="1:19" ht="29.25">
      <c r="A1612" s="26">
        <v>43405</v>
      </c>
      <c r="B1612" s="26" t="s">
        <v>87</v>
      </c>
      <c r="C1612" s="26" t="s">
        <v>30</v>
      </c>
      <c r="D1612" s="26" t="s">
        <v>21</v>
      </c>
      <c r="E1612" s="26"/>
      <c r="F1612" s="26" t="s">
        <v>821</v>
      </c>
      <c r="G1612" s="26"/>
      <c r="H1612" s="26" t="s">
        <v>24</v>
      </c>
      <c r="I1612" s="26" t="s">
        <v>822</v>
      </c>
      <c r="J1612" s="26" t="s">
        <v>25</v>
      </c>
      <c r="K1612" s="26" t="s">
        <v>25</v>
      </c>
      <c r="L1612" s="26" t="s">
        <v>26</v>
      </c>
      <c r="M1612" s="26" t="s">
        <v>27</v>
      </c>
      <c r="N1612" s="26" t="s">
        <v>28</v>
      </c>
      <c r="O1612" s="27">
        <v>30141</v>
      </c>
      <c r="P1612" s="26" t="s">
        <v>823</v>
      </c>
      <c r="Q1612" s="26"/>
      <c r="R1612" s="26">
        <v>0.03</v>
      </c>
      <c r="S1612" s="26" t="s">
        <v>29</v>
      </c>
    </row>
    <row r="1613" spans="1:19" ht="29.25">
      <c r="A1613" s="26">
        <v>43406</v>
      </c>
      <c r="B1613" s="26" t="s">
        <v>87</v>
      </c>
      <c r="C1613" s="26" t="s">
        <v>30</v>
      </c>
      <c r="D1613" s="26" t="s">
        <v>21</v>
      </c>
      <c r="E1613" s="26"/>
      <c r="F1613" s="26" t="s">
        <v>947</v>
      </c>
      <c r="G1613" s="26"/>
      <c r="H1613" s="26" t="s">
        <v>24</v>
      </c>
      <c r="I1613" s="26" t="s">
        <v>948</v>
      </c>
      <c r="J1613" s="26" t="s">
        <v>25</v>
      </c>
      <c r="K1613" s="26" t="s">
        <v>25</v>
      </c>
      <c r="L1613" s="26" t="s">
        <v>26</v>
      </c>
      <c r="M1613" s="26" t="s">
        <v>27</v>
      </c>
      <c r="N1613" s="26" t="s">
        <v>28</v>
      </c>
      <c r="O1613" s="27">
        <v>30454</v>
      </c>
      <c r="P1613" s="26" t="s">
        <v>823</v>
      </c>
      <c r="Q1613" s="26"/>
      <c r="R1613" s="26">
        <v>0.6</v>
      </c>
      <c r="S1613" s="26" t="s">
        <v>29</v>
      </c>
    </row>
    <row r="1614" spans="1:19" ht="29.25">
      <c r="A1614" s="26">
        <v>36000</v>
      </c>
      <c r="B1614" s="26" t="s">
        <v>87</v>
      </c>
      <c r="C1614" s="26" t="s">
        <v>30</v>
      </c>
      <c r="D1614" s="26" t="s">
        <v>21</v>
      </c>
      <c r="E1614" s="26" t="s">
        <v>816</v>
      </c>
      <c r="F1614" s="26" t="s">
        <v>817</v>
      </c>
      <c r="G1614" s="26">
        <v>1.1000000000000001</v>
      </c>
      <c r="H1614" s="26" t="s">
        <v>24</v>
      </c>
      <c r="I1614" s="26" t="s">
        <v>818</v>
      </c>
      <c r="J1614" s="26" t="s">
        <v>25</v>
      </c>
      <c r="K1614" s="26" t="s">
        <v>25</v>
      </c>
      <c r="L1614" s="26" t="s">
        <v>26</v>
      </c>
      <c r="M1614" s="26" t="s">
        <v>27</v>
      </c>
      <c r="N1614" s="26" t="s">
        <v>28</v>
      </c>
      <c r="O1614" s="27">
        <v>30097</v>
      </c>
      <c r="P1614" s="26" t="s">
        <v>819</v>
      </c>
      <c r="Q1614" s="26"/>
      <c r="R1614" s="26">
        <v>1.73</v>
      </c>
      <c r="S1614" s="26" t="s">
        <v>29</v>
      </c>
    </row>
    <row r="1615" spans="1:19" ht="29.25">
      <c r="A1615" s="26">
        <v>43408</v>
      </c>
      <c r="B1615" s="26" t="s">
        <v>87</v>
      </c>
      <c r="C1615" s="26" t="s">
        <v>30</v>
      </c>
      <c r="D1615" s="26" t="s">
        <v>21</v>
      </c>
      <c r="E1615" s="26"/>
      <c r="F1615" s="26" t="s">
        <v>1975</v>
      </c>
      <c r="G1615" s="26">
        <v>1</v>
      </c>
      <c r="H1615" s="26" t="s">
        <v>24</v>
      </c>
      <c r="I1615" s="26" t="s">
        <v>1976</v>
      </c>
      <c r="J1615" s="26" t="s">
        <v>25</v>
      </c>
      <c r="K1615" s="26" t="s">
        <v>25</v>
      </c>
      <c r="L1615" s="26" t="s">
        <v>26</v>
      </c>
      <c r="M1615" s="26" t="s">
        <v>27</v>
      </c>
      <c r="N1615" s="26" t="s">
        <v>28</v>
      </c>
      <c r="O1615" s="27">
        <v>32929</v>
      </c>
      <c r="P1615" s="26" t="s">
        <v>819</v>
      </c>
      <c r="Q1615" s="26"/>
      <c r="R1615" s="26">
        <v>1.1000000000000001</v>
      </c>
      <c r="S1615" s="26" t="s">
        <v>29</v>
      </c>
    </row>
    <row r="1616" spans="1:19">
      <c r="A1616" s="28">
        <v>73100</v>
      </c>
      <c r="B1616" s="28" t="s">
        <v>87</v>
      </c>
      <c r="C1616" s="28" t="s">
        <v>30</v>
      </c>
      <c r="D1616" s="28" t="s">
        <v>21</v>
      </c>
      <c r="E1616" s="28" t="s">
        <v>2556</v>
      </c>
      <c r="F1616" s="28" t="s">
        <v>2557</v>
      </c>
      <c r="G1616" s="28">
        <v>44.7</v>
      </c>
      <c r="H1616" s="28" t="s">
        <v>24</v>
      </c>
      <c r="I1616" s="28" t="s">
        <v>2558</v>
      </c>
      <c r="J1616" s="28" t="s">
        <v>295</v>
      </c>
      <c r="K1616" s="28" t="s">
        <v>580</v>
      </c>
      <c r="L1616" s="28" t="s">
        <v>240</v>
      </c>
      <c r="M1616" s="28" t="s">
        <v>27</v>
      </c>
      <c r="N1616" s="28" t="s">
        <v>28</v>
      </c>
      <c r="O1616" s="29">
        <v>37546</v>
      </c>
      <c r="P1616" s="28" t="s">
        <v>1887</v>
      </c>
      <c r="Q1616" s="28"/>
      <c r="R1616" s="28">
        <v>44.7</v>
      </c>
      <c r="S1616" s="28" t="s">
        <v>29</v>
      </c>
    </row>
    <row r="1617" spans="1:19">
      <c r="A1617" s="28">
        <v>73900</v>
      </c>
      <c r="B1617" s="28" t="s">
        <v>87</v>
      </c>
      <c r="C1617" s="28" t="s">
        <v>30</v>
      </c>
      <c r="D1617" s="28" t="s">
        <v>21</v>
      </c>
      <c r="E1617" s="28" t="s">
        <v>1820</v>
      </c>
      <c r="F1617" s="28" t="s">
        <v>1821</v>
      </c>
      <c r="G1617" s="28">
        <v>32</v>
      </c>
      <c r="H1617" s="28" t="s">
        <v>24</v>
      </c>
      <c r="I1617" s="28" t="s">
        <v>1822</v>
      </c>
      <c r="J1617" s="28" t="s">
        <v>788</v>
      </c>
      <c r="K1617" s="28" t="s">
        <v>366</v>
      </c>
      <c r="L1617" s="28" t="s">
        <v>789</v>
      </c>
      <c r="M1617" s="28" t="s">
        <v>27</v>
      </c>
      <c r="N1617" s="28" t="s">
        <v>28</v>
      </c>
      <c r="O1617" s="29">
        <v>32591</v>
      </c>
      <c r="P1617" s="28"/>
      <c r="Q1617" s="28"/>
      <c r="R1617" s="28">
        <v>32</v>
      </c>
      <c r="S1617" s="28" t="s">
        <v>29</v>
      </c>
    </row>
    <row r="1618" spans="1:19" ht="29.25">
      <c r="A1618" s="28">
        <v>74100</v>
      </c>
      <c r="B1618" s="28" t="s">
        <v>87</v>
      </c>
      <c r="C1618" s="28" t="s">
        <v>30</v>
      </c>
      <c r="D1618" s="28" t="s">
        <v>21</v>
      </c>
      <c r="E1618" s="28"/>
      <c r="F1618" s="28" t="s">
        <v>1084</v>
      </c>
      <c r="G1618" s="28">
        <v>0.03</v>
      </c>
      <c r="H1618" s="28" t="s">
        <v>5</v>
      </c>
      <c r="I1618" s="28">
        <v>4032</v>
      </c>
      <c r="J1618" s="28" t="s">
        <v>25</v>
      </c>
      <c r="K1618" s="28" t="s">
        <v>25</v>
      </c>
      <c r="L1618" s="28" t="s">
        <v>26</v>
      </c>
      <c r="M1618" s="28" t="s">
        <v>38</v>
      </c>
      <c r="N1618" s="28" t="s">
        <v>39</v>
      </c>
      <c r="O1618" s="29">
        <v>30972</v>
      </c>
      <c r="P1618" s="28"/>
      <c r="Q1618" s="28"/>
      <c r="R1618" s="28">
        <v>0.03</v>
      </c>
      <c r="S1618" s="28" t="s">
        <v>29</v>
      </c>
    </row>
    <row r="1619" spans="1:19" ht="29.25">
      <c r="A1619" s="28">
        <v>43402</v>
      </c>
      <c r="B1619" s="28" t="s">
        <v>87</v>
      </c>
      <c r="C1619" s="28" t="s">
        <v>30</v>
      </c>
      <c r="D1619" s="28" t="s">
        <v>21</v>
      </c>
      <c r="E1619" s="28" t="s">
        <v>1046</v>
      </c>
      <c r="F1619" s="28" t="s">
        <v>1047</v>
      </c>
      <c r="G1619" s="28">
        <v>1</v>
      </c>
      <c r="H1619" s="28" t="s">
        <v>24</v>
      </c>
      <c r="I1619" s="28" t="s">
        <v>1048</v>
      </c>
      <c r="J1619" s="28" t="s">
        <v>25</v>
      </c>
      <c r="K1619" s="28" t="s">
        <v>25</v>
      </c>
      <c r="L1619" s="28" t="s">
        <v>26</v>
      </c>
      <c r="M1619" s="28" t="s">
        <v>27</v>
      </c>
      <c r="N1619" s="28" t="s">
        <v>28</v>
      </c>
      <c r="O1619" s="29">
        <v>30763</v>
      </c>
      <c r="P1619" s="28" t="s">
        <v>1049</v>
      </c>
      <c r="Q1619" s="28"/>
      <c r="R1619" s="28">
        <v>1</v>
      </c>
      <c r="S1619" s="28" t="s">
        <v>29</v>
      </c>
    </row>
    <row r="1620" spans="1:19" ht="29.25">
      <c r="A1620" s="24">
        <v>74400</v>
      </c>
      <c r="B1620" s="24" t="s">
        <v>87</v>
      </c>
      <c r="C1620" s="24" t="s">
        <v>30</v>
      </c>
      <c r="D1620" s="24" t="s">
        <v>30</v>
      </c>
      <c r="E1620" s="24" t="s">
        <v>1600</v>
      </c>
      <c r="F1620" s="24" t="s">
        <v>1601</v>
      </c>
      <c r="G1620" s="24">
        <v>416.6</v>
      </c>
      <c r="H1620" s="24" t="s">
        <v>5</v>
      </c>
      <c r="I1620" s="24">
        <v>2053</v>
      </c>
      <c r="J1620" s="24" t="s">
        <v>694</v>
      </c>
      <c r="K1620" s="24"/>
      <c r="L1620" s="24" t="s">
        <v>240</v>
      </c>
      <c r="M1620" s="24" t="s">
        <v>38</v>
      </c>
      <c r="N1620" s="24" t="s">
        <v>39</v>
      </c>
      <c r="O1620" s="25">
        <v>32115</v>
      </c>
      <c r="P1620" s="24"/>
      <c r="Q1620" s="24"/>
      <c r="R1620" s="24">
        <v>340</v>
      </c>
      <c r="S1620" s="24" t="s">
        <v>29</v>
      </c>
    </row>
    <row r="1621" spans="1:19" ht="29.25">
      <c r="A1621" s="26">
        <v>74401</v>
      </c>
      <c r="B1621" s="26" t="s">
        <v>87</v>
      </c>
      <c r="C1621" s="26" t="s">
        <v>30</v>
      </c>
      <c r="D1621" s="26" t="s">
        <v>21</v>
      </c>
      <c r="E1621" s="26" t="s">
        <v>1602</v>
      </c>
      <c r="F1621" s="26" t="s">
        <v>1603</v>
      </c>
      <c r="G1621" s="26"/>
      <c r="H1621" s="26" t="s">
        <v>5</v>
      </c>
      <c r="I1621" s="26">
        <v>2053</v>
      </c>
      <c r="J1621" s="26" t="s">
        <v>694</v>
      </c>
      <c r="K1621" s="26" t="s">
        <v>580</v>
      </c>
      <c r="L1621" s="26" t="s">
        <v>240</v>
      </c>
      <c r="M1621" s="26" t="s">
        <v>38</v>
      </c>
      <c r="N1621" s="26" t="s">
        <v>39</v>
      </c>
      <c r="O1621" s="27">
        <v>32115</v>
      </c>
      <c r="P1621" s="26"/>
      <c r="Q1621" s="26"/>
      <c r="R1621" s="26"/>
      <c r="S1621" s="26" t="s">
        <v>29</v>
      </c>
    </row>
    <row r="1622" spans="1:19" ht="29.25">
      <c r="A1622" s="26">
        <v>74402</v>
      </c>
      <c r="B1622" s="26" t="s">
        <v>87</v>
      </c>
      <c r="C1622" s="26" t="s">
        <v>30</v>
      </c>
      <c r="D1622" s="26" t="s">
        <v>21</v>
      </c>
      <c r="E1622" s="26" t="s">
        <v>1604</v>
      </c>
      <c r="F1622" s="26" t="s">
        <v>1605</v>
      </c>
      <c r="G1622" s="26"/>
      <c r="H1622" s="26" t="s">
        <v>5</v>
      </c>
      <c r="I1622" s="26">
        <v>2053</v>
      </c>
      <c r="J1622" s="26" t="s">
        <v>694</v>
      </c>
      <c r="K1622" s="26" t="s">
        <v>580</v>
      </c>
      <c r="L1622" s="26" t="s">
        <v>240</v>
      </c>
      <c r="M1622" s="26" t="s">
        <v>38</v>
      </c>
      <c r="N1622" s="26" t="s">
        <v>39</v>
      </c>
      <c r="O1622" s="27">
        <v>32115</v>
      </c>
      <c r="P1622" s="26"/>
      <c r="Q1622" s="26"/>
      <c r="R1622" s="26"/>
      <c r="S1622" s="26" t="s">
        <v>29</v>
      </c>
    </row>
    <row r="1623" spans="1:19" ht="29.25">
      <c r="A1623" s="26">
        <v>74403</v>
      </c>
      <c r="B1623" s="26" t="s">
        <v>87</v>
      </c>
      <c r="C1623" s="26" t="s">
        <v>30</v>
      </c>
      <c r="D1623" s="26" t="s">
        <v>21</v>
      </c>
      <c r="E1623" s="26" t="s">
        <v>1606</v>
      </c>
      <c r="F1623" s="26" t="s">
        <v>1607</v>
      </c>
      <c r="G1623" s="26"/>
      <c r="H1623" s="26" t="s">
        <v>5</v>
      </c>
      <c r="I1623" s="26">
        <v>2053</v>
      </c>
      <c r="J1623" s="26" t="s">
        <v>694</v>
      </c>
      <c r="K1623" s="26" t="s">
        <v>580</v>
      </c>
      <c r="L1623" s="26" t="s">
        <v>240</v>
      </c>
      <c r="M1623" s="26" t="s">
        <v>38</v>
      </c>
      <c r="N1623" s="26" t="s">
        <v>39</v>
      </c>
      <c r="O1623" s="27">
        <v>32115</v>
      </c>
      <c r="P1623" s="26"/>
      <c r="Q1623" s="26"/>
      <c r="R1623" s="26"/>
      <c r="S1623" s="26" t="s">
        <v>29</v>
      </c>
    </row>
    <row r="1624" spans="1:19" ht="29.25">
      <c r="A1624" s="26">
        <v>74404</v>
      </c>
      <c r="B1624" s="26" t="s">
        <v>87</v>
      </c>
      <c r="C1624" s="26" t="s">
        <v>30</v>
      </c>
      <c r="D1624" s="26" t="s">
        <v>21</v>
      </c>
      <c r="E1624" s="26" t="s">
        <v>1608</v>
      </c>
      <c r="F1624" s="26" t="s">
        <v>1609</v>
      </c>
      <c r="G1624" s="26"/>
      <c r="H1624" s="26" t="s">
        <v>5</v>
      </c>
      <c r="I1624" s="26">
        <v>2053</v>
      </c>
      <c r="J1624" s="26" t="s">
        <v>694</v>
      </c>
      <c r="K1624" s="26" t="s">
        <v>580</v>
      </c>
      <c r="L1624" s="26" t="s">
        <v>240</v>
      </c>
      <c r="M1624" s="26" t="s">
        <v>38</v>
      </c>
      <c r="N1624" s="26" t="s">
        <v>39</v>
      </c>
      <c r="O1624" s="27">
        <v>32115</v>
      </c>
      <c r="P1624" s="26"/>
      <c r="Q1624" s="26"/>
      <c r="R1624" s="26"/>
      <c r="S1624" s="26" t="s">
        <v>29</v>
      </c>
    </row>
    <row r="1625" spans="1:19" ht="29.25">
      <c r="A1625" s="26">
        <v>74405</v>
      </c>
      <c r="B1625" s="26" t="s">
        <v>87</v>
      </c>
      <c r="C1625" s="26" t="s">
        <v>30</v>
      </c>
      <c r="D1625" s="26" t="s">
        <v>21</v>
      </c>
      <c r="E1625" s="26" t="s">
        <v>1610</v>
      </c>
      <c r="F1625" s="26" t="s">
        <v>1611</v>
      </c>
      <c r="G1625" s="26"/>
      <c r="H1625" s="26" t="s">
        <v>5</v>
      </c>
      <c r="I1625" s="26">
        <v>2053</v>
      </c>
      <c r="J1625" s="26" t="s">
        <v>694</v>
      </c>
      <c r="K1625" s="26" t="s">
        <v>366</v>
      </c>
      <c r="L1625" s="26"/>
      <c r="M1625" s="26" t="s">
        <v>38</v>
      </c>
      <c r="N1625" s="26" t="s">
        <v>39</v>
      </c>
      <c r="O1625" s="27">
        <v>32115</v>
      </c>
      <c r="P1625" s="26"/>
      <c r="Q1625" s="26"/>
      <c r="R1625" s="26"/>
      <c r="S1625" s="26" t="s">
        <v>29</v>
      </c>
    </row>
    <row r="1626" spans="1:19" ht="29.25">
      <c r="A1626" s="26">
        <v>74406</v>
      </c>
      <c r="B1626" s="26" t="s">
        <v>87</v>
      </c>
      <c r="C1626" s="26" t="s">
        <v>30</v>
      </c>
      <c r="D1626" s="26" t="s">
        <v>21</v>
      </c>
      <c r="E1626" s="26" t="s">
        <v>1612</v>
      </c>
      <c r="F1626" s="26" t="s">
        <v>1613</v>
      </c>
      <c r="G1626" s="26"/>
      <c r="H1626" s="26" t="s">
        <v>5</v>
      </c>
      <c r="I1626" s="26">
        <v>2053</v>
      </c>
      <c r="J1626" s="26" t="s">
        <v>694</v>
      </c>
      <c r="K1626" s="26" t="s">
        <v>366</v>
      </c>
      <c r="L1626" s="26"/>
      <c r="M1626" s="26" t="s">
        <v>38</v>
      </c>
      <c r="N1626" s="26" t="s">
        <v>39</v>
      </c>
      <c r="O1626" s="27">
        <v>32115</v>
      </c>
      <c r="P1626" s="26"/>
      <c r="Q1626" s="26"/>
      <c r="R1626" s="26"/>
      <c r="S1626" s="26" t="s">
        <v>29</v>
      </c>
    </row>
    <row r="1627" spans="1:19" ht="43.5">
      <c r="A1627" s="28">
        <v>75100</v>
      </c>
      <c r="B1627" s="28" t="s">
        <v>87</v>
      </c>
      <c r="C1627" s="28" t="s">
        <v>30</v>
      </c>
      <c r="D1627" s="28" t="s">
        <v>21</v>
      </c>
      <c r="E1627" s="28" t="s">
        <v>1360</v>
      </c>
      <c r="F1627" s="28" t="s">
        <v>1361</v>
      </c>
      <c r="G1627" s="28">
        <v>27.81</v>
      </c>
      <c r="H1627" s="28" t="s">
        <v>5</v>
      </c>
      <c r="I1627" s="28">
        <v>2055</v>
      </c>
      <c r="J1627" s="28" t="s">
        <v>694</v>
      </c>
      <c r="K1627" s="28" t="s">
        <v>580</v>
      </c>
      <c r="L1627" s="28" t="s">
        <v>240</v>
      </c>
      <c r="M1627" s="28" t="s">
        <v>38</v>
      </c>
      <c r="N1627" s="28" t="s">
        <v>39</v>
      </c>
      <c r="O1627" s="29">
        <v>31485</v>
      </c>
      <c r="P1627" s="28"/>
      <c r="Q1627" s="28"/>
      <c r="R1627" s="28">
        <v>14</v>
      </c>
      <c r="S1627" s="28" t="s">
        <v>29</v>
      </c>
    </row>
    <row r="1628" spans="1:19">
      <c r="A1628" s="28">
        <v>74900</v>
      </c>
      <c r="B1628" s="28" t="s">
        <v>87</v>
      </c>
      <c r="C1628" s="28" t="s">
        <v>30</v>
      </c>
      <c r="D1628" s="28" t="s">
        <v>21</v>
      </c>
      <c r="E1628" s="28" t="s">
        <v>935</v>
      </c>
      <c r="F1628" s="28" t="s">
        <v>936</v>
      </c>
      <c r="G1628" s="28">
        <v>53.1</v>
      </c>
      <c r="H1628" s="28" t="s">
        <v>24</v>
      </c>
      <c r="I1628" s="28" t="s">
        <v>937</v>
      </c>
      <c r="J1628" s="28" t="s">
        <v>694</v>
      </c>
      <c r="K1628" s="28" t="s">
        <v>580</v>
      </c>
      <c r="L1628" s="28" t="s">
        <v>240</v>
      </c>
      <c r="M1628" s="28" t="s">
        <v>27</v>
      </c>
      <c r="N1628" s="28" t="s">
        <v>28</v>
      </c>
      <c r="O1628" s="29">
        <v>30434</v>
      </c>
      <c r="P1628" s="28"/>
      <c r="Q1628" s="28"/>
      <c r="R1628" s="28">
        <v>53.1</v>
      </c>
      <c r="S1628" s="28" t="s">
        <v>29</v>
      </c>
    </row>
    <row r="1629" spans="1:19">
      <c r="A1629" s="28">
        <v>75000</v>
      </c>
      <c r="B1629" s="28" t="s">
        <v>87</v>
      </c>
      <c r="C1629" s="28" t="s">
        <v>30</v>
      </c>
      <c r="D1629" s="28" t="s">
        <v>21</v>
      </c>
      <c r="E1629" s="28" t="s">
        <v>1597</v>
      </c>
      <c r="F1629" s="28" t="s">
        <v>1598</v>
      </c>
      <c r="G1629" s="28">
        <v>63</v>
      </c>
      <c r="H1629" s="28" t="s">
        <v>24</v>
      </c>
      <c r="I1629" s="28" t="s">
        <v>1599</v>
      </c>
      <c r="J1629" s="28" t="s">
        <v>788</v>
      </c>
      <c r="K1629" s="28" t="s">
        <v>366</v>
      </c>
      <c r="L1629" s="28" t="s">
        <v>789</v>
      </c>
      <c r="M1629" s="28" t="s">
        <v>27</v>
      </c>
      <c r="N1629" s="28" t="s">
        <v>28</v>
      </c>
      <c r="O1629" s="29">
        <v>32080</v>
      </c>
      <c r="P1629" s="28"/>
      <c r="Q1629" s="28"/>
      <c r="R1629" s="28">
        <v>63</v>
      </c>
      <c r="S1629" s="28" t="s">
        <v>29</v>
      </c>
    </row>
    <row r="1630" spans="1:19" ht="29.25">
      <c r="A1630" s="28">
        <v>74200</v>
      </c>
      <c r="B1630" s="28" t="s">
        <v>87</v>
      </c>
      <c r="C1630" s="28" t="s">
        <v>30</v>
      </c>
      <c r="D1630" s="28" t="s">
        <v>21</v>
      </c>
      <c r="E1630" s="28" t="s">
        <v>1757</v>
      </c>
      <c r="F1630" s="28" t="s">
        <v>1758</v>
      </c>
      <c r="G1630" s="28">
        <v>3.75</v>
      </c>
      <c r="H1630" s="28" t="s">
        <v>24</v>
      </c>
      <c r="I1630" s="28" t="s">
        <v>1759</v>
      </c>
      <c r="J1630" s="28" t="s">
        <v>25</v>
      </c>
      <c r="K1630" s="28" t="s">
        <v>25</v>
      </c>
      <c r="L1630" s="28" t="s">
        <v>26</v>
      </c>
      <c r="M1630" s="28" t="s">
        <v>27</v>
      </c>
      <c r="N1630" s="28" t="s">
        <v>28</v>
      </c>
      <c r="O1630" s="29">
        <v>32499</v>
      </c>
      <c r="P1630" s="28"/>
      <c r="Q1630" s="28"/>
      <c r="R1630" s="28">
        <v>3.75</v>
      </c>
      <c r="S1630" s="28" t="s">
        <v>29</v>
      </c>
    </row>
    <row r="1631" spans="1:19" ht="29.25">
      <c r="A1631" s="28">
        <v>75400</v>
      </c>
      <c r="B1631" s="28" t="s">
        <v>87</v>
      </c>
      <c r="C1631" s="28" t="s">
        <v>30</v>
      </c>
      <c r="D1631" s="28" t="s">
        <v>21</v>
      </c>
      <c r="E1631" s="28"/>
      <c r="F1631" s="28" t="s">
        <v>1323</v>
      </c>
      <c r="G1631" s="28">
        <v>0</v>
      </c>
      <c r="H1631" s="28" t="s">
        <v>143</v>
      </c>
      <c r="I1631" s="28">
        <v>426</v>
      </c>
      <c r="J1631" s="28" t="s">
        <v>694</v>
      </c>
      <c r="K1631" s="28" t="s">
        <v>296</v>
      </c>
      <c r="L1631" s="28" t="s">
        <v>240</v>
      </c>
      <c r="M1631" s="28" t="s">
        <v>38</v>
      </c>
      <c r="N1631" s="28" t="s">
        <v>144</v>
      </c>
      <c r="O1631" s="29">
        <v>31413</v>
      </c>
      <c r="P1631" s="28" t="s">
        <v>892</v>
      </c>
      <c r="Q1631" s="28"/>
      <c r="R1631" s="28">
        <v>0.03</v>
      </c>
      <c r="S1631" s="28" t="s">
        <v>29</v>
      </c>
    </row>
    <row r="1632" spans="1:19">
      <c r="A1632" s="28">
        <v>75500</v>
      </c>
      <c r="B1632" s="28" t="s">
        <v>87</v>
      </c>
      <c r="C1632" s="28" t="s">
        <v>30</v>
      </c>
      <c r="D1632" s="28" t="s">
        <v>21</v>
      </c>
      <c r="E1632" s="28" t="s">
        <v>1228</v>
      </c>
      <c r="F1632" s="28" t="s">
        <v>1229</v>
      </c>
      <c r="G1632" s="28">
        <v>3.75</v>
      </c>
      <c r="H1632" s="28" t="s">
        <v>24</v>
      </c>
      <c r="I1632" s="28" t="s">
        <v>1230</v>
      </c>
      <c r="J1632" s="28" t="s">
        <v>25</v>
      </c>
      <c r="K1632" s="28" t="s">
        <v>25</v>
      </c>
      <c r="L1632" s="28" t="s">
        <v>26</v>
      </c>
      <c r="M1632" s="28" t="s">
        <v>27</v>
      </c>
      <c r="N1632" s="28" t="s">
        <v>28</v>
      </c>
      <c r="O1632" s="29">
        <v>31297</v>
      </c>
      <c r="P1632" s="28"/>
      <c r="Q1632" s="28"/>
      <c r="R1632" s="28">
        <v>3.75</v>
      </c>
      <c r="S1632" s="28" t="s">
        <v>29</v>
      </c>
    </row>
    <row r="1633" spans="1:19" ht="29.25">
      <c r="A1633" s="28">
        <v>75700</v>
      </c>
      <c r="B1633" s="28" t="s">
        <v>87</v>
      </c>
      <c r="C1633" s="28" t="s">
        <v>30</v>
      </c>
      <c r="D1633" s="28" t="s">
        <v>21</v>
      </c>
      <c r="E1633" s="28" t="s">
        <v>2052</v>
      </c>
      <c r="F1633" s="28" t="s">
        <v>2053</v>
      </c>
      <c r="G1633" s="28">
        <v>49.97</v>
      </c>
      <c r="H1633" s="28" t="s">
        <v>24</v>
      </c>
      <c r="I1633" s="28" t="s">
        <v>2054</v>
      </c>
      <c r="J1633" s="28" t="s">
        <v>694</v>
      </c>
      <c r="K1633" s="28" t="s">
        <v>580</v>
      </c>
      <c r="L1633" s="28" t="s">
        <v>240</v>
      </c>
      <c r="M1633" s="28" t="s">
        <v>27</v>
      </c>
      <c r="N1633" s="28" t="s">
        <v>28</v>
      </c>
      <c r="O1633" s="29">
        <v>33234</v>
      </c>
      <c r="P1633" s="28"/>
      <c r="Q1633" s="28"/>
      <c r="R1633" s="28">
        <v>57.2</v>
      </c>
      <c r="S1633" s="28" t="s">
        <v>29</v>
      </c>
    </row>
    <row r="1634" spans="1:19">
      <c r="A1634" s="28">
        <v>75900</v>
      </c>
      <c r="B1634" s="28" t="s">
        <v>87</v>
      </c>
      <c r="C1634" s="28" t="s">
        <v>30</v>
      </c>
      <c r="D1634" s="28" t="s">
        <v>21</v>
      </c>
      <c r="E1634" s="28" t="s">
        <v>3316</v>
      </c>
      <c r="F1634" s="28" t="s">
        <v>3315</v>
      </c>
      <c r="G1634" s="28">
        <v>2</v>
      </c>
      <c r="H1634" s="28" t="s">
        <v>24</v>
      </c>
      <c r="I1634" s="28"/>
      <c r="J1634" s="28" t="s">
        <v>694</v>
      </c>
      <c r="K1634" s="28"/>
      <c r="L1634" s="28" t="s">
        <v>240</v>
      </c>
      <c r="M1634" s="28" t="s">
        <v>27</v>
      </c>
      <c r="N1634" s="28" t="s">
        <v>28</v>
      </c>
      <c r="O1634" s="28" t="s">
        <v>4687</v>
      </c>
      <c r="P1634" s="28" t="s">
        <v>1887</v>
      </c>
      <c r="Q1634" s="28"/>
      <c r="R1634" s="28">
        <v>2</v>
      </c>
      <c r="S1634" s="28" t="s">
        <v>29</v>
      </c>
    </row>
    <row r="1635" spans="1:19">
      <c r="A1635" s="28">
        <v>75800</v>
      </c>
      <c r="B1635" s="28" t="s">
        <v>87</v>
      </c>
      <c r="C1635" s="28" t="s">
        <v>30</v>
      </c>
      <c r="D1635" s="28" t="s">
        <v>21</v>
      </c>
      <c r="E1635" s="28" t="s">
        <v>3314</v>
      </c>
      <c r="F1635" s="28" t="s">
        <v>3315</v>
      </c>
      <c r="G1635" s="28">
        <v>2</v>
      </c>
      <c r="H1635" s="28" t="s">
        <v>24</v>
      </c>
      <c r="I1635" s="28"/>
      <c r="J1635" s="28" t="s">
        <v>694</v>
      </c>
      <c r="K1635" s="28"/>
      <c r="L1635" s="28" t="s">
        <v>240</v>
      </c>
      <c r="M1635" s="28" t="s">
        <v>27</v>
      </c>
      <c r="N1635" s="28" t="s">
        <v>28</v>
      </c>
      <c r="O1635" s="28" t="s">
        <v>4687</v>
      </c>
      <c r="P1635" s="28" t="s">
        <v>1887</v>
      </c>
      <c r="Q1635" s="28"/>
      <c r="R1635" s="28">
        <v>2</v>
      </c>
      <c r="S1635" s="28" t="s">
        <v>29</v>
      </c>
    </row>
    <row r="1636" spans="1:19">
      <c r="A1636" s="28">
        <v>88800</v>
      </c>
      <c r="B1636" s="28" t="s">
        <v>292</v>
      </c>
      <c r="C1636" s="28" t="s">
        <v>21</v>
      </c>
      <c r="D1636" s="28" t="s">
        <v>21</v>
      </c>
      <c r="E1636" s="28" t="s">
        <v>3317</v>
      </c>
      <c r="F1636" s="28" t="s">
        <v>3318</v>
      </c>
      <c r="G1636" s="28">
        <v>5.75</v>
      </c>
      <c r="H1636" s="28" t="s">
        <v>5</v>
      </c>
      <c r="I1636" s="28" t="s">
        <v>294</v>
      </c>
      <c r="J1636" s="28" t="s">
        <v>295</v>
      </c>
      <c r="K1636" s="28" t="s">
        <v>580</v>
      </c>
      <c r="L1636" s="28" t="s">
        <v>240</v>
      </c>
      <c r="M1636" s="28" t="s">
        <v>38</v>
      </c>
      <c r="N1636" s="28" t="s">
        <v>298</v>
      </c>
      <c r="O1636" s="28" t="s">
        <v>4687</v>
      </c>
      <c r="P1636" s="28"/>
      <c r="Q1636" s="28"/>
      <c r="R1636" s="28">
        <v>5.75</v>
      </c>
      <c r="S1636" s="28" t="s">
        <v>29</v>
      </c>
    </row>
    <row r="1637" spans="1:19">
      <c r="A1637" s="28">
        <v>88900</v>
      </c>
      <c r="B1637" s="28" t="s">
        <v>292</v>
      </c>
      <c r="C1637" s="28" t="s">
        <v>21</v>
      </c>
      <c r="D1637" s="28" t="s">
        <v>21</v>
      </c>
      <c r="E1637" s="28" t="s">
        <v>3319</v>
      </c>
      <c r="F1637" s="28" t="s">
        <v>3320</v>
      </c>
      <c r="G1637" s="28">
        <v>5.75</v>
      </c>
      <c r="H1637" s="28" t="s">
        <v>5</v>
      </c>
      <c r="I1637" s="28" t="s">
        <v>294</v>
      </c>
      <c r="J1637" s="28" t="s">
        <v>295</v>
      </c>
      <c r="K1637" s="28" t="s">
        <v>580</v>
      </c>
      <c r="L1637" s="28" t="s">
        <v>240</v>
      </c>
      <c r="M1637" s="28" t="s">
        <v>38</v>
      </c>
      <c r="N1637" s="28" t="s">
        <v>298</v>
      </c>
      <c r="O1637" s="28" t="s">
        <v>4687</v>
      </c>
      <c r="P1637" s="28"/>
      <c r="Q1637" s="28"/>
      <c r="R1637" s="28">
        <v>5.9</v>
      </c>
      <c r="S1637" s="28" t="s">
        <v>29</v>
      </c>
    </row>
    <row r="1638" spans="1:19">
      <c r="A1638" s="24"/>
      <c r="B1638" s="24"/>
      <c r="C1638" s="24"/>
      <c r="D1638" s="24"/>
      <c r="E1638" s="24" t="s">
        <v>4789</v>
      </c>
      <c r="F1638" s="24"/>
      <c r="G1638" s="24">
        <f>SUM(G1639:G1643)</f>
        <v>301</v>
      </c>
      <c r="H1638" s="24"/>
      <c r="I1638" s="24"/>
      <c r="J1638" s="24" t="s">
        <v>25</v>
      </c>
      <c r="K1638" s="24"/>
      <c r="L1638" s="24"/>
      <c r="M1638" s="24"/>
      <c r="N1638" s="24"/>
      <c r="O1638" s="25">
        <v>21916</v>
      </c>
      <c r="P1638" s="279" t="s">
        <v>4794</v>
      </c>
      <c r="Q1638" s="24"/>
      <c r="R1638" s="24"/>
      <c r="S1638" s="24"/>
    </row>
    <row r="1639" spans="1:19">
      <c r="A1639" s="26">
        <v>77600</v>
      </c>
      <c r="B1639" s="26" t="s">
        <v>292</v>
      </c>
      <c r="C1639" s="26" t="s">
        <v>21</v>
      </c>
      <c r="D1639" s="26" t="s">
        <v>21</v>
      </c>
      <c r="E1639" s="26" t="s">
        <v>436</v>
      </c>
      <c r="F1639" s="26" t="s">
        <v>437</v>
      </c>
      <c r="G1639" s="26">
        <v>83</v>
      </c>
      <c r="H1639" s="26" t="s">
        <v>24</v>
      </c>
      <c r="I1639" s="26" t="s">
        <v>438</v>
      </c>
      <c r="J1639" s="26" t="s">
        <v>25</v>
      </c>
      <c r="K1639" s="26" t="s">
        <v>25</v>
      </c>
      <c r="L1639" s="26" t="s">
        <v>26</v>
      </c>
      <c r="M1639" s="26" t="s">
        <v>27</v>
      </c>
      <c r="N1639" s="26" t="s">
        <v>28</v>
      </c>
      <c r="O1639" s="27">
        <v>21916</v>
      </c>
      <c r="P1639" s="26"/>
      <c r="Q1639" s="26"/>
      <c r="R1639" s="26">
        <v>85</v>
      </c>
      <c r="S1639" s="26" t="s">
        <v>29</v>
      </c>
    </row>
    <row r="1640" spans="1:19">
      <c r="A1640" s="26">
        <v>77700</v>
      </c>
      <c r="B1640" s="26" t="s">
        <v>292</v>
      </c>
      <c r="C1640" s="26" t="s">
        <v>21</v>
      </c>
      <c r="D1640" s="26" t="s">
        <v>21</v>
      </c>
      <c r="E1640" s="26" t="s">
        <v>439</v>
      </c>
      <c r="F1640" s="26" t="s">
        <v>440</v>
      </c>
      <c r="G1640" s="26">
        <v>83</v>
      </c>
      <c r="H1640" s="26" t="s">
        <v>24</v>
      </c>
      <c r="I1640" s="26" t="s">
        <v>438</v>
      </c>
      <c r="J1640" s="26" t="s">
        <v>25</v>
      </c>
      <c r="K1640" s="26" t="s">
        <v>25</v>
      </c>
      <c r="L1640" s="26" t="s">
        <v>26</v>
      </c>
      <c r="M1640" s="26" t="s">
        <v>27</v>
      </c>
      <c r="N1640" s="26" t="s">
        <v>28</v>
      </c>
      <c r="O1640" s="27">
        <v>21916</v>
      </c>
      <c r="P1640" s="26"/>
      <c r="Q1640" s="26"/>
      <c r="R1640" s="26">
        <v>85</v>
      </c>
      <c r="S1640" s="26" t="s">
        <v>29</v>
      </c>
    </row>
    <row r="1641" spans="1:19">
      <c r="A1641" s="26">
        <v>78100</v>
      </c>
      <c r="B1641" s="26" t="s">
        <v>292</v>
      </c>
      <c r="C1641" s="26" t="s">
        <v>21</v>
      </c>
      <c r="D1641" s="26" t="s">
        <v>21</v>
      </c>
      <c r="E1641" s="26" t="s">
        <v>559</v>
      </c>
      <c r="F1641" s="26" t="s">
        <v>560</v>
      </c>
      <c r="G1641" s="26">
        <v>45</v>
      </c>
      <c r="H1641" s="26" t="s">
        <v>24</v>
      </c>
      <c r="I1641" s="26" t="s">
        <v>438</v>
      </c>
      <c r="J1641" s="26" t="s">
        <v>25</v>
      </c>
      <c r="K1641" s="26" t="s">
        <v>25</v>
      </c>
      <c r="L1641" s="26" t="s">
        <v>26</v>
      </c>
      <c r="M1641" s="26" t="s">
        <v>27</v>
      </c>
      <c r="N1641" s="26" t="s">
        <v>28</v>
      </c>
      <c r="O1641" s="27">
        <v>24473</v>
      </c>
      <c r="P1641" s="26"/>
      <c r="Q1641" s="26"/>
      <c r="R1641" s="26">
        <v>43.13</v>
      </c>
      <c r="S1641" s="26" t="s">
        <v>29</v>
      </c>
    </row>
    <row r="1642" spans="1:19">
      <c r="A1642" s="26">
        <v>78200</v>
      </c>
      <c r="B1642" s="26" t="s">
        <v>292</v>
      </c>
      <c r="C1642" s="26" t="s">
        <v>21</v>
      </c>
      <c r="D1642" s="26" t="s">
        <v>21</v>
      </c>
      <c r="E1642" s="26" t="s">
        <v>561</v>
      </c>
      <c r="F1642" s="26" t="s">
        <v>562</v>
      </c>
      <c r="G1642" s="26">
        <v>45</v>
      </c>
      <c r="H1642" s="26" t="s">
        <v>24</v>
      </c>
      <c r="I1642" s="26" t="s">
        <v>438</v>
      </c>
      <c r="J1642" s="26" t="s">
        <v>25</v>
      </c>
      <c r="K1642" s="26" t="s">
        <v>25</v>
      </c>
      <c r="L1642" s="26" t="s">
        <v>26</v>
      </c>
      <c r="M1642" s="26" t="s">
        <v>27</v>
      </c>
      <c r="N1642" s="26" t="s">
        <v>39</v>
      </c>
      <c r="O1642" s="27">
        <v>24473</v>
      </c>
      <c r="P1642" s="26"/>
      <c r="Q1642" s="26"/>
      <c r="R1642" s="26">
        <v>43.13</v>
      </c>
      <c r="S1642" s="26" t="s">
        <v>29</v>
      </c>
    </row>
    <row r="1643" spans="1:19">
      <c r="A1643" s="26">
        <v>78300</v>
      </c>
      <c r="B1643" s="26" t="s">
        <v>292</v>
      </c>
      <c r="C1643" s="26" t="s">
        <v>21</v>
      </c>
      <c r="D1643" s="26" t="s">
        <v>21</v>
      </c>
      <c r="E1643" s="26" t="s">
        <v>1515</v>
      </c>
      <c r="F1643" s="26" t="s">
        <v>1516</v>
      </c>
      <c r="G1643" s="26">
        <v>45</v>
      </c>
      <c r="H1643" s="26" t="s">
        <v>24</v>
      </c>
      <c r="I1643" s="26" t="s">
        <v>438</v>
      </c>
      <c r="J1643" s="26" t="s">
        <v>25</v>
      </c>
      <c r="K1643" s="26" t="s">
        <v>25</v>
      </c>
      <c r="L1643" s="26" t="s">
        <v>26</v>
      </c>
      <c r="M1643" s="26" t="s">
        <v>27</v>
      </c>
      <c r="N1643" s="26" t="s">
        <v>28</v>
      </c>
      <c r="O1643" s="27">
        <v>31778</v>
      </c>
      <c r="P1643" s="26"/>
      <c r="Q1643" s="26"/>
      <c r="R1643" s="26">
        <v>43.13</v>
      </c>
      <c r="S1643" s="26" t="s">
        <v>29</v>
      </c>
    </row>
    <row r="1644" spans="1:19">
      <c r="A1644" s="28">
        <v>78500</v>
      </c>
      <c r="B1644" s="28" t="s">
        <v>292</v>
      </c>
      <c r="C1644" s="28" t="s">
        <v>21</v>
      </c>
      <c r="D1644" s="28" t="s">
        <v>21</v>
      </c>
      <c r="E1644" s="28" t="s">
        <v>480</v>
      </c>
      <c r="F1644" s="28" t="s">
        <v>481</v>
      </c>
      <c r="G1644" s="28">
        <v>0.5</v>
      </c>
      <c r="H1644" s="28" t="s">
        <v>24</v>
      </c>
      <c r="I1644" s="28" t="s">
        <v>482</v>
      </c>
      <c r="J1644" s="28" t="s">
        <v>25</v>
      </c>
      <c r="K1644" s="28" t="s">
        <v>25</v>
      </c>
      <c r="L1644" s="28" t="s">
        <v>26</v>
      </c>
      <c r="M1644" s="28" t="s">
        <v>27</v>
      </c>
      <c r="N1644" s="28" t="s">
        <v>28</v>
      </c>
      <c r="O1644" s="29">
        <v>23377</v>
      </c>
      <c r="P1644" s="28"/>
      <c r="Q1644" s="28"/>
      <c r="R1644" s="28">
        <v>0.5</v>
      </c>
      <c r="S1644" s="28" t="s">
        <v>29</v>
      </c>
    </row>
    <row r="1645" spans="1:19">
      <c r="A1645" s="28">
        <v>78900</v>
      </c>
      <c r="B1645" s="28" t="s">
        <v>292</v>
      </c>
      <c r="C1645" s="28" t="s">
        <v>21</v>
      </c>
      <c r="D1645" s="28" t="s">
        <v>21</v>
      </c>
      <c r="E1645" s="28"/>
      <c r="F1645" s="28" t="s">
        <v>1517</v>
      </c>
      <c r="G1645" s="28">
        <v>3.2</v>
      </c>
      <c r="H1645" s="28" t="s">
        <v>24</v>
      </c>
      <c r="I1645" s="28" t="s">
        <v>438</v>
      </c>
      <c r="J1645" s="28" t="s">
        <v>25</v>
      </c>
      <c r="K1645" s="28" t="s">
        <v>25</v>
      </c>
      <c r="L1645" s="28" t="s">
        <v>26</v>
      </c>
      <c r="M1645" s="28" t="s">
        <v>27</v>
      </c>
      <c r="N1645" s="28" t="s">
        <v>28</v>
      </c>
      <c r="O1645" s="29">
        <v>31778</v>
      </c>
      <c r="P1645" s="28"/>
      <c r="Q1645" s="28"/>
      <c r="R1645" s="28">
        <v>3.2</v>
      </c>
      <c r="S1645" s="28" t="s">
        <v>29</v>
      </c>
    </row>
    <row r="1646" spans="1:19">
      <c r="A1646" s="28">
        <v>79000</v>
      </c>
      <c r="B1646" s="28" t="s">
        <v>292</v>
      </c>
      <c r="C1646" s="28" t="s">
        <v>21</v>
      </c>
      <c r="D1646" s="28" t="s">
        <v>21</v>
      </c>
      <c r="E1646" s="28" t="s">
        <v>637</v>
      </c>
      <c r="F1646" s="28" t="s">
        <v>638</v>
      </c>
      <c r="G1646" s="28">
        <v>52</v>
      </c>
      <c r="H1646" s="28" t="s">
        <v>24</v>
      </c>
      <c r="I1646" s="28" t="s">
        <v>438</v>
      </c>
      <c r="J1646" s="28" t="s">
        <v>25</v>
      </c>
      <c r="K1646" s="28" t="s">
        <v>25</v>
      </c>
      <c r="L1646" s="28" t="s">
        <v>26</v>
      </c>
      <c r="M1646" s="28" t="s">
        <v>27</v>
      </c>
      <c r="N1646" s="28" t="s">
        <v>28</v>
      </c>
      <c r="O1646" s="29">
        <v>25204</v>
      </c>
      <c r="P1646" s="28"/>
      <c r="Q1646" s="28"/>
      <c r="R1646" s="28">
        <v>57.5</v>
      </c>
      <c r="S1646" s="28" t="s">
        <v>29</v>
      </c>
    </row>
    <row r="1647" spans="1:19">
      <c r="A1647" s="28">
        <v>79100</v>
      </c>
      <c r="B1647" s="28" t="s">
        <v>292</v>
      </c>
      <c r="C1647" s="28" t="s">
        <v>21</v>
      </c>
      <c r="D1647" s="28" t="s">
        <v>21</v>
      </c>
      <c r="E1647" s="28" t="s">
        <v>639</v>
      </c>
      <c r="F1647" s="28" t="s">
        <v>640</v>
      </c>
      <c r="G1647" s="28">
        <v>52</v>
      </c>
      <c r="H1647" s="28" t="s">
        <v>24</v>
      </c>
      <c r="I1647" s="28" t="s">
        <v>438</v>
      </c>
      <c r="J1647" s="28" t="s">
        <v>25</v>
      </c>
      <c r="K1647" s="28" t="s">
        <v>25</v>
      </c>
      <c r="L1647" s="28" t="s">
        <v>26</v>
      </c>
      <c r="M1647" s="28" t="s">
        <v>27</v>
      </c>
      <c r="N1647" s="28" t="s">
        <v>28</v>
      </c>
      <c r="O1647" s="29">
        <v>25204</v>
      </c>
      <c r="P1647" s="28"/>
      <c r="Q1647" s="28"/>
      <c r="R1647" s="28">
        <v>57.5</v>
      </c>
      <c r="S1647" s="28" t="s">
        <v>29</v>
      </c>
    </row>
    <row r="1648" spans="1:19" ht="29.25">
      <c r="A1648" s="24">
        <v>79400</v>
      </c>
      <c r="B1648" s="24" t="s">
        <v>292</v>
      </c>
      <c r="C1648" s="24" t="s">
        <v>21</v>
      </c>
      <c r="D1648" s="24" t="s">
        <v>30</v>
      </c>
      <c r="E1648" s="24" t="s">
        <v>563</v>
      </c>
      <c r="F1648" s="24" t="s">
        <v>564</v>
      </c>
      <c r="G1648" s="24">
        <v>14</v>
      </c>
      <c r="H1648" s="24" t="s">
        <v>24</v>
      </c>
      <c r="I1648" s="24" t="s">
        <v>482</v>
      </c>
      <c r="J1648" s="24" t="s">
        <v>25</v>
      </c>
      <c r="K1648" s="24" t="s">
        <v>542</v>
      </c>
      <c r="L1648" s="24" t="s">
        <v>26</v>
      </c>
      <c r="M1648" s="24" t="s">
        <v>27</v>
      </c>
      <c r="N1648" s="24" t="s">
        <v>28</v>
      </c>
      <c r="O1648" s="25">
        <v>24473</v>
      </c>
      <c r="P1648" s="24"/>
      <c r="Q1648" s="24"/>
      <c r="R1648" s="24">
        <v>14.4</v>
      </c>
      <c r="S1648" s="24" t="s">
        <v>29</v>
      </c>
    </row>
    <row r="1649" spans="1:19" ht="29.25">
      <c r="A1649" s="26">
        <v>79401</v>
      </c>
      <c r="B1649" s="26" t="s">
        <v>292</v>
      </c>
      <c r="C1649" s="26" t="s">
        <v>21</v>
      </c>
      <c r="D1649" s="26" t="s">
        <v>21</v>
      </c>
      <c r="E1649" s="26" t="s">
        <v>565</v>
      </c>
      <c r="F1649" s="26" t="s">
        <v>566</v>
      </c>
      <c r="G1649" s="26">
        <v>2.1</v>
      </c>
      <c r="H1649" s="26" t="s">
        <v>24</v>
      </c>
      <c r="I1649" s="26" t="s">
        <v>482</v>
      </c>
      <c r="J1649" s="26" t="s">
        <v>25</v>
      </c>
      <c r="K1649" s="26" t="s">
        <v>542</v>
      </c>
      <c r="L1649" s="26" t="s">
        <v>26</v>
      </c>
      <c r="M1649" s="26" t="s">
        <v>27</v>
      </c>
      <c r="N1649" s="26" t="s">
        <v>28</v>
      </c>
      <c r="O1649" s="27">
        <v>24473</v>
      </c>
      <c r="P1649" s="26"/>
      <c r="Q1649" s="26"/>
      <c r="R1649" s="26">
        <v>2.4</v>
      </c>
      <c r="S1649" s="26" t="s">
        <v>29</v>
      </c>
    </row>
    <row r="1650" spans="1:19" ht="29.25">
      <c r="A1650" s="26">
        <v>79402</v>
      </c>
      <c r="B1650" s="26" t="s">
        <v>292</v>
      </c>
      <c r="C1650" s="26" t="s">
        <v>21</v>
      </c>
      <c r="D1650" s="26" t="s">
        <v>21</v>
      </c>
      <c r="E1650" s="26" t="s">
        <v>567</v>
      </c>
      <c r="F1650" s="26" t="s">
        <v>568</v>
      </c>
      <c r="G1650" s="26">
        <v>2.1</v>
      </c>
      <c r="H1650" s="26" t="s">
        <v>24</v>
      </c>
      <c r="I1650" s="26" t="s">
        <v>482</v>
      </c>
      <c r="J1650" s="26" t="s">
        <v>25</v>
      </c>
      <c r="K1650" s="26" t="s">
        <v>542</v>
      </c>
      <c r="L1650" s="26" t="s">
        <v>26</v>
      </c>
      <c r="M1650" s="26" t="s">
        <v>27</v>
      </c>
      <c r="N1650" s="26" t="s">
        <v>28</v>
      </c>
      <c r="O1650" s="27">
        <v>24473</v>
      </c>
      <c r="P1650" s="26"/>
      <c r="Q1650" s="26"/>
      <c r="R1650" s="26">
        <v>2.4</v>
      </c>
      <c r="S1650" s="26" t="s">
        <v>29</v>
      </c>
    </row>
    <row r="1651" spans="1:19" ht="29.25">
      <c r="A1651" s="26">
        <v>79403</v>
      </c>
      <c r="B1651" s="26" t="s">
        <v>292</v>
      </c>
      <c r="C1651" s="26" t="s">
        <v>21</v>
      </c>
      <c r="D1651" s="26" t="s">
        <v>21</v>
      </c>
      <c r="E1651" s="26" t="s">
        <v>569</v>
      </c>
      <c r="F1651" s="26" t="s">
        <v>570</v>
      </c>
      <c r="G1651" s="26">
        <v>2.1</v>
      </c>
      <c r="H1651" s="26" t="s">
        <v>24</v>
      </c>
      <c r="I1651" s="26" t="s">
        <v>482</v>
      </c>
      <c r="J1651" s="26" t="s">
        <v>25</v>
      </c>
      <c r="K1651" s="26" t="s">
        <v>542</v>
      </c>
      <c r="L1651" s="26" t="s">
        <v>26</v>
      </c>
      <c r="M1651" s="26" t="s">
        <v>27</v>
      </c>
      <c r="N1651" s="26" t="s">
        <v>28</v>
      </c>
      <c r="O1651" s="27">
        <v>24473</v>
      </c>
      <c r="P1651" s="26"/>
      <c r="Q1651" s="26"/>
      <c r="R1651" s="26">
        <v>2.4</v>
      </c>
      <c r="S1651" s="26" t="s">
        <v>29</v>
      </c>
    </row>
    <row r="1652" spans="1:19" ht="29.25">
      <c r="A1652" s="26">
        <v>79404</v>
      </c>
      <c r="B1652" s="26" t="s">
        <v>292</v>
      </c>
      <c r="C1652" s="26" t="s">
        <v>21</v>
      </c>
      <c r="D1652" s="26" t="s">
        <v>21</v>
      </c>
      <c r="E1652" s="26" t="s">
        <v>571</v>
      </c>
      <c r="F1652" s="26" t="s">
        <v>572</v>
      </c>
      <c r="G1652" s="26">
        <v>2.1</v>
      </c>
      <c r="H1652" s="26" t="s">
        <v>24</v>
      </c>
      <c r="I1652" s="26" t="s">
        <v>482</v>
      </c>
      <c r="J1652" s="26" t="s">
        <v>25</v>
      </c>
      <c r="K1652" s="26" t="s">
        <v>542</v>
      </c>
      <c r="L1652" s="26" t="s">
        <v>26</v>
      </c>
      <c r="M1652" s="26" t="s">
        <v>27</v>
      </c>
      <c r="N1652" s="26" t="s">
        <v>28</v>
      </c>
      <c r="O1652" s="27">
        <v>24473</v>
      </c>
      <c r="P1652" s="26"/>
      <c r="Q1652" s="26"/>
      <c r="R1652" s="26">
        <v>2.4</v>
      </c>
      <c r="S1652" s="26" t="s">
        <v>29</v>
      </c>
    </row>
    <row r="1653" spans="1:19" ht="29.25">
      <c r="A1653" s="26">
        <v>79405</v>
      </c>
      <c r="B1653" s="26" t="s">
        <v>292</v>
      </c>
      <c r="C1653" s="26" t="s">
        <v>21</v>
      </c>
      <c r="D1653" s="26" t="s">
        <v>21</v>
      </c>
      <c r="E1653" s="26" t="s">
        <v>573</v>
      </c>
      <c r="F1653" s="26" t="s">
        <v>574</v>
      </c>
      <c r="G1653" s="26">
        <v>2.1</v>
      </c>
      <c r="H1653" s="26" t="s">
        <v>24</v>
      </c>
      <c r="I1653" s="26" t="s">
        <v>482</v>
      </c>
      <c r="J1653" s="26" t="s">
        <v>25</v>
      </c>
      <c r="K1653" s="26" t="s">
        <v>542</v>
      </c>
      <c r="L1653" s="26" t="s">
        <v>26</v>
      </c>
      <c r="M1653" s="26" t="s">
        <v>27</v>
      </c>
      <c r="N1653" s="26" t="s">
        <v>28</v>
      </c>
      <c r="O1653" s="27">
        <v>24473</v>
      </c>
      <c r="P1653" s="26"/>
      <c r="Q1653" s="26"/>
      <c r="R1653" s="26">
        <v>2.4</v>
      </c>
      <c r="S1653" s="26" t="s">
        <v>29</v>
      </c>
    </row>
    <row r="1654" spans="1:19" ht="29.25">
      <c r="A1654" s="26">
        <v>79406</v>
      </c>
      <c r="B1654" s="26" t="s">
        <v>292</v>
      </c>
      <c r="C1654" s="26" t="s">
        <v>21</v>
      </c>
      <c r="D1654" s="26" t="s">
        <v>21</v>
      </c>
      <c r="E1654" s="26" t="s">
        <v>575</v>
      </c>
      <c r="F1654" s="26" t="s">
        <v>576</v>
      </c>
      <c r="G1654" s="26">
        <v>2.1</v>
      </c>
      <c r="H1654" s="26" t="s">
        <v>24</v>
      </c>
      <c r="I1654" s="26" t="s">
        <v>482</v>
      </c>
      <c r="J1654" s="26" t="s">
        <v>25</v>
      </c>
      <c r="K1654" s="26" t="s">
        <v>542</v>
      </c>
      <c r="L1654" s="26" t="s">
        <v>26</v>
      </c>
      <c r="M1654" s="26" t="s">
        <v>27</v>
      </c>
      <c r="N1654" s="26" t="s">
        <v>28</v>
      </c>
      <c r="O1654" s="27">
        <v>24473</v>
      </c>
      <c r="P1654" s="26"/>
      <c r="Q1654" s="26"/>
      <c r="R1654" s="26">
        <v>2.4</v>
      </c>
      <c r="S1654" s="26" t="s">
        <v>29</v>
      </c>
    </row>
    <row r="1655" spans="1:19">
      <c r="A1655" s="28">
        <v>96700</v>
      </c>
      <c r="B1655" s="28" t="s">
        <v>292</v>
      </c>
      <c r="C1655" s="28" t="s">
        <v>21</v>
      </c>
      <c r="D1655" s="28" t="s">
        <v>21</v>
      </c>
      <c r="E1655" s="28" t="s">
        <v>2814</v>
      </c>
      <c r="F1655" s="28" t="s">
        <v>2815</v>
      </c>
      <c r="G1655" s="28">
        <v>48.35</v>
      </c>
      <c r="H1655" s="28" t="s">
        <v>5</v>
      </c>
      <c r="I1655" s="28" t="s">
        <v>2501</v>
      </c>
      <c r="J1655" s="28" t="s">
        <v>694</v>
      </c>
      <c r="K1655" s="28" t="s">
        <v>580</v>
      </c>
      <c r="L1655" s="28" t="s">
        <v>240</v>
      </c>
      <c r="M1655" s="28" t="s">
        <v>38</v>
      </c>
      <c r="N1655" s="28" t="s">
        <v>2816</v>
      </c>
      <c r="O1655" s="29">
        <v>38869</v>
      </c>
      <c r="P1655" s="28"/>
      <c r="Q1655" s="28"/>
      <c r="R1655" s="28">
        <v>48.5</v>
      </c>
      <c r="S1655" s="28" t="s">
        <v>29</v>
      </c>
    </row>
    <row r="1656" spans="1:19">
      <c r="A1656" s="28">
        <v>96800</v>
      </c>
      <c r="B1656" s="28" t="s">
        <v>292</v>
      </c>
      <c r="C1656" s="28" t="s">
        <v>21</v>
      </c>
      <c r="D1656" s="28" t="s">
        <v>21</v>
      </c>
      <c r="E1656" s="28" t="s">
        <v>2817</v>
      </c>
      <c r="F1656" s="28" t="s">
        <v>2818</v>
      </c>
      <c r="G1656" s="28">
        <v>48.5</v>
      </c>
      <c r="H1656" s="28" t="s">
        <v>5</v>
      </c>
      <c r="I1656" s="28" t="s">
        <v>2501</v>
      </c>
      <c r="J1656" s="28" t="s">
        <v>694</v>
      </c>
      <c r="K1656" s="28" t="s">
        <v>580</v>
      </c>
      <c r="L1656" s="28" t="s">
        <v>240</v>
      </c>
      <c r="M1656" s="28" t="s">
        <v>38</v>
      </c>
      <c r="N1656" s="28" t="s">
        <v>2816</v>
      </c>
      <c r="O1656" s="29">
        <v>38869</v>
      </c>
      <c r="P1656" s="28"/>
      <c r="Q1656" s="28"/>
      <c r="R1656" s="28">
        <v>48.5</v>
      </c>
      <c r="S1656" s="28" t="s">
        <v>29</v>
      </c>
    </row>
    <row r="1657" spans="1:19" ht="29.25">
      <c r="A1657" s="28">
        <v>84800</v>
      </c>
      <c r="B1657" s="28" t="s">
        <v>292</v>
      </c>
      <c r="C1657" s="28" t="s">
        <v>21</v>
      </c>
      <c r="D1657" s="28" t="s">
        <v>21</v>
      </c>
      <c r="E1657" s="28" t="s">
        <v>3321</v>
      </c>
      <c r="F1657" s="28" t="s">
        <v>3322</v>
      </c>
      <c r="G1657" s="28">
        <v>1</v>
      </c>
      <c r="H1657" s="28" t="s">
        <v>24</v>
      </c>
      <c r="I1657" s="28" t="s">
        <v>1125</v>
      </c>
      <c r="J1657" s="28" t="s">
        <v>25</v>
      </c>
      <c r="K1657" s="28" t="s">
        <v>25</v>
      </c>
      <c r="L1657" s="28" t="s">
        <v>26</v>
      </c>
      <c r="M1657" s="28" t="s">
        <v>27</v>
      </c>
      <c r="N1657" s="28" t="s">
        <v>28</v>
      </c>
      <c r="O1657" s="28" t="s">
        <v>4687</v>
      </c>
      <c r="P1657" s="28" t="s">
        <v>3323</v>
      </c>
      <c r="Q1657" s="28"/>
      <c r="R1657" s="28">
        <v>0.4</v>
      </c>
      <c r="S1657" s="28" t="s">
        <v>29</v>
      </c>
    </row>
    <row r="1658" spans="1:19">
      <c r="A1658" s="28">
        <v>80400</v>
      </c>
      <c r="B1658" s="28" t="s">
        <v>292</v>
      </c>
      <c r="C1658" s="28" t="s">
        <v>21</v>
      </c>
      <c r="D1658" s="28" t="s">
        <v>21</v>
      </c>
      <c r="E1658" s="28" t="s">
        <v>2166</v>
      </c>
      <c r="F1658" s="28" t="s">
        <v>2167</v>
      </c>
      <c r="G1658" s="28">
        <v>102.18</v>
      </c>
      <c r="H1658" s="28" t="s">
        <v>24</v>
      </c>
      <c r="I1658" s="28" t="s">
        <v>1125</v>
      </c>
      <c r="J1658" s="28" t="s">
        <v>781</v>
      </c>
      <c r="K1658" s="28" t="s">
        <v>781</v>
      </c>
      <c r="L1658" s="28" t="s">
        <v>781</v>
      </c>
      <c r="M1658" s="28" t="s">
        <v>27</v>
      </c>
      <c r="N1658" s="28" t="s">
        <v>28</v>
      </c>
      <c r="O1658" s="29">
        <v>34335</v>
      </c>
      <c r="P1658" s="28"/>
      <c r="Q1658" s="28"/>
      <c r="R1658" s="28">
        <v>102.18</v>
      </c>
      <c r="S1658" s="28" t="s">
        <v>29</v>
      </c>
    </row>
    <row r="1659" spans="1:19" ht="29.25">
      <c r="A1659" s="24">
        <v>80700</v>
      </c>
      <c r="B1659" s="24" t="s">
        <v>292</v>
      </c>
      <c r="C1659" s="24" t="s">
        <v>21</v>
      </c>
      <c r="D1659" s="24" t="s">
        <v>30</v>
      </c>
      <c r="E1659" s="24" t="s">
        <v>2506</v>
      </c>
      <c r="F1659" s="24" t="s">
        <v>2507</v>
      </c>
      <c r="G1659" s="24">
        <v>36</v>
      </c>
      <c r="H1659" s="24" t="s">
        <v>5</v>
      </c>
      <c r="I1659" s="24" t="s">
        <v>2501</v>
      </c>
      <c r="J1659" s="24" t="s">
        <v>295</v>
      </c>
      <c r="K1659" s="24" t="s">
        <v>580</v>
      </c>
      <c r="L1659" s="24" t="s">
        <v>240</v>
      </c>
      <c r="M1659" s="24" t="s">
        <v>38</v>
      </c>
      <c r="N1659" s="24" t="s">
        <v>39</v>
      </c>
      <c r="O1659" s="25">
        <v>37420</v>
      </c>
      <c r="P1659" s="24" t="s">
        <v>2508</v>
      </c>
      <c r="Q1659" s="24"/>
      <c r="R1659" s="24">
        <v>44</v>
      </c>
      <c r="S1659" s="24" t="s">
        <v>29</v>
      </c>
    </row>
    <row r="1660" spans="1:19">
      <c r="A1660" s="26">
        <v>80701</v>
      </c>
      <c r="B1660" s="26" t="s">
        <v>292</v>
      </c>
      <c r="C1660" s="26" t="s">
        <v>21</v>
      </c>
      <c r="D1660" s="26" t="s">
        <v>21</v>
      </c>
      <c r="E1660" s="26" t="s">
        <v>2499</v>
      </c>
      <c r="F1660" s="26" t="s">
        <v>2500</v>
      </c>
      <c r="G1660" s="26">
        <v>11</v>
      </c>
      <c r="H1660" s="26" t="s">
        <v>5</v>
      </c>
      <c r="I1660" s="26" t="s">
        <v>2501</v>
      </c>
      <c r="J1660" s="26" t="s">
        <v>295</v>
      </c>
      <c r="K1660" s="26" t="s">
        <v>580</v>
      </c>
      <c r="L1660" s="26" t="s">
        <v>240</v>
      </c>
      <c r="M1660" s="26" t="s">
        <v>38</v>
      </c>
      <c r="N1660" s="26" t="s">
        <v>39</v>
      </c>
      <c r="O1660" s="27">
        <v>37410</v>
      </c>
      <c r="P1660" s="26"/>
      <c r="Q1660" s="26"/>
      <c r="R1660" s="26">
        <v>11</v>
      </c>
      <c r="S1660" s="26" t="s">
        <v>29</v>
      </c>
    </row>
    <row r="1661" spans="1:19">
      <c r="A1661" s="26">
        <v>80702</v>
      </c>
      <c r="B1661" s="26" t="s">
        <v>292</v>
      </c>
      <c r="C1661" s="26" t="s">
        <v>21</v>
      </c>
      <c r="D1661" s="26" t="s">
        <v>21</v>
      </c>
      <c r="E1661" s="26" t="s">
        <v>2502</v>
      </c>
      <c r="F1661" s="26" t="s">
        <v>2503</v>
      </c>
      <c r="G1661" s="26">
        <v>11</v>
      </c>
      <c r="H1661" s="26" t="s">
        <v>5</v>
      </c>
      <c r="I1661" s="26" t="s">
        <v>2501</v>
      </c>
      <c r="J1661" s="26" t="s">
        <v>295</v>
      </c>
      <c r="K1661" s="26" t="s">
        <v>580</v>
      </c>
      <c r="L1661" s="26" t="s">
        <v>240</v>
      </c>
      <c r="M1661" s="26" t="s">
        <v>38</v>
      </c>
      <c r="N1661" s="26" t="s">
        <v>39</v>
      </c>
      <c r="O1661" s="27">
        <v>37413</v>
      </c>
      <c r="P1661" s="26"/>
      <c r="Q1661" s="26"/>
      <c r="R1661" s="26">
        <v>11</v>
      </c>
      <c r="S1661" s="26" t="s">
        <v>29</v>
      </c>
    </row>
    <row r="1662" spans="1:19">
      <c r="A1662" s="26">
        <v>80703</v>
      </c>
      <c r="B1662" s="26" t="s">
        <v>292</v>
      </c>
      <c r="C1662" s="26" t="s">
        <v>21</v>
      </c>
      <c r="D1662" s="26" t="s">
        <v>21</v>
      </c>
      <c r="E1662" s="26" t="s">
        <v>2504</v>
      </c>
      <c r="F1662" s="26" t="s">
        <v>2505</v>
      </c>
      <c r="G1662" s="26">
        <v>11</v>
      </c>
      <c r="H1662" s="26" t="s">
        <v>5</v>
      </c>
      <c r="I1662" s="26" t="s">
        <v>2501</v>
      </c>
      <c r="J1662" s="26" t="s">
        <v>295</v>
      </c>
      <c r="K1662" s="26" t="s">
        <v>580</v>
      </c>
      <c r="L1662" s="26" t="s">
        <v>240</v>
      </c>
      <c r="M1662" s="26" t="s">
        <v>38</v>
      </c>
      <c r="N1662" s="26" t="s">
        <v>39</v>
      </c>
      <c r="O1662" s="27">
        <v>37413</v>
      </c>
      <c r="P1662" s="26"/>
      <c r="Q1662" s="26"/>
      <c r="R1662" s="26">
        <v>11</v>
      </c>
      <c r="S1662" s="26" t="s">
        <v>29</v>
      </c>
    </row>
    <row r="1663" spans="1:19">
      <c r="A1663" s="26">
        <v>80704</v>
      </c>
      <c r="B1663" s="26" t="s">
        <v>292</v>
      </c>
      <c r="C1663" s="26" t="s">
        <v>21</v>
      </c>
      <c r="D1663" s="26" t="s">
        <v>21</v>
      </c>
      <c r="E1663" s="26" t="s">
        <v>2509</v>
      </c>
      <c r="F1663" s="26" t="s">
        <v>2510</v>
      </c>
      <c r="G1663" s="26">
        <v>11</v>
      </c>
      <c r="H1663" s="26" t="s">
        <v>5</v>
      </c>
      <c r="I1663" s="26" t="s">
        <v>2501</v>
      </c>
      <c r="J1663" s="26" t="s">
        <v>295</v>
      </c>
      <c r="K1663" s="26" t="s">
        <v>580</v>
      </c>
      <c r="L1663" s="26" t="s">
        <v>240</v>
      </c>
      <c r="M1663" s="26" t="s">
        <v>38</v>
      </c>
      <c r="N1663" s="26" t="s">
        <v>39</v>
      </c>
      <c r="O1663" s="27">
        <v>37420</v>
      </c>
      <c r="P1663" s="26"/>
      <c r="Q1663" s="26"/>
      <c r="R1663" s="26">
        <v>11</v>
      </c>
      <c r="S1663" s="26" t="s">
        <v>29</v>
      </c>
    </row>
    <row r="1664" spans="1:19" ht="43.5">
      <c r="A1664" s="28">
        <v>88300</v>
      </c>
      <c r="B1664" s="28" t="s">
        <v>292</v>
      </c>
      <c r="C1664" s="28" t="s">
        <v>21</v>
      </c>
      <c r="D1664" s="28" t="s">
        <v>21</v>
      </c>
      <c r="E1664" s="28"/>
      <c r="F1664" s="28" t="s">
        <v>293</v>
      </c>
      <c r="G1664" s="28">
        <v>3.5</v>
      </c>
      <c r="H1664" s="28" t="s">
        <v>5</v>
      </c>
      <c r="I1664" s="28" t="s">
        <v>294</v>
      </c>
      <c r="J1664" s="28" t="s">
        <v>295</v>
      </c>
      <c r="K1664" s="28" t="s">
        <v>296</v>
      </c>
      <c r="L1664" s="28" t="s">
        <v>297</v>
      </c>
      <c r="M1664" s="28" t="s">
        <v>38</v>
      </c>
      <c r="N1664" s="28" t="s">
        <v>298</v>
      </c>
      <c r="O1664" s="29">
        <v>13516</v>
      </c>
      <c r="P1664" s="28" t="s">
        <v>299</v>
      </c>
      <c r="Q1664" s="28"/>
      <c r="R1664" s="28">
        <v>7</v>
      </c>
      <c r="S1664" s="28" t="s">
        <v>29</v>
      </c>
    </row>
    <row r="1665" spans="1:19" ht="43.5">
      <c r="A1665" s="28">
        <v>88400</v>
      </c>
      <c r="B1665" s="28" t="s">
        <v>292</v>
      </c>
      <c r="C1665" s="28" t="s">
        <v>21</v>
      </c>
      <c r="D1665" s="28" t="s">
        <v>21</v>
      </c>
      <c r="E1665" s="28"/>
      <c r="F1665" s="28" t="s">
        <v>300</v>
      </c>
      <c r="G1665" s="28">
        <v>3.5</v>
      </c>
      <c r="H1665" s="28" t="s">
        <v>5</v>
      </c>
      <c r="I1665" s="28" t="s">
        <v>294</v>
      </c>
      <c r="J1665" s="28" t="s">
        <v>295</v>
      </c>
      <c r="K1665" s="28" t="s">
        <v>296</v>
      </c>
      <c r="L1665" s="28" t="s">
        <v>297</v>
      </c>
      <c r="M1665" s="28" t="s">
        <v>38</v>
      </c>
      <c r="N1665" s="28" t="s">
        <v>298</v>
      </c>
      <c r="O1665" s="29">
        <v>13516</v>
      </c>
      <c r="P1665" s="28" t="s">
        <v>301</v>
      </c>
      <c r="Q1665" s="28"/>
      <c r="R1665" s="28">
        <v>7</v>
      </c>
      <c r="S1665" s="28" t="s">
        <v>29</v>
      </c>
    </row>
    <row r="1666" spans="1:19" ht="43.5">
      <c r="A1666" s="28">
        <v>88600</v>
      </c>
      <c r="B1666" s="28" t="s">
        <v>292</v>
      </c>
      <c r="C1666" s="28" t="s">
        <v>21</v>
      </c>
      <c r="D1666" s="28" t="s">
        <v>21</v>
      </c>
      <c r="E1666" s="28"/>
      <c r="F1666" s="28" t="s">
        <v>302</v>
      </c>
      <c r="G1666" s="28">
        <v>3.5</v>
      </c>
      <c r="H1666" s="28" t="s">
        <v>5</v>
      </c>
      <c r="I1666" s="28" t="s">
        <v>294</v>
      </c>
      <c r="J1666" s="28" t="s">
        <v>295</v>
      </c>
      <c r="K1666" s="28" t="s">
        <v>296</v>
      </c>
      <c r="L1666" s="28" t="s">
        <v>297</v>
      </c>
      <c r="M1666" s="28" t="s">
        <v>38</v>
      </c>
      <c r="N1666" s="28" t="s">
        <v>298</v>
      </c>
      <c r="O1666" s="29">
        <v>13516</v>
      </c>
      <c r="P1666" s="28" t="s">
        <v>299</v>
      </c>
      <c r="Q1666" s="28"/>
      <c r="R1666" s="28">
        <v>7</v>
      </c>
      <c r="S1666" s="28" t="s">
        <v>29</v>
      </c>
    </row>
    <row r="1667" spans="1:19" ht="43.5">
      <c r="A1667" s="28">
        <v>88700</v>
      </c>
      <c r="B1667" s="28" t="s">
        <v>292</v>
      </c>
      <c r="C1667" s="28" t="s">
        <v>21</v>
      </c>
      <c r="D1667" s="28" t="s">
        <v>21</v>
      </c>
      <c r="E1667" s="28"/>
      <c r="F1667" s="28" t="s">
        <v>303</v>
      </c>
      <c r="G1667" s="28">
        <v>3.5</v>
      </c>
      <c r="H1667" s="28" t="s">
        <v>5</v>
      </c>
      <c r="I1667" s="28" t="s">
        <v>294</v>
      </c>
      <c r="J1667" s="28" t="s">
        <v>295</v>
      </c>
      <c r="K1667" s="28" t="s">
        <v>296</v>
      </c>
      <c r="L1667" s="28" t="s">
        <v>297</v>
      </c>
      <c r="M1667" s="28" t="s">
        <v>38</v>
      </c>
      <c r="N1667" s="28" t="s">
        <v>298</v>
      </c>
      <c r="O1667" s="29">
        <v>13516</v>
      </c>
      <c r="P1667" s="28" t="s">
        <v>299</v>
      </c>
      <c r="Q1667" s="28"/>
      <c r="R1667" s="28">
        <v>7</v>
      </c>
      <c r="S1667" s="28" t="s">
        <v>29</v>
      </c>
    </row>
    <row r="1668" spans="1:19">
      <c r="A1668" s="28"/>
      <c r="B1668" s="28"/>
      <c r="C1668" s="28"/>
      <c r="D1668" s="28"/>
      <c r="E1668" s="28" t="s">
        <v>3407</v>
      </c>
      <c r="F1668" s="28" t="s">
        <v>3407</v>
      </c>
      <c r="G1668" s="28">
        <v>115.6</v>
      </c>
      <c r="H1668" s="28"/>
      <c r="I1668" s="28"/>
      <c r="J1668" s="28" t="s">
        <v>4793</v>
      </c>
      <c r="K1668" s="28"/>
      <c r="L1668" s="28"/>
      <c r="M1668" s="28"/>
      <c r="N1668" s="28"/>
      <c r="O1668" s="29" t="s">
        <v>4687</v>
      </c>
      <c r="P1668" s="280" t="s">
        <v>4794</v>
      </c>
      <c r="Q1668" s="28"/>
      <c r="R1668" s="28"/>
      <c r="S1668" s="28"/>
    </row>
    <row r="1669" spans="1:19">
      <c r="A1669" s="28"/>
      <c r="B1669" s="28"/>
      <c r="C1669" s="28"/>
      <c r="D1669" s="28"/>
      <c r="E1669" s="28" t="s">
        <v>3367</v>
      </c>
      <c r="F1669" s="28" t="s">
        <v>3367</v>
      </c>
      <c r="G1669" s="28">
        <v>127</v>
      </c>
      <c r="H1669" s="28"/>
      <c r="I1669" s="28"/>
      <c r="J1669" s="28" t="s">
        <v>4793</v>
      </c>
      <c r="K1669" s="28"/>
      <c r="L1669" s="28"/>
      <c r="M1669" s="28"/>
      <c r="N1669" s="28"/>
      <c r="O1669" s="29" t="s">
        <v>4687</v>
      </c>
      <c r="P1669" s="280" t="s">
        <v>4794</v>
      </c>
      <c r="Q1669" s="28"/>
      <c r="R1669" s="28"/>
      <c r="S1669" s="28"/>
    </row>
    <row r="1670" spans="1:19">
      <c r="A1670" s="28"/>
      <c r="B1670" s="28"/>
      <c r="C1670" s="28"/>
      <c r="D1670" s="28"/>
      <c r="E1670" s="28" t="s">
        <v>3466</v>
      </c>
      <c r="F1670" s="28" t="s">
        <v>3466</v>
      </c>
      <c r="G1670" s="28">
        <v>58</v>
      </c>
      <c r="H1670" s="28"/>
      <c r="I1670" s="28"/>
      <c r="J1670" s="28" t="s">
        <v>4793</v>
      </c>
      <c r="K1670" s="28"/>
      <c r="L1670" s="28"/>
      <c r="M1670" s="28"/>
      <c r="N1670" s="28"/>
      <c r="O1670" s="29" t="s">
        <v>4687</v>
      </c>
      <c r="P1670" s="280" t="s">
        <v>4794</v>
      </c>
      <c r="Q1670" s="28"/>
      <c r="R1670" s="28"/>
      <c r="S1670" s="28"/>
    </row>
    <row r="1671" spans="1:19">
      <c r="A1671" s="28"/>
      <c r="B1671" s="28"/>
      <c r="C1671" s="28"/>
      <c r="D1671" s="28"/>
      <c r="E1671" s="28" t="s">
        <v>3476</v>
      </c>
      <c r="F1671" s="28" t="s">
        <v>3476</v>
      </c>
      <c r="G1671" s="28">
        <v>236</v>
      </c>
      <c r="H1671" s="28"/>
      <c r="I1671" s="28"/>
      <c r="J1671" s="28" t="s">
        <v>4793</v>
      </c>
      <c r="K1671" s="28"/>
      <c r="L1671" s="28"/>
      <c r="M1671" s="28"/>
      <c r="N1671" s="28"/>
      <c r="O1671" s="29" t="s">
        <v>4687</v>
      </c>
      <c r="P1671" s="280" t="s">
        <v>4794</v>
      </c>
      <c r="Q1671" s="28"/>
      <c r="R1671" s="28"/>
      <c r="S1671" s="28"/>
    </row>
    <row r="1672" spans="1:19">
      <c r="A1672" s="28"/>
      <c r="B1672" s="28"/>
      <c r="C1672" s="28"/>
      <c r="D1672" s="28"/>
      <c r="E1672" s="28" t="s">
        <v>3659</v>
      </c>
      <c r="F1672" s="28" t="s">
        <v>3659</v>
      </c>
      <c r="G1672" s="28">
        <v>18</v>
      </c>
      <c r="H1672" s="28"/>
      <c r="I1672" s="28"/>
      <c r="J1672" s="28" t="s">
        <v>4793</v>
      </c>
      <c r="K1672" s="28"/>
      <c r="L1672" s="28"/>
      <c r="M1672" s="28"/>
      <c r="N1672" s="28"/>
      <c r="O1672" s="29" t="s">
        <v>4687</v>
      </c>
      <c r="P1672" s="280" t="s">
        <v>4794</v>
      </c>
      <c r="Q1672" s="28"/>
      <c r="R1672" s="28"/>
      <c r="S1672" s="28"/>
    </row>
    <row r="1673" spans="1:19">
      <c r="A1673" s="28"/>
      <c r="B1673" s="28"/>
      <c r="C1673" s="28"/>
      <c r="D1673" s="28"/>
      <c r="E1673" s="28" t="s">
        <v>3672</v>
      </c>
      <c r="F1673" s="28" t="s">
        <v>3672</v>
      </c>
      <c r="G1673" s="28">
        <v>46</v>
      </c>
      <c r="H1673" s="28"/>
      <c r="I1673" s="28"/>
      <c r="J1673" s="28" t="s">
        <v>4793</v>
      </c>
      <c r="K1673" s="28"/>
      <c r="L1673" s="28"/>
      <c r="M1673" s="28"/>
      <c r="N1673" s="28"/>
      <c r="O1673" s="29" t="s">
        <v>4687</v>
      </c>
      <c r="P1673" s="280" t="s">
        <v>4794</v>
      </c>
      <c r="Q1673" s="28"/>
      <c r="R1673" s="28"/>
      <c r="S1673" s="28"/>
    </row>
  </sheetData>
  <autoFilter ref="A6:S1667"/>
  <mergeCells count="9">
    <mergeCell ref="A4:F4"/>
    <mergeCell ref="H4:J4"/>
    <mergeCell ref="A5:F5"/>
    <mergeCell ref="A1:F1"/>
    <mergeCell ref="G1:J1"/>
    <mergeCell ref="A2:F2"/>
    <mergeCell ref="H2:J2"/>
    <mergeCell ref="A3:F3"/>
    <mergeCell ref="H3:J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Introduction</vt:lpstr>
      <vt:lpstr>Index</vt:lpstr>
      <vt:lpstr>Scenario Matrix</vt:lpstr>
      <vt:lpstr>Data Sources</vt:lpstr>
      <vt:lpstr>Scenarios</vt:lpstr>
      <vt:lpstr>Assumptions</vt:lpstr>
      <vt:lpstr>Demand Individual Assumptions</vt:lpstr>
      <vt:lpstr>Supply Individual Assumptions</vt:lpstr>
      <vt:lpstr>GeneratingCapabilityList</vt:lpstr>
      <vt:lpstr>Final 2014 NQC List</vt:lpstr>
      <vt:lpstr>CEC Siting Cases</vt:lpstr>
      <vt:lpstr>CEC Other Projects</vt:lpstr>
      <vt:lpstr>IncSmallPV Extrapolate</vt:lpstr>
      <vt:lpstr>GWhIncDCHP</vt:lpstr>
      <vt:lpstr>GWhIncEE</vt:lpstr>
      <vt:lpstr>GWhIncSmPV</vt:lpstr>
      <vt:lpstr>GWhLoad</vt:lpstr>
      <vt:lpstr>GWhLoadAAEE</vt:lpstr>
      <vt:lpstr>GWhPumpedLoad</vt:lpstr>
      <vt:lpstr>GWhTotalSales</vt:lpstr>
      <vt:lpstr>MWAuthProc</vt:lpstr>
      <vt:lpstr>MWEnergyStorage</vt:lpstr>
      <vt:lpstr>MWEnergyStorageOther</vt:lpstr>
      <vt:lpstr>MWEventBasedDR</vt:lpstr>
      <vt:lpstr>MWGeothermBiomassRetires</vt:lpstr>
      <vt:lpstr>MWHydroRetires</vt:lpstr>
      <vt:lpstr>MWImports</vt:lpstr>
      <vt:lpstr>MWIncDCHP</vt:lpstr>
      <vt:lpstr>MWIncSCHP</vt:lpstr>
      <vt:lpstr>MWIncSmPV</vt:lpstr>
      <vt:lpstr>MWLoad</vt:lpstr>
      <vt:lpstr>MWLoadAAEE</vt:lpstr>
      <vt:lpstr>MWNuclearRetires</vt:lpstr>
      <vt:lpstr>MWOtherRetires</vt:lpstr>
      <vt:lpstr>MWResourceAddsRPS</vt:lpstr>
      <vt:lpstr>MWSolarWindRetires</vt:lpstr>
      <vt:lpstr>Introduction!Print_Area</vt:lpstr>
      <vt:lpstr>'Scenario Matrix'!Print_Area</vt:lpstr>
      <vt:lpstr>Scenarios!Print_Area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2014-03-18T23:15:44Z</cp:lastPrinted>
  <dcterms:created xsi:type="dcterms:W3CDTF">2012-07-10T17:28:33Z</dcterms:created>
  <dcterms:modified xsi:type="dcterms:W3CDTF">2014-12-29T20:20:04Z</dcterms:modified>
</cp:coreProperties>
</file>