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5" yWindow="960" windowWidth="13620" windowHeight="11235" tabRatio="969"/>
  </bookViews>
  <sheets>
    <sheet name="Master" sheetId="1" r:id="rId1"/>
    <sheet name="Active" sheetId="3" r:id="rId2"/>
    <sheet name="ReOpened" sheetId="2" r:id="rId3"/>
    <sheet name="Definitions" sheetId="4" r:id="rId4"/>
  </sheets>
  <definedNames>
    <definedName name="_xlnm._FilterDatabase" localSheetId="1" hidden="1">Active!$A$1:$R$295</definedName>
    <definedName name="_xlnm._FilterDatabase" localSheetId="0" hidden="1">Master!$A$1:$R$315</definedName>
    <definedName name="_xlnm.Print_Area" localSheetId="1">Active!$A$1:$R$244</definedName>
    <definedName name="_xlnm.Print_Area" localSheetId="0">Master!$A$1:$R$316</definedName>
    <definedName name="_xlnm.Print_Area" localSheetId="2">ReOpened!$A$1:$R$73</definedName>
    <definedName name="_xlnm.Print_Titles" localSheetId="1">Active!$1:$1</definedName>
    <definedName name="_xlnm.Print_Titles" localSheetId="0">Master!$1:$1</definedName>
    <definedName name="_xlnm.Print_Titles" localSheetId="2">ReOpened!$1:$1</definedName>
  </definedNames>
  <calcPr calcId="145621"/>
</workbook>
</file>

<file path=xl/calcChain.xml><?xml version="1.0" encoding="utf-8"?>
<calcChain xmlns="http://schemas.openxmlformats.org/spreadsheetml/2006/main">
  <c r="K3" i="2" l="1"/>
  <c r="K4" i="2"/>
  <c r="K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2" i="2"/>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 i="3"/>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244"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 i="1"/>
  <c r="I73" i="2" l="1"/>
  <c r="G73" i="2"/>
  <c r="I72" i="2"/>
  <c r="G72" i="2"/>
  <c r="I71" i="2"/>
  <c r="G71" i="2"/>
  <c r="I70" i="2"/>
  <c r="G70" i="2"/>
  <c r="I69" i="2"/>
  <c r="G69" i="2"/>
  <c r="G244" i="3"/>
  <c r="G243" i="3"/>
  <c r="G241" i="3"/>
  <c r="G242" i="3"/>
  <c r="G239" i="3"/>
  <c r="G240" i="3"/>
  <c r="I316" i="1"/>
  <c r="G316" i="1"/>
  <c r="I315" i="1" l="1"/>
  <c r="I314" i="1"/>
  <c r="I313" i="1"/>
  <c r="G315" i="1"/>
  <c r="G314" i="1"/>
  <c r="G313" i="1"/>
  <c r="G243" i="1"/>
  <c r="G241" i="1"/>
  <c r="G242" i="1"/>
  <c r="G239" i="1"/>
  <c r="G240" i="1"/>
  <c r="G238" i="1"/>
  <c r="I312" i="1"/>
  <c r="G312" i="1"/>
  <c r="I68" i="2" l="1"/>
  <c r="G68" i="2"/>
  <c r="G238" i="3"/>
  <c r="G224" i="3"/>
  <c r="G237" i="1"/>
  <c r="G223" i="1"/>
  <c r="I311" i="1" l="1"/>
  <c r="G311" i="1"/>
  <c r="G232" i="3"/>
  <c r="G231" i="1"/>
  <c r="G237" i="3"/>
  <c r="G225" i="3"/>
  <c r="G236" i="1"/>
  <c r="G226" i="1"/>
  <c r="G234" i="3"/>
  <c r="G236" i="3"/>
  <c r="G235" i="3"/>
  <c r="G233" i="3"/>
  <c r="G228" i="3"/>
  <c r="G229" i="3"/>
  <c r="G230" i="3"/>
  <c r="G231" i="3"/>
  <c r="G235" i="1"/>
  <c r="G234" i="1"/>
  <c r="G233" i="1"/>
  <c r="G232" i="1"/>
  <c r="G230" i="1"/>
  <c r="G229" i="1"/>
  <c r="G228" i="1"/>
  <c r="G227" i="1"/>
  <c r="G225" i="1"/>
  <c r="I72" i="1" l="1"/>
  <c r="G72" i="1"/>
  <c r="I43" i="1"/>
  <c r="G43" i="1"/>
  <c r="I111" i="1"/>
  <c r="G111" i="1"/>
  <c r="I267" i="1"/>
  <c r="G267" i="1"/>
  <c r="I266" i="1"/>
  <c r="G266" i="1"/>
  <c r="I265" i="1"/>
  <c r="G265" i="1"/>
  <c r="I40" i="1"/>
  <c r="G40" i="1"/>
  <c r="I309" i="1"/>
  <c r="G309" i="1"/>
  <c r="I144" i="1"/>
  <c r="G144" i="1"/>
  <c r="G212" i="1"/>
  <c r="I250" i="1"/>
  <c r="G250" i="1"/>
  <c r="I249" i="1"/>
  <c r="G249" i="1"/>
  <c r="I248" i="1"/>
  <c r="G248" i="1"/>
  <c r="I263" i="1"/>
  <c r="G263" i="1"/>
  <c r="I284" i="1"/>
  <c r="G284" i="1"/>
  <c r="I286" i="1"/>
  <c r="G286" i="1"/>
  <c r="I304" i="1"/>
  <c r="G304" i="1"/>
  <c r="I87" i="1"/>
  <c r="G87" i="1"/>
  <c r="I86" i="1"/>
  <c r="G86" i="1"/>
  <c r="I85" i="1"/>
  <c r="G85" i="1"/>
  <c r="I84" i="1"/>
  <c r="G84" i="1"/>
  <c r="I83" i="1"/>
  <c r="G83" i="1"/>
  <c r="I19" i="1"/>
  <c r="G19" i="1"/>
  <c r="I103" i="1"/>
  <c r="G103" i="1"/>
  <c r="I105" i="1"/>
  <c r="G105" i="1"/>
  <c r="I278" i="1"/>
  <c r="G278" i="1"/>
  <c r="I277" i="1"/>
  <c r="G277" i="1"/>
  <c r="I276" i="1"/>
  <c r="G276" i="1"/>
  <c r="I275" i="1"/>
  <c r="G275" i="1"/>
  <c r="I285" i="1"/>
  <c r="G285" i="1"/>
  <c r="I308" i="1"/>
  <c r="G308" i="1"/>
  <c r="I307" i="1"/>
  <c r="G307" i="1"/>
  <c r="I306" i="1"/>
  <c r="G306" i="1"/>
  <c r="I305" i="1"/>
  <c r="G305" i="1"/>
  <c r="I67" i="2" l="1"/>
  <c r="G67" i="2"/>
  <c r="G226" i="3"/>
  <c r="G227" i="3"/>
  <c r="G223" i="3"/>
  <c r="G222" i="3"/>
  <c r="G221" i="3"/>
  <c r="G220" i="3"/>
  <c r="G135" i="3"/>
  <c r="G222" i="1"/>
  <c r="G220" i="1"/>
  <c r="G219" i="1"/>
  <c r="I310" i="1"/>
  <c r="G310" i="1"/>
  <c r="G136" i="1"/>
  <c r="G224" i="1"/>
  <c r="G221" i="1"/>
  <c r="G217" i="3" l="1"/>
  <c r="G218" i="3"/>
  <c r="G219" i="3"/>
  <c r="I65" i="2"/>
  <c r="G65" i="2"/>
  <c r="I64" i="2"/>
  <c r="G64" i="2"/>
  <c r="I63" i="2"/>
  <c r="G63" i="2"/>
  <c r="I62" i="2"/>
  <c r="G62" i="2"/>
  <c r="I61" i="2"/>
  <c r="G61" i="2"/>
  <c r="I66" i="2"/>
  <c r="G66" i="2"/>
  <c r="G218" i="1"/>
  <c r="G217" i="1"/>
  <c r="G216" i="1"/>
  <c r="I60" i="2" l="1"/>
  <c r="G60" i="2"/>
  <c r="I59" i="2"/>
  <c r="G59" i="2"/>
  <c r="I58" i="2"/>
  <c r="G58" i="2"/>
  <c r="I57" i="2"/>
  <c r="G57" i="2"/>
  <c r="I52" i="2"/>
  <c r="G52" i="2"/>
  <c r="I51" i="2"/>
  <c r="G51" i="2"/>
  <c r="I50" i="2"/>
  <c r="G50" i="2"/>
  <c r="I49" i="2"/>
  <c r="G49" i="2"/>
  <c r="I48" i="2"/>
  <c r="G48" i="2"/>
  <c r="I47" i="2"/>
  <c r="G47" i="2"/>
  <c r="I46" i="2"/>
  <c r="G46" i="2"/>
  <c r="I45" i="2"/>
  <c r="G45" i="2"/>
  <c r="I44" i="2"/>
  <c r="G44" i="2"/>
  <c r="I43" i="2"/>
  <c r="G43" i="2"/>
  <c r="I42" i="2"/>
  <c r="G42" i="2"/>
  <c r="I41" i="2"/>
  <c r="G41" i="2"/>
  <c r="I40" i="2"/>
  <c r="G40" i="2"/>
  <c r="I39" i="2"/>
  <c r="G39" i="2"/>
  <c r="I38" i="2"/>
  <c r="G38" i="2"/>
  <c r="I37" i="2"/>
  <c r="G37" i="2"/>
  <c r="I36" i="2"/>
  <c r="G36" i="2"/>
  <c r="I35" i="2"/>
  <c r="G35" i="2"/>
  <c r="I34" i="2"/>
  <c r="G34" i="2"/>
  <c r="I33" i="2"/>
  <c r="G33" i="2"/>
  <c r="I32" i="2"/>
  <c r="G32" i="2"/>
  <c r="I31" i="2"/>
  <c r="G31" i="2"/>
  <c r="I30" i="2"/>
  <c r="G30" i="2"/>
  <c r="I29" i="2"/>
  <c r="G29" i="2"/>
  <c r="I28" i="2"/>
  <c r="G28" i="2"/>
  <c r="I27" i="2"/>
  <c r="G27" i="2"/>
  <c r="I26" i="2"/>
  <c r="G26" i="2"/>
  <c r="I25" i="2"/>
  <c r="G25" i="2"/>
  <c r="I24" i="2"/>
  <c r="G24" i="2"/>
  <c r="I23" i="2"/>
  <c r="G23" i="2"/>
  <c r="I22" i="2"/>
  <c r="G22" i="2"/>
  <c r="I21" i="2"/>
  <c r="G21" i="2"/>
  <c r="I20" i="2"/>
  <c r="G20" i="2"/>
  <c r="I19" i="2"/>
  <c r="G19" i="2"/>
  <c r="I18" i="2"/>
  <c r="G18" i="2"/>
  <c r="I17" i="2"/>
  <c r="G17" i="2"/>
  <c r="I16" i="2"/>
  <c r="G16" i="2"/>
  <c r="I15" i="2"/>
  <c r="G15" i="2"/>
  <c r="I14" i="2"/>
  <c r="G14" i="2"/>
  <c r="I13" i="2"/>
  <c r="G13" i="2"/>
  <c r="I12" i="2"/>
  <c r="G12" i="2"/>
  <c r="I11" i="2"/>
  <c r="G11" i="2"/>
  <c r="I10" i="2"/>
  <c r="G10" i="2"/>
  <c r="I9" i="2"/>
  <c r="G9" i="2"/>
  <c r="I8" i="2"/>
  <c r="G8" i="2"/>
  <c r="I7" i="2"/>
  <c r="G7" i="2"/>
  <c r="I6" i="2"/>
  <c r="G6" i="2"/>
  <c r="I5" i="2"/>
  <c r="G5" i="2"/>
  <c r="I4" i="2"/>
  <c r="G4" i="2"/>
  <c r="I3" i="2"/>
  <c r="G3" i="2"/>
  <c r="I2" i="2"/>
  <c r="G2" i="2"/>
  <c r="G216" i="3"/>
  <c r="G214" i="3"/>
  <c r="G212" i="3"/>
  <c r="G207" i="3"/>
  <c r="G205" i="3"/>
  <c r="G206" i="3"/>
  <c r="G204" i="3"/>
  <c r="G200" i="3"/>
  <c r="G202" i="3"/>
  <c r="G198" i="3"/>
  <c r="G199" i="3"/>
  <c r="G195" i="3"/>
  <c r="G196" i="3"/>
  <c r="G197" i="3"/>
  <c r="G194" i="3"/>
  <c r="G191" i="3"/>
  <c r="G190" i="3"/>
  <c r="G189" i="3"/>
  <c r="G187" i="3"/>
  <c r="I185" i="3"/>
  <c r="G185" i="3"/>
  <c r="I184" i="3"/>
  <c r="G184" i="3"/>
  <c r="G183" i="3"/>
  <c r="G182" i="3"/>
  <c r="I181" i="3"/>
  <c r="G181" i="3"/>
  <c r="I180" i="3"/>
  <c r="G180" i="3"/>
  <c r="I179" i="3"/>
  <c r="G179" i="3"/>
  <c r="I178" i="3"/>
  <c r="G178" i="3"/>
  <c r="I177" i="3"/>
  <c r="G177" i="3"/>
  <c r="I176" i="3"/>
  <c r="G176" i="3"/>
  <c r="I175" i="3"/>
  <c r="G175" i="3"/>
  <c r="G173" i="3"/>
  <c r="I174" i="3"/>
  <c r="G174" i="3"/>
  <c r="G172" i="3"/>
  <c r="I170" i="3"/>
  <c r="G170" i="3"/>
  <c r="I171" i="3"/>
  <c r="G171" i="3"/>
  <c r="I169" i="3"/>
  <c r="G169" i="3"/>
  <c r="I166" i="3"/>
  <c r="G166" i="3"/>
  <c r="I167" i="3"/>
  <c r="G167" i="3"/>
  <c r="I168" i="3"/>
  <c r="G168" i="3"/>
  <c r="I164" i="3"/>
  <c r="G164" i="3"/>
  <c r="I165" i="3"/>
  <c r="G165" i="3"/>
  <c r="I163" i="3"/>
  <c r="G163" i="3"/>
  <c r="I162" i="3"/>
  <c r="G162" i="3"/>
  <c r="I158" i="3"/>
  <c r="G158" i="3"/>
  <c r="I159" i="3"/>
  <c r="G159" i="3"/>
  <c r="I160" i="3"/>
  <c r="G160" i="3"/>
  <c r="I161" i="3"/>
  <c r="G161" i="3"/>
  <c r="I156" i="3"/>
  <c r="G156" i="3"/>
  <c r="I157" i="3"/>
  <c r="G157" i="3"/>
  <c r="I152" i="3"/>
  <c r="G152" i="3"/>
  <c r="I153" i="3"/>
  <c r="G153" i="3"/>
  <c r="I154" i="3"/>
  <c r="G154" i="3"/>
  <c r="I155" i="3"/>
  <c r="G155" i="3"/>
  <c r="I151" i="3"/>
  <c r="G151" i="3"/>
  <c r="I150" i="3"/>
  <c r="G150" i="3"/>
  <c r="I147" i="3"/>
  <c r="G147" i="3"/>
  <c r="I148" i="3"/>
  <c r="G148" i="3"/>
  <c r="I149" i="3"/>
  <c r="G149" i="3"/>
  <c r="I146" i="3"/>
  <c r="G146" i="3"/>
  <c r="I145" i="3"/>
  <c r="G145" i="3"/>
  <c r="I143" i="3"/>
  <c r="G143" i="3"/>
  <c r="I144" i="3"/>
  <c r="G144" i="3"/>
  <c r="I141" i="3"/>
  <c r="G141" i="3"/>
  <c r="I142" i="3"/>
  <c r="G142" i="3"/>
  <c r="I140" i="3"/>
  <c r="G140" i="3"/>
  <c r="I139" i="3"/>
  <c r="G139" i="3"/>
  <c r="I138" i="3"/>
  <c r="G138" i="3"/>
  <c r="I137" i="3"/>
  <c r="G137" i="3"/>
  <c r="I136" i="3"/>
  <c r="G136" i="3"/>
  <c r="I134" i="3"/>
  <c r="G134" i="3"/>
  <c r="I132" i="3"/>
  <c r="G132" i="3"/>
  <c r="I133" i="3"/>
  <c r="G133" i="3"/>
  <c r="I131" i="3"/>
  <c r="G131" i="3"/>
  <c r="I130" i="3"/>
  <c r="G130" i="3"/>
  <c r="I129" i="3"/>
  <c r="G129" i="3"/>
  <c r="I128" i="3"/>
  <c r="G128" i="3"/>
  <c r="I127" i="3"/>
  <c r="G127" i="3"/>
  <c r="I126" i="3"/>
  <c r="G126" i="3"/>
  <c r="I124" i="3"/>
  <c r="G124" i="3"/>
  <c r="I125" i="3"/>
  <c r="G125" i="3"/>
  <c r="I123" i="3"/>
  <c r="G123" i="3"/>
  <c r="I122" i="3"/>
  <c r="G122" i="3"/>
  <c r="I121" i="3"/>
  <c r="G121" i="3"/>
  <c r="I120" i="3"/>
  <c r="G120" i="3"/>
  <c r="I118" i="3"/>
  <c r="G118" i="3"/>
  <c r="I119" i="3"/>
  <c r="G119" i="3"/>
  <c r="I117" i="3"/>
  <c r="G117" i="3"/>
  <c r="I116" i="3"/>
  <c r="G116" i="3"/>
  <c r="I115" i="3"/>
  <c r="G115" i="3"/>
  <c r="I112" i="3"/>
  <c r="G112" i="3"/>
  <c r="I113" i="3"/>
  <c r="G113" i="3"/>
  <c r="I114" i="3"/>
  <c r="G114" i="3"/>
  <c r="I111" i="3"/>
  <c r="G111" i="3"/>
  <c r="I110" i="3"/>
  <c r="G110" i="3"/>
  <c r="I108" i="3"/>
  <c r="G108" i="3"/>
  <c r="I109" i="3"/>
  <c r="G109" i="3"/>
  <c r="I105" i="3"/>
  <c r="G105" i="3"/>
  <c r="I106" i="3"/>
  <c r="G106" i="3"/>
  <c r="I107" i="3"/>
  <c r="G107" i="3"/>
  <c r="I103" i="3"/>
  <c r="G103" i="3"/>
  <c r="I104" i="3"/>
  <c r="G104" i="3"/>
  <c r="I102" i="3"/>
  <c r="G102" i="3"/>
  <c r="I101" i="3"/>
  <c r="G101" i="3"/>
  <c r="I100" i="3"/>
  <c r="G100" i="3"/>
  <c r="I99" i="3"/>
  <c r="G99" i="3"/>
  <c r="I97" i="3"/>
  <c r="G97" i="3"/>
  <c r="I98" i="3"/>
  <c r="G98" i="3"/>
  <c r="I96" i="3"/>
  <c r="G96" i="3"/>
  <c r="I95" i="3"/>
  <c r="G95" i="3"/>
  <c r="I94" i="3"/>
  <c r="G94" i="3"/>
  <c r="I92" i="3"/>
  <c r="G92" i="3"/>
  <c r="I93" i="3"/>
  <c r="G93" i="3"/>
  <c r="I91" i="3"/>
  <c r="G91" i="3"/>
  <c r="I89" i="3"/>
  <c r="G89" i="3"/>
  <c r="I90" i="3"/>
  <c r="G90" i="3"/>
  <c r="I88" i="3"/>
  <c r="G88" i="3"/>
  <c r="I87" i="3"/>
  <c r="G87" i="3"/>
  <c r="I85" i="3"/>
  <c r="G85" i="3"/>
  <c r="I86" i="3"/>
  <c r="G86" i="3"/>
  <c r="I83" i="3"/>
  <c r="G83" i="3"/>
  <c r="I84" i="3"/>
  <c r="G84" i="3"/>
  <c r="I82" i="3"/>
  <c r="G82" i="3"/>
  <c r="I81" i="3"/>
  <c r="G81" i="3"/>
  <c r="I80" i="3"/>
  <c r="G80" i="3"/>
  <c r="I79" i="3"/>
  <c r="G79" i="3"/>
  <c r="I78" i="3"/>
  <c r="G78" i="3"/>
  <c r="I77" i="3"/>
  <c r="G77" i="3"/>
  <c r="I76" i="3"/>
  <c r="G76" i="3"/>
  <c r="I75" i="3"/>
  <c r="G75" i="3"/>
  <c r="I74" i="3"/>
  <c r="G74" i="3"/>
  <c r="I73" i="3"/>
  <c r="G73" i="3"/>
  <c r="I72" i="3"/>
  <c r="G72" i="3"/>
  <c r="I71" i="3"/>
  <c r="G71" i="3"/>
  <c r="I70" i="3"/>
  <c r="G70" i="3"/>
  <c r="I67" i="3"/>
  <c r="G67" i="3"/>
  <c r="I68" i="3"/>
  <c r="G68" i="3"/>
  <c r="I69" i="3"/>
  <c r="G69" i="3"/>
  <c r="I66" i="3"/>
  <c r="G66" i="3"/>
  <c r="I65" i="3"/>
  <c r="G65" i="3"/>
  <c r="I64" i="3"/>
  <c r="G64" i="3"/>
  <c r="I63" i="3"/>
  <c r="G63" i="3"/>
  <c r="I62" i="3"/>
  <c r="G62" i="3"/>
  <c r="I60" i="3"/>
  <c r="G60" i="3"/>
  <c r="I61" i="3"/>
  <c r="G61" i="3"/>
  <c r="I59" i="3"/>
  <c r="G59" i="3"/>
  <c r="I58" i="3"/>
  <c r="G58" i="3"/>
  <c r="I57" i="3"/>
  <c r="G57" i="3"/>
  <c r="I56" i="3"/>
  <c r="G56" i="3"/>
  <c r="I54" i="3"/>
  <c r="G54" i="3"/>
  <c r="I55" i="3"/>
  <c r="G55" i="3"/>
  <c r="I53" i="3"/>
  <c r="G53" i="3"/>
  <c r="I52" i="3"/>
  <c r="G52" i="3"/>
  <c r="I51" i="3"/>
  <c r="G51" i="3"/>
  <c r="I49" i="3"/>
  <c r="G49" i="3"/>
  <c r="I50" i="3"/>
  <c r="G50" i="3"/>
  <c r="I48" i="3"/>
  <c r="G48" i="3"/>
  <c r="I47" i="3"/>
  <c r="G47" i="3"/>
  <c r="I46" i="3"/>
  <c r="G46" i="3"/>
  <c r="I45" i="3"/>
  <c r="G45" i="3"/>
  <c r="I44" i="3"/>
  <c r="G44" i="3"/>
  <c r="I43" i="3"/>
  <c r="G43" i="3"/>
  <c r="I42" i="3"/>
  <c r="G42" i="3"/>
  <c r="I41" i="3"/>
  <c r="G41" i="3"/>
  <c r="I40" i="3"/>
  <c r="G40" i="3"/>
  <c r="I39" i="3"/>
  <c r="G39" i="3"/>
  <c r="I38" i="3"/>
  <c r="G38" i="3"/>
  <c r="I37" i="3"/>
  <c r="G37" i="3"/>
  <c r="I36" i="3"/>
  <c r="G36" i="3"/>
  <c r="I35" i="3"/>
  <c r="G35" i="3"/>
  <c r="I34" i="3"/>
  <c r="G34" i="3"/>
  <c r="I33" i="3"/>
  <c r="G33" i="3"/>
  <c r="I32" i="3"/>
  <c r="G32" i="3"/>
  <c r="I29" i="3"/>
  <c r="G29" i="3"/>
  <c r="I30" i="3"/>
  <c r="G30" i="3"/>
  <c r="I31" i="3"/>
  <c r="G31" i="3"/>
  <c r="I28" i="3"/>
  <c r="G28" i="3"/>
  <c r="I27" i="3"/>
  <c r="G27" i="3"/>
  <c r="I26" i="3"/>
  <c r="G26" i="3"/>
  <c r="I25" i="3"/>
  <c r="G25" i="3"/>
  <c r="I24" i="3"/>
  <c r="G24" i="3"/>
  <c r="I23" i="3"/>
  <c r="G23" i="3"/>
  <c r="I22" i="3"/>
  <c r="G22" i="3"/>
  <c r="I21" i="3"/>
  <c r="G21" i="3"/>
  <c r="I19" i="3"/>
  <c r="G19" i="3"/>
  <c r="I20" i="3"/>
  <c r="G20" i="3"/>
  <c r="I17" i="3"/>
  <c r="G17" i="3"/>
  <c r="I18" i="3"/>
  <c r="G18" i="3"/>
  <c r="I16" i="3"/>
  <c r="G16" i="3"/>
  <c r="I15" i="3"/>
  <c r="G15" i="3"/>
  <c r="I14" i="3"/>
  <c r="G14" i="3"/>
  <c r="I13" i="3"/>
  <c r="G13" i="3"/>
  <c r="I12" i="3"/>
  <c r="G12" i="3"/>
  <c r="I11" i="3"/>
  <c r="G11" i="3"/>
  <c r="I10" i="3"/>
  <c r="G10" i="3"/>
  <c r="I9" i="3"/>
  <c r="G9" i="3"/>
  <c r="I8" i="3"/>
  <c r="G8" i="3"/>
  <c r="I7" i="3"/>
  <c r="G7" i="3"/>
  <c r="I6" i="3"/>
  <c r="G6" i="3"/>
  <c r="I5" i="3"/>
  <c r="G5" i="3"/>
  <c r="I4" i="3"/>
  <c r="G4" i="3"/>
  <c r="I3" i="3"/>
  <c r="G3" i="3"/>
  <c r="I2" i="3"/>
  <c r="G2" i="3"/>
  <c r="G195" i="1" l="1"/>
  <c r="I303" i="1"/>
  <c r="I302" i="1"/>
  <c r="I301" i="1"/>
  <c r="I300" i="1"/>
  <c r="G201" i="1"/>
  <c r="G196" i="1"/>
  <c r="G215" i="1"/>
  <c r="G199" i="1"/>
  <c r="G194" i="1"/>
  <c r="G303" i="1"/>
  <c r="G302" i="1"/>
  <c r="G213" i="1"/>
  <c r="G198" i="1"/>
  <c r="G193" i="1"/>
  <c r="G191" i="1"/>
  <c r="G189" i="1"/>
  <c r="G197" i="1"/>
  <c r="G173" i="1"/>
  <c r="G301" i="1"/>
  <c r="G300" i="1"/>
  <c r="I5" i="1" l="1"/>
  <c r="G206" i="1" l="1"/>
  <c r="G205" i="1"/>
  <c r="G204" i="1"/>
  <c r="G203" i="1"/>
  <c r="G187" i="1" l="1"/>
  <c r="G186" i="1"/>
  <c r="G182" i="1"/>
  <c r="G181" i="1"/>
  <c r="G171" i="1"/>
  <c r="G261" i="1" l="1"/>
  <c r="I261" i="1"/>
  <c r="G262" i="1"/>
  <c r="I262" i="1"/>
  <c r="G294" i="1"/>
  <c r="I294" i="1"/>
  <c r="G268" i="1"/>
  <c r="I268" i="1"/>
  <c r="G5" i="1"/>
  <c r="G8" i="1"/>
  <c r="I8" i="1"/>
  <c r="G295" i="1"/>
  <c r="I295" i="1"/>
  <c r="G256" i="1"/>
  <c r="I256" i="1"/>
  <c r="G9" i="1"/>
  <c r="I9" i="1"/>
  <c r="G10" i="1"/>
  <c r="I10" i="1"/>
  <c r="G11" i="1"/>
  <c r="I11" i="1"/>
  <c r="G13" i="1"/>
  <c r="I13" i="1"/>
  <c r="G255" i="1"/>
  <c r="I255" i="1"/>
  <c r="G15" i="1"/>
  <c r="I15" i="1"/>
  <c r="G21" i="1"/>
  <c r="I21" i="1"/>
  <c r="G22" i="1"/>
  <c r="I22" i="1"/>
  <c r="G25" i="1"/>
  <c r="I25" i="1"/>
  <c r="G287" i="1"/>
  <c r="I287" i="1"/>
  <c r="G26" i="1"/>
  <c r="I26" i="1"/>
  <c r="G27" i="1"/>
  <c r="I27" i="1"/>
  <c r="G292" i="1"/>
  <c r="I292" i="1"/>
  <c r="G33" i="1"/>
  <c r="I33" i="1"/>
  <c r="G35" i="1"/>
  <c r="I35" i="1"/>
  <c r="G36" i="1"/>
  <c r="I36" i="1"/>
  <c r="G37" i="1"/>
  <c r="I37" i="1"/>
  <c r="G39" i="1"/>
  <c r="I39" i="1"/>
  <c r="G41" i="1"/>
  <c r="I41" i="1"/>
  <c r="G42" i="1"/>
  <c r="I42" i="1"/>
  <c r="G45" i="1"/>
  <c r="I45" i="1"/>
  <c r="G47" i="1"/>
  <c r="I47" i="1"/>
  <c r="G271" i="1"/>
  <c r="I271" i="1"/>
  <c r="G272" i="1"/>
  <c r="I272" i="1"/>
  <c r="G273" i="1"/>
  <c r="I273" i="1"/>
  <c r="G274" i="1"/>
  <c r="I274" i="1"/>
  <c r="G49" i="1"/>
  <c r="I49" i="1"/>
  <c r="G50" i="1"/>
  <c r="I50" i="1"/>
  <c r="G51" i="1"/>
  <c r="I51" i="1"/>
  <c r="G280" i="1"/>
  <c r="I280" i="1"/>
  <c r="G281" i="1"/>
  <c r="I281" i="1"/>
  <c r="G54" i="1"/>
  <c r="I54" i="1"/>
  <c r="G55" i="1"/>
  <c r="I55" i="1"/>
  <c r="G56" i="1"/>
  <c r="I56" i="1"/>
  <c r="G60" i="1"/>
  <c r="I60" i="1"/>
  <c r="G64" i="1"/>
  <c r="I64" i="1"/>
  <c r="G62" i="1"/>
  <c r="I62" i="1"/>
  <c r="G63" i="1"/>
  <c r="I63" i="1"/>
  <c r="G66" i="1"/>
  <c r="I66" i="1"/>
  <c r="G65" i="1"/>
  <c r="I65" i="1"/>
  <c r="G70" i="1"/>
  <c r="I70" i="1"/>
  <c r="G74" i="1"/>
  <c r="I74" i="1"/>
  <c r="G73" i="1"/>
  <c r="I73" i="1"/>
  <c r="G75" i="1"/>
  <c r="I75" i="1"/>
  <c r="G77" i="1"/>
  <c r="I77" i="1"/>
  <c r="G78" i="1"/>
  <c r="I78" i="1"/>
  <c r="G81" i="1"/>
  <c r="I81" i="1"/>
  <c r="G82" i="1"/>
  <c r="I82" i="1"/>
  <c r="G88" i="1"/>
  <c r="I88" i="1"/>
  <c r="G94" i="1"/>
  <c r="I94" i="1"/>
  <c r="G95" i="1"/>
  <c r="I95" i="1"/>
  <c r="G92" i="1"/>
  <c r="I92" i="1"/>
  <c r="G93" i="1"/>
  <c r="I93" i="1"/>
  <c r="G91" i="1"/>
  <c r="I91" i="1"/>
  <c r="G97" i="1"/>
  <c r="I97" i="1"/>
  <c r="G100" i="1"/>
  <c r="I100" i="1"/>
  <c r="G101" i="1"/>
  <c r="I101" i="1"/>
  <c r="G99" i="1"/>
  <c r="I99" i="1"/>
  <c r="G102" i="1"/>
  <c r="I102" i="1"/>
  <c r="G108" i="1"/>
  <c r="I108" i="1"/>
  <c r="G110" i="1"/>
  <c r="I110" i="1"/>
  <c r="G109" i="1"/>
  <c r="I109" i="1"/>
  <c r="G112" i="1"/>
  <c r="I112" i="1"/>
  <c r="G115" i="1"/>
  <c r="I115" i="1"/>
  <c r="G116" i="1"/>
  <c r="I116" i="1"/>
  <c r="G117" i="1"/>
  <c r="I117" i="1"/>
  <c r="G118" i="1"/>
  <c r="I118" i="1"/>
  <c r="G121" i="1"/>
  <c r="I121" i="1"/>
  <c r="G122" i="1"/>
  <c r="I122" i="1"/>
  <c r="G124" i="1"/>
  <c r="I124" i="1"/>
  <c r="G123" i="1"/>
  <c r="I123" i="1"/>
  <c r="G125" i="1"/>
  <c r="I125" i="1"/>
  <c r="G129" i="1"/>
  <c r="I129" i="1"/>
  <c r="G134" i="1"/>
  <c r="I134" i="1"/>
  <c r="G131" i="1"/>
  <c r="I131" i="1"/>
  <c r="G130" i="1"/>
  <c r="I130" i="1"/>
  <c r="G135" i="1"/>
  <c r="I135" i="1"/>
  <c r="G138" i="1"/>
  <c r="I138" i="1"/>
  <c r="G140" i="1"/>
  <c r="I140" i="1"/>
  <c r="G141" i="1"/>
  <c r="I141" i="1"/>
  <c r="G142" i="1"/>
  <c r="I142" i="1"/>
  <c r="G143" i="1"/>
  <c r="I143" i="1"/>
  <c r="G139" i="1"/>
  <c r="I139" i="1"/>
  <c r="G149" i="1"/>
  <c r="I149" i="1"/>
  <c r="G145" i="1"/>
  <c r="I145" i="1"/>
  <c r="G146" i="1"/>
  <c r="I146" i="1"/>
  <c r="G150" i="1"/>
  <c r="I150" i="1"/>
  <c r="G155" i="1"/>
  <c r="I155" i="1"/>
  <c r="G151" i="1"/>
  <c r="I151" i="1"/>
  <c r="G152" i="1"/>
  <c r="I152" i="1"/>
  <c r="G153" i="1"/>
  <c r="I153" i="1"/>
  <c r="G162" i="1"/>
  <c r="I162" i="1"/>
  <c r="G163" i="1"/>
  <c r="I163" i="1"/>
  <c r="G164" i="1"/>
  <c r="I164" i="1"/>
  <c r="G165" i="1"/>
  <c r="I165" i="1"/>
  <c r="G166" i="1"/>
  <c r="I166" i="1"/>
  <c r="G167" i="1"/>
  <c r="I167" i="1"/>
  <c r="G168" i="1"/>
  <c r="I168" i="1"/>
  <c r="G172" i="1"/>
  <c r="I172" i="1"/>
  <c r="G169" i="1"/>
  <c r="I169" i="1"/>
  <c r="G170" i="1"/>
  <c r="I170" i="1"/>
  <c r="G174" i="1"/>
  <c r="I174" i="1"/>
  <c r="G175" i="1"/>
  <c r="I175" i="1"/>
  <c r="G177" i="1"/>
  <c r="I177" i="1"/>
  <c r="G179" i="1"/>
  <c r="I179" i="1"/>
  <c r="G257" i="1"/>
  <c r="I257" i="1"/>
  <c r="G258" i="1"/>
  <c r="I258" i="1"/>
  <c r="G2" i="1"/>
  <c r="I2" i="1"/>
  <c r="G245" i="1"/>
  <c r="I245" i="1"/>
  <c r="G269" i="1"/>
  <c r="I269" i="1"/>
  <c r="G246" i="1"/>
  <c r="I246" i="1"/>
  <c r="G251" i="1"/>
  <c r="I251" i="1"/>
  <c r="G7" i="1"/>
  <c r="I7" i="1"/>
  <c r="G252" i="1"/>
  <c r="I252" i="1"/>
  <c r="G253" i="1"/>
  <c r="I253" i="1"/>
  <c r="G254" i="1"/>
  <c r="I254" i="1"/>
  <c r="G260" i="1"/>
  <c r="I260" i="1"/>
  <c r="G12" i="1"/>
  <c r="I12" i="1"/>
  <c r="G14" i="1"/>
  <c r="I14" i="1"/>
  <c r="G16" i="1"/>
  <c r="I16" i="1"/>
  <c r="G38" i="1"/>
  <c r="I38" i="1"/>
  <c r="G264" i="1"/>
  <c r="I264" i="1"/>
  <c r="G270" i="1"/>
  <c r="I270" i="1"/>
  <c r="G44" i="1"/>
  <c r="I44" i="1"/>
  <c r="G282" i="1"/>
  <c r="I282" i="1"/>
  <c r="G57" i="1"/>
  <c r="I57" i="1"/>
  <c r="G59" i="1"/>
  <c r="I59" i="1"/>
  <c r="G71" i="1"/>
  <c r="I71" i="1"/>
  <c r="G79" i="1"/>
  <c r="I79" i="1"/>
  <c r="G80" i="1"/>
  <c r="I80" i="1"/>
  <c r="G98" i="1"/>
  <c r="I98" i="1"/>
  <c r="G104" i="1"/>
  <c r="I104" i="1"/>
  <c r="G119" i="1"/>
  <c r="I119" i="1"/>
  <c r="G293" i="1"/>
  <c r="I293" i="1"/>
  <c r="G127" i="1"/>
  <c r="I127" i="1"/>
  <c r="G128" i="1"/>
  <c r="I128" i="1"/>
  <c r="G147" i="1"/>
  <c r="I147" i="1"/>
  <c r="G148" i="1"/>
  <c r="I148" i="1"/>
  <c r="G157" i="1"/>
  <c r="I157" i="1"/>
  <c r="G158" i="1"/>
  <c r="I158" i="1"/>
  <c r="G161" i="1"/>
  <c r="I161" i="1"/>
  <c r="G156" i="1"/>
  <c r="I156" i="1"/>
  <c r="G176" i="1"/>
  <c r="I176" i="1"/>
  <c r="G183" i="1"/>
  <c r="I183" i="1"/>
  <c r="G185" i="1"/>
  <c r="I185" i="1"/>
  <c r="G279" i="1"/>
  <c r="I279" i="1"/>
  <c r="G17" i="1"/>
  <c r="I17" i="1"/>
  <c r="G24" i="1"/>
  <c r="I24" i="1"/>
  <c r="G29" i="1"/>
  <c r="I29" i="1"/>
  <c r="G34" i="1"/>
  <c r="I34" i="1"/>
  <c r="G46" i="1"/>
  <c r="I46" i="1"/>
  <c r="G67" i="1"/>
  <c r="I67" i="1"/>
  <c r="G283" i="1"/>
  <c r="I283" i="1"/>
  <c r="G76" i="1"/>
  <c r="I76" i="1"/>
  <c r="G89" i="1"/>
  <c r="I89" i="1"/>
  <c r="G96" i="1"/>
  <c r="I96" i="1"/>
  <c r="G120" i="1"/>
  <c r="I120" i="1"/>
  <c r="G159" i="1"/>
  <c r="I159" i="1"/>
  <c r="G178" i="1"/>
  <c r="I178" i="1"/>
  <c r="G259" i="1"/>
  <c r="I259" i="1"/>
  <c r="G244" i="1"/>
  <c r="I244" i="1"/>
  <c r="G290" i="1"/>
  <c r="I290" i="1"/>
  <c r="G247" i="1"/>
  <c r="I247" i="1"/>
  <c r="G291" i="1"/>
  <c r="I291" i="1"/>
  <c r="G3" i="1"/>
  <c r="I3" i="1"/>
  <c r="G4" i="1"/>
  <c r="I4" i="1"/>
  <c r="G288" i="1"/>
  <c r="I288" i="1"/>
  <c r="G6" i="1"/>
  <c r="I6" i="1"/>
  <c r="G289" i="1"/>
  <c r="I289" i="1"/>
  <c r="G18" i="1"/>
  <c r="I18" i="1"/>
  <c r="G20" i="1"/>
  <c r="I20" i="1"/>
  <c r="G23" i="1"/>
  <c r="I23" i="1"/>
  <c r="G28" i="1"/>
  <c r="I28" i="1"/>
  <c r="G30" i="1"/>
  <c r="I30" i="1"/>
  <c r="G31" i="1"/>
  <c r="I31" i="1"/>
  <c r="G32" i="1"/>
  <c r="I32" i="1"/>
  <c r="G48" i="1"/>
  <c r="I48" i="1"/>
  <c r="G52" i="1"/>
  <c r="I52" i="1"/>
  <c r="G53" i="1"/>
  <c r="I53" i="1"/>
  <c r="G58" i="1"/>
  <c r="I58" i="1"/>
  <c r="G61" i="1"/>
  <c r="I61" i="1"/>
  <c r="G68" i="1"/>
  <c r="I68" i="1"/>
  <c r="G69" i="1"/>
  <c r="I69" i="1"/>
  <c r="G90" i="1"/>
  <c r="I90" i="1"/>
  <c r="G106" i="1"/>
  <c r="I106" i="1"/>
  <c r="G107" i="1"/>
  <c r="I107" i="1"/>
  <c r="G113" i="1"/>
  <c r="I113" i="1"/>
  <c r="G114" i="1"/>
  <c r="I114" i="1"/>
  <c r="G126" i="1"/>
  <c r="I126" i="1"/>
  <c r="G132" i="1"/>
  <c r="I132" i="1"/>
  <c r="G133" i="1"/>
  <c r="I133" i="1"/>
  <c r="G137" i="1"/>
  <c r="I137" i="1"/>
  <c r="G154" i="1"/>
  <c r="I154" i="1"/>
  <c r="G160" i="1"/>
  <c r="I160" i="1"/>
  <c r="G180" i="1"/>
  <c r="I180" i="1"/>
</calcChain>
</file>

<file path=xl/sharedStrings.xml><?xml version="1.0" encoding="utf-8"?>
<sst xmlns="http://schemas.openxmlformats.org/spreadsheetml/2006/main" count="5999" uniqueCount="819">
  <si>
    <t>PROCEEDING</t>
  </si>
  <si>
    <t>FILED DATE</t>
  </si>
  <si>
    <t>CLOSED DATE</t>
  </si>
  <si>
    <t>REOPEN DATE</t>
  </si>
  <si>
    <t>SUBMISSION DATE</t>
  </si>
  <si>
    <t>HEARING</t>
  </si>
  <si>
    <t>SHORT TITLE</t>
  </si>
  <si>
    <t>STATUS</t>
  </si>
  <si>
    <t>UTILITY</t>
  </si>
  <si>
    <t>COMMISSIONER</t>
  </si>
  <si>
    <t>ALJ</t>
  </si>
  <si>
    <t>Yes</t>
  </si>
  <si>
    <t>REOPENED</t>
  </si>
  <si>
    <t>Miscellaneous</t>
  </si>
  <si>
    <t>Michael R. Peevey</t>
  </si>
  <si>
    <t>ACTIVE</t>
  </si>
  <si>
    <t>Electric</t>
  </si>
  <si>
    <t>Catherine J.K. Sandoval</t>
  </si>
  <si>
    <t xml:space="preserve">Douglas M. Long </t>
  </si>
  <si>
    <t>Water</t>
  </si>
  <si>
    <t>A0701031</t>
  </si>
  <si>
    <t>No</t>
  </si>
  <si>
    <t>EDISON - TO CONSTRUCT ELECTRICAL FACILITIES WITH VOLTAGES BETWEEN 50 KV AND 200 KV</t>
  </si>
  <si>
    <t>Michel Peter Florio</t>
  </si>
  <si>
    <t xml:space="preserve">Hallie Yacknin </t>
  </si>
  <si>
    <t>A0704028</t>
  </si>
  <si>
    <t>EDISON - TO CONSTRUCT ELECTRICAL FACILITIES WITH VOLTAGES BETWEEN 50KV AND 200KV - FOGARTY SUBSTATION PROJECT</t>
  </si>
  <si>
    <t>Communications</t>
  </si>
  <si>
    <t>A0806001</t>
  </si>
  <si>
    <t>EDISON - FOR APPROVAL OF DEMAND RESPONSE PROGRAMS, GOALS AND BUDGETS FOR 2009 - 2011</t>
  </si>
  <si>
    <t xml:space="preserve">Patricia Miles </t>
  </si>
  <si>
    <t>A0806002</t>
  </si>
  <si>
    <t>SDG&amp;E -  FOR APPROVAL OF DEMAND RESPONSE PROGRAMS AND BUDGETS FOR YEARS 2009 THROUGH 2011</t>
  </si>
  <si>
    <t>A0806003</t>
  </si>
  <si>
    <t>PG&amp;E - FOR APPROVAL OF 2009 - 2011 DEMAND RESPONSE PROGRAMS AND BUDGETS</t>
  </si>
  <si>
    <t xml:space="preserve">Karl Bemesderfer </t>
  </si>
  <si>
    <t>A0808022</t>
  </si>
  <si>
    <t>GOLDEN STATE WATER CO.  - CPCN TO CONSTRUCT AND OPERATE A WATER SYSTEM IN SUTTER COUNTY</t>
  </si>
  <si>
    <t>Carla Peterman</t>
  </si>
  <si>
    <t xml:space="preserve">Maryam Ebke </t>
  </si>
  <si>
    <t>A0903007</t>
  </si>
  <si>
    <t>NEXTG NETWORKS OF CALIFORNIA, INC. - FOR AUTHORITY TO ENGAGE IN GROUND-DISTURBING OUTSIDE PLANT CONSTRUCTION</t>
  </si>
  <si>
    <t xml:space="preserve">Kimberly Kim S. Pat Tsen </t>
  </si>
  <si>
    <t>Michael Picker</t>
  </si>
  <si>
    <t>Multiple Types</t>
  </si>
  <si>
    <t>A0909022</t>
  </si>
  <si>
    <t>EDISON - TO CONSTRUCT ELECTRICAL FACILITIES WITH VOLTAGES BETWEEN 50kV AND 200kV OR NEW OR UPGRADED SUBSTATIONS WITH HIGH SIDE VOLTAGES EXCEEDING 50 kV: ALBERHILL SYSTEM PROJECT</t>
  </si>
  <si>
    <t>A1002028</t>
  </si>
  <si>
    <t>PG&amp;E - FOR APPROVAL OF ITS 2010 RATE DESIGN WINDOW PROPOSAL FOR 2-PART PEAK TIME REBATE AND RECOVERY OF INCREMENTAL EXPENDITURE REQUIRER FOR IMPLEMENTATION</t>
  </si>
  <si>
    <t xml:space="preserve">Stephen C. Roscow </t>
  </si>
  <si>
    <t>A1006007</t>
  </si>
  <si>
    <t>SDG&amp;E - TO CONSTRUCT THE SOUTH BAY SUBSTATION RELOCATION PROJECT</t>
  </si>
  <si>
    <t>Transportation</t>
  </si>
  <si>
    <t xml:space="preserve">S. Pat Tsen </t>
  </si>
  <si>
    <t>A1007009</t>
  </si>
  <si>
    <t>SDG&amp;E - FOR APPROVAL OF ITS PROPOSALS FOR DYNAMIC PRICING AND RECOVERY OF INCREMENTAL EXPENDITURES REQUIRED FOR IMPLEMENTATION</t>
  </si>
  <si>
    <t>A1008005</t>
  </si>
  <si>
    <t>PG&amp;E - TO DEFER CONSIDERATION OF DEFAULT RESIDENTIAL TIME-VARIANT PRICING UNTIL ITS NEXT GRC PHASE 2 PROCEEDING</t>
  </si>
  <si>
    <t>A1008024</t>
  </si>
  <si>
    <t>CALIFORNIA PACIFIC ELECTRIC CO. - TO CONSTRUCT ELECTRICAL FACILITIES THE 625 AND 650 LINE UPGRADE PROJECT</t>
  </si>
  <si>
    <t xml:space="preserve">Jean Vieth </t>
  </si>
  <si>
    <t>A1010002</t>
  </si>
  <si>
    <t>PLAINS WEST COAST TERMINALS LLC - TO DISPOSE OF CERTAIN REAL PROPERTY LOCATED IN THE CITY OF HUNTINGTON BEACH</t>
  </si>
  <si>
    <t>A1011004</t>
  </si>
  <si>
    <t>STi PREPARD, LLC AND VIVARO CORP. - FOR AUTHORITY TO TRANSFER CONTROL</t>
  </si>
  <si>
    <t xml:space="preserve">Julie Halligan </t>
  </si>
  <si>
    <t xml:space="preserve">Linda Rochester </t>
  </si>
  <si>
    <t>Gas</t>
  </si>
  <si>
    <t>A1102002</t>
  </si>
  <si>
    <t>SUBURBAN WATER SYSTEMS - TO INCREASE RATES CHARGED FOR WATER SERVICE FOR YEARS 2012, 2013, AND 2014</t>
  </si>
  <si>
    <t xml:space="preserve">Douglas M. Long Legal Division </t>
  </si>
  <si>
    <t>A1102011</t>
  </si>
  <si>
    <t>PG&amp;E - FOR REVIEW OF ENTRIES TO THE ENERGY RESOURCE RECOVERY ACCOUNT AND RENEWABLES PORTFOLIO STANDARD COST MEMORANDUM ACCOUNT</t>
  </si>
  <si>
    <t xml:space="preserve">Kelly A. Hymes </t>
  </si>
  <si>
    <t xml:space="preserve">Amy C. Yip-Kikugawa </t>
  </si>
  <si>
    <t>A1104001</t>
  </si>
  <si>
    <t>EDISON - FOR A FINDING THAT ITS PROCUREMENT-RELATED AND OTHER OPERATIONS FOR RECORD PERIOD JANUARY/2010 TO DECEMBER 2010 COMPLIED WITH ADOPTED PROCUREMENT PLAN</t>
  </si>
  <si>
    <t>A1104013</t>
  </si>
  <si>
    <t>ORVIS AND ASPEN FOREST INVESTMENT CO., LLC. - TO BUY SHARES OF THE COMMON STOCK OF THE WATER SYSTEM KNOWN AS LAKE ALPINE</t>
  </si>
  <si>
    <t xml:space="preserve">Sean Wilson </t>
  </si>
  <si>
    <t xml:space="preserve">Kimberly Kim </t>
  </si>
  <si>
    <t>A1105023</t>
  </si>
  <si>
    <t>SDG&amp;E - TO ENTER INTO PURCHASE POWER TOLLING AGREEMENT WITH ESCONDIDO ENERGY CENTER, PIO PICO ENERGY CENTER AND QUAIL BRUSH POWER</t>
  </si>
  <si>
    <t>A1106003</t>
  </si>
  <si>
    <t>SDG&amp;E - FOR APPROVAL OF CONTRACT ADMINISTRATION, LEAST COST DISPATCH AND POWER PROCUREMETN ACTIVITIES AND COSTS RELATED TO THOSE ACTIVITIES</t>
  </si>
  <si>
    <t>A1106006</t>
  </si>
  <si>
    <t>SDG&amp;E - FOR ADOPTION OF ITS SMART GRID DEPLOYMENT PLAN</t>
  </si>
  <si>
    <t xml:space="preserve">Timothy J. Sullivan </t>
  </si>
  <si>
    <t>A1106029</t>
  </si>
  <si>
    <t>PG&amp;E - FOR ADOPTION OF ITS SMART GRID DEPLOYMENT PLAN</t>
  </si>
  <si>
    <t>A1107001</t>
  </si>
  <si>
    <t>EDISON - FOR APPROVAL OF ITS SMART GRID DEPOLYMENT PLAN</t>
  </si>
  <si>
    <t>A1107005</t>
  </si>
  <si>
    <t>SAN GABRIEL VALLEY WATER CO. - FOR AUTHORITY TO INCREASE RATES CHARGED FOR WATER SERVICE IN ITS FONTANA DIVISION FOR YEARS 2012-2014</t>
  </si>
  <si>
    <t>A1107009</t>
  </si>
  <si>
    <t>ALAMEDA COUNTY RESIDENTS CONCERNED ABOUT SMART METERS -  FOR MODIFICATION OF D.06-07-027</t>
  </si>
  <si>
    <t>A1108004</t>
  </si>
  <si>
    <t>CITY OF SAN CLEMENTE - FOR AN ORDER AUTHORIZING THE ALTERATION AND IMPROVEMENT OF SEVEN EXISTING SAN CLEMENTE BEACH TRAIL AT-GRADE CROSSINGS</t>
  </si>
  <si>
    <t>Railroad/Grade Crossings</t>
  </si>
  <si>
    <t xml:space="preserve">W. Anthony Colbert </t>
  </si>
  <si>
    <t>A1111002</t>
  </si>
  <si>
    <t>SDG&amp;E AND SOCAL GAS - TO REVISE THEIR RATES EFFECTIVE JANUARY 1. 2013</t>
  </si>
  <si>
    <t>A1112011</t>
  </si>
  <si>
    <t>KERMAN TELEPHONE CO. - TO REVIEW INTRASTATE RATES AND CHARGES AND RATE OF RETURN FOR TELEPHONE SERVICE FURNISHED WITHIN CALIFORNIA</t>
  </si>
  <si>
    <t>A1201008</t>
  </si>
  <si>
    <t>SDG&amp;E - AUTHORITY TO IMPLEMENT OPTIONAL PILOT PROGRAM TO INCREASE CUSTOMER ACCESS TO SOLAR GENERATED ELECTRICITY</t>
  </si>
  <si>
    <t>A1201012</t>
  </si>
  <si>
    <t>PG&amp;E - PERMIT TO CONSTRUCT SANTA CRUZ 115 KV REINFORCEMENT PROJECT PURSUANT TO GO 131-D</t>
  </si>
  <si>
    <t xml:space="preserve">Robert Mason </t>
  </si>
  <si>
    <t>A1201014</t>
  </si>
  <si>
    <t>PG&amp;E, EDISON, AND SDG&amp;E - FOR ADOPTION OF ELECTRIC REVENUE REQUIREMENTS</t>
  </si>
  <si>
    <t>A1204009</t>
  </si>
  <si>
    <t>PG&amp;E - ADOPTION OF ELECTRIC REVENUE REQUIREMENTS AND RATES ASSOCIATED WITH THE MARKET REDESIGN AND TECHNOLOGY UPGRADE (MRTU) INITIATIVE</t>
  </si>
  <si>
    <t>A1204019</t>
  </si>
  <si>
    <t>CAL-AM WATER CO. - FOR APPROVAL OF THE MONTEREY PENINSULA WATER SUPPLY PROJECT AND AUTHORIZATION TO RECOVER ALL PRESENT AND FUTURE COSTS IN RATES</t>
  </si>
  <si>
    <t>A1204020</t>
  </si>
  <si>
    <t>PG&amp;E - TO ESTABLISH A GREEN OPTION TARIFF</t>
  </si>
  <si>
    <t>A1205020</t>
  </si>
  <si>
    <t>SDG&amp;E - CPCN FOR THE SOUTH ORANGE COUNTY RELIABILITY ENHANCEMENT</t>
  </si>
  <si>
    <t xml:space="preserve">Darwin Farrar </t>
  </si>
  <si>
    <t>A1207001</t>
  </si>
  <si>
    <t>PG&amp;E - FOR APPROVAL OF 2013 -2014 ENERGY EFFICIENCY PROGRAMS AND BUDGET</t>
  </si>
  <si>
    <t xml:space="preserve">Todd O Edmister </t>
  </si>
  <si>
    <t>A1207002</t>
  </si>
  <si>
    <t>SDG&amp;E - FOR APPROVAL OF ELECTRIC AND NATURAL GAS ENERGY EFFICIENCY PROGRAMS AND BUDGETS FOR YEARS 2013 THROUGH 2014</t>
  </si>
  <si>
    <t>A1207003</t>
  </si>
  <si>
    <t>SOCAL GAS - FOR APPROVAL OF NATURAL GAS ENERGY EFFICIENCY PROGRAMS AND BUDGETS FOR YEARS 2013 THROUGH 2014</t>
  </si>
  <si>
    <t>A1207004</t>
  </si>
  <si>
    <t>EDISON - FOR APPROVAL OF ENERGY EFFICIENCY AND DEMAND RESPONSE INTEGRATED DEMAND SIDE MANAGEMENT PROGRAMS AND BUDGETS FOR 2013-2014</t>
  </si>
  <si>
    <t>A1210009</t>
  </si>
  <si>
    <t xml:space="preserve">SDG&amp;E - PERMIT TO CONSTRUCT ELECTRICAL FACILITIES: CLEVELAND NATIONAL FOREST POWER LINE REPLACEMENT PROJECTS.
</t>
  </si>
  <si>
    <t>A1210018</t>
  </si>
  <si>
    <t>EDISON - PERMIT TO CONSTRUCT ELECTRICAL FACILITIES WITH VOLTAGES BETWEEN 50KV AND 200KV: SANTA BARBARA COUNTY RELIABILITY PROJECT</t>
  </si>
  <si>
    <t>A1211001</t>
  </si>
  <si>
    <t>CALIFORNIA ENERGY COMMISSION - APPROVAL FOR ELECTRIC PROGRAM INVESTMENT CHARGE PROPOSED 2012 THROUGH 2014 TRIENNIAL INVESTMENT PLAN</t>
  </si>
  <si>
    <t>A1211002</t>
  </si>
  <si>
    <t xml:space="preserve">SDG&amp;E - APPROVAL FOR ELECTRIC PROGRAM INVESTMENT CHARGE  TRIENNIAL  PLAN FOR YEARS 2012-2014
</t>
  </si>
  <si>
    <t>A1211003</t>
  </si>
  <si>
    <t>PG&amp;E - APPROVAL  OF ITS 2012-2014 ELECTRIC PROGRAM INVESTMENT CHARGE INVESTMENT PLAN.</t>
  </si>
  <si>
    <t>A1211004</t>
  </si>
  <si>
    <t>EDISON - APPROVAL  OF ITS TRIENNIAL INVESTMENT PLAN FOR ELECTRIC PROGRAM INVESTMENT CHARGE PROGRAM</t>
  </si>
  <si>
    <t>A1211009</t>
  </si>
  <si>
    <t>PG&amp;E - FOR AUTHORITY, AMONG OTHER THINGS, TO INCREASE RATES AND CHARGES FOR ELECTRIC AND GAS SERVICE EFFECTIVE ON JANUARY 1, 2014</t>
  </si>
  <si>
    <t xml:space="preserve">Thomas R. Pulsifer </t>
  </si>
  <si>
    <t>A1211011</t>
  </si>
  <si>
    <t>EDISON - PERMIT TO CONSTRUCT ELECTRICAL FACILITIES WITH VOLTAGES BETWEEN 50KV AND 200 KV: BANDUCCI SUBSTATION PROJECT</t>
  </si>
  <si>
    <t xml:space="preserve">Jeanne McKinney </t>
  </si>
  <si>
    <t xml:space="preserve">Kevin R. Dudney </t>
  </si>
  <si>
    <t>A1212009</t>
  </si>
  <si>
    <t>CALNEV PIPE LINE LLC - FOR AUTHORITY PURSUANT TO PUB. UTIL. CODE SECTION 455.3, TO INCREASE ITS RATES FOR INTRASTATE PIPELINE TRANSPORTATION SERVICES</t>
  </si>
  <si>
    <t xml:space="preserve">Melanie Darling </t>
  </si>
  <si>
    <t>A1301003</t>
  </si>
  <si>
    <t>VALENCIA WATER CO. - FOR AUTHORITY TO INCREASE RATES CHARGED FOR WATER SERVICE IN ORDER TO REALIZE INCREASED ANNUAL REVENUES</t>
  </si>
  <si>
    <t xml:space="preserve">Todd O Edmister Douglas M. Long Legal Division </t>
  </si>
  <si>
    <t>A1301004</t>
  </si>
  <si>
    <t>VALENCIA WATER CO. - FOR AN ORDER ESTABLISHING THE COST OF CAPITAL FOR THE PERIOD FROM JANUARY 1, 2014 THROUGH DECEMBER 31, 2016.</t>
  </si>
  <si>
    <t>A1301014</t>
  </si>
  <si>
    <t>NOBELTEL, LLC - NDIEC REGISTRATION</t>
  </si>
  <si>
    <t>A1301016</t>
  </si>
  <si>
    <t>EDISON - FOR A REASONABLENESS DETERMINATION OF 2012 COSTS RECORDED IN THE SAN ONOFRE GENERATING STATION MEMORANDUM ACCOUNT</t>
  </si>
  <si>
    <t xml:space="preserve">Melanie Darling Kevin R. Dudney </t>
  </si>
  <si>
    <t>A1302007</t>
  </si>
  <si>
    <t>CROWN CASTLE NG WEST, INC. -  FOR AUTORITY TO CONSTRUCT AND DEVIATE FROM PUBLIC UTILITIES CODE SECTION 320 FOR SAN MATEO COUNTY DAS FACILITIES</t>
  </si>
  <si>
    <t xml:space="preserve">Dan Burcham </t>
  </si>
  <si>
    <t>A1302023</t>
  </si>
  <si>
    <t>PG&amp;E - FOR COMPLIANCE REVIEW OF UTILITY OWNED GENERATION OPERATIONS, ELECTRIC ENERGY RESOURCE RECOVERY ACCOUNT ENTRIES</t>
  </si>
  <si>
    <t xml:space="preserve">Irene K. Moosen </t>
  </si>
  <si>
    <t>A1303005</t>
  </si>
  <si>
    <t>EDISON - FOR INCLUSION OF THE STEAM GENERATOR REPLACEMENT PROGRAM COST PERMANENTLY IN RATES</t>
  </si>
  <si>
    <t>A1303006</t>
  </si>
  <si>
    <t>LOGICAL TELECOM, LP - FOR A CPCN TO PROVIDE INTEREXCHANGE CARRIER TELEPHONE SERVICES PURSUANT  TO THE PROVISIONS OF PUBLIC UTILITIES CODE SECTION 1001</t>
  </si>
  <si>
    <t>A1303010</t>
  </si>
  <si>
    <t>BRIGHT FIBER NETWORK, LLC - CPCN TO PROVIDE BROADBAND SERVICES</t>
  </si>
  <si>
    <t>A1303013</t>
  </si>
  <si>
    <t>SDG&amp;E - FOR A REASONABLENESS DETERMINATION OF 2012 COSTS RECORDED IN THE SAN ONOFRE NUCLEAR GENERATING STATION MEMORANDUM ACCOUNT</t>
  </si>
  <si>
    <t>A1303014</t>
  </si>
  <si>
    <t xml:space="preserve">SDG&amp;E - FOR INCLUSION OF THE STEAM GENERATOR REPLACEMENT PROJECT COST PERMANENTLY IN RATES
</t>
  </si>
  <si>
    <t>A1304001</t>
  </si>
  <si>
    <t>EDISON - FOR A COMMISSION FINDING THAT ITS PROCUREMENT-RELATED AND OTHER OPERATIONS FOR THE RECORD PERIORD JANUARY 1 THROUGH DECEMBER 31, 2012 COMPLIED</t>
  </si>
  <si>
    <t>A1304012</t>
  </si>
  <si>
    <t>PG&amp;E -  TO REVISE ITS ELECTRIC MARGINAL COSTS, REVENUE ALLOCATION, AND RATE DESIGN</t>
  </si>
  <si>
    <t>A1305012</t>
  </si>
  <si>
    <t>SDG&amp;E - FOR APPROVAL OF A SETTLEMENT AGREEMENT AND RELATED AMENDMENTS TO ITS POWER PURCHASE AGREEMENTS WITH OTAY MESA ENERGY CENTER.</t>
  </si>
  <si>
    <t>A1305016</t>
  </si>
  <si>
    <t>SDG&amp;E - FOR APPROVAL OF:CONTRACT ADMINISTRATION, LEAST COST DISPATCH, AND POWER PROCUREMENT ACTIVITIES IN 2012</t>
  </si>
  <si>
    <t>A1305017</t>
  </si>
  <si>
    <t>CALIFORNIA-AMERICAN WATER CO. - FOR AN ORDER APPROVING A SETTLEMENT AGREEMENT WITH THE COUNTY OF MONTEREY AND THE MONTEREY COUNTY WTR RESOURCES AGENCY</t>
  </si>
  <si>
    <t>A1306011</t>
  </si>
  <si>
    <t>PG&amp;E - TO SET NEW CORE INTERSTATE PIPELINE CAPACITY PLANNING RANGE</t>
  </si>
  <si>
    <t xml:space="preserve">John S. Wong </t>
  </si>
  <si>
    <t>A1306015</t>
  </si>
  <si>
    <t>SDG&amp;E - TO FILL LOCAL CAPACITY REQUIREMENT NEED IDENTIFIED IN D.13-03-029</t>
  </si>
  <si>
    <t xml:space="preserve">Hallie Yacknin Legal Division </t>
  </si>
  <si>
    <t>A1306018</t>
  </si>
  <si>
    <t>GOLDEN STATE WATER CO. - FOR PRE-APPROVAL OF POWER PURCHASE AGREEMENTS WITH EDF TRADING NORTH AMERICA</t>
  </si>
  <si>
    <t>A1307002</t>
  </si>
  <si>
    <t>CALIFORNIA-AMERICAN WATER CO. - FOR AUTHORITY TO INCREASE ITS REVENUES FOR WATER SERVICE IN THE YEARS 2015 AND 2016</t>
  </si>
  <si>
    <t xml:space="preserve">Katherine MacDonald </t>
  </si>
  <si>
    <t>A1308014</t>
  </si>
  <si>
    <t>PG&amp;E - TO CONSTRUCT THE MISSOURI FLAT - GOLD HILL 115 kV POWER LINE RECONDUCTORING PROJECT</t>
  </si>
  <si>
    <t>A1308023</t>
  </si>
  <si>
    <t>EDISON - FOR A CPCN FOR THE COOLWATER-LUGO TRANSMISSION PROJECT</t>
  </si>
  <si>
    <t>A1308026</t>
  </si>
  <si>
    <t>SDG&amp;E - FOR APPROVAL OF CUSTOMER OUTREACH PLAN FOR YEARS 2014 AND 2015</t>
  </si>
  <si>
    <t>A1308027</t>
  </si>
  <si>
    <t>EDISION - FOR APPROVAL OF YEARS 2014-2015 GREENHOUSE GAS ALLOWANCE CUSTOMER OUTREACH PLAN</t>
  </si>
  <si>
    <t xml:space="preserve">Julie Halligan Melissa K. Semcer </t>
  </si>
  <si>
    <t>A1309001</t>
  </si>
  <si>
    <t>PACIFICORP - FOR APPROVAL OF PROPOSED CUSTOMER OUTREACH PLAN FOR YEARS 2014 AND 2015</t>
  </si>
  <si>
    <t>A1309002</t>
  </si>
  <si>
    <t>PG&amp;E - FOR APPROVAL OF PROPOSED CUSTOMER OUTREACH AND EDUCATION PLAN FOR YEARS 2014 AND 2015</t>
  </si>
  <si>
    <t>A1309003</t>
  </si>
  <si>
    <t>LIBERTY UTILITIES (CALPECO ELECTRIC) LLC - FOR APPROVAL OF PROPOSED CUSTOMER OUTREACH PLAN FOR YEARS 2014 AND 2015</t>
  </si>
  <si>
    <t>A1309010</t>
  </si>
  <si>
    <t>SOCAL GAS CO. - FOR APPROVAL OF THE BRANCH OFFICE OPTIMIZATION PROCESS</t>
  </si>
  <si>
    <t>A1309014</t>
  </si>
  <si>
    <t>SDG&amp;E - FOR A PERMIT TO CONSTRUCT THE SALT CREEK SUBSTATION PROJECT</t>
  </si>
  <si>
    <t>A1309016</t>
  </si>
  <si>
    <t>EDISON - FOR AUTHORITY TO RECOVER COST RELATED TO 2009 FIRESTORM AND 2010 RAINSTORM AND RECORDED IN THE CATASTROPHIC EVENT MEMORANDUM ACCOUNT</t>
  </si>
  <si>
    <t>A1309018</t>
  </si>
  <si>
    <t>DIAL WORLD COMMUNICATIONS, LLC - TO OBTAIN A CPCN AS A TELEPHONE CORPORATION</t>
  </si>
  <si>
    <t>A1309020</t>
  </si>
  <si>
    <t>SONOMA-MARIN AREA RAIL TRANSIT DISTRICT -  COST ALLOCATION FOR REQUIRED IMPROVEMENTS, INCLUDING INSTALLATION OF QUADRANT GATES AT A PRIVATE CROSSING</t>
  </si>
  <si>
    <t xml:space="preserve">Kimberly Kim W. Anthony Colbert Richard Clark </t>
  </si>
  <si>
    <t>A1309023</t>
  </si>
  <si>
    <t>A1310011</t>
  </si>
  <si>
    <t>RURAL WATER CO. AND GOLDEN STATE WATER CO. - FOR APPROVAL OF SALE OF ASSETS</t>
  </si>
  <si>
    <t xml:space="preserve">Maribeth A. Bushey </t>
  </si>
  <si>
    <t>A1310020</t>
  </si>
  <si>
    <t xml:space="preserve"> EDISON - FOR A CERTIFICATE OF PUBLIC CONVENIENCE AND NECESSITY FOR THE WEST OF DEVERS UPGRADE PROJECT AND FOR AN INTERIM DECISION
</t>
  </si>
  <si>
    <t>A1310021</t>
  </si>
  <si>
    <t>EDISON - FOR A PERMIT TO CONSTRUCT ELECTRICAL FACILITIES WITH VOLTAGES BEETWEEN 50 KV AND 200 KV: MOORPARK-NEWBURY</t>
  </si>
  <si>
    <t>A1310022</t>
  </si>
  <si>
    <t>VODAFONE GLOBAL ENTERPRISE INC. - NDIEC REGISTRATION</t>
  </si>
  <si>
    <t>A1311003</t>
  </si>
  <si>
    <t>EDISON - AUTHORITY TO, AMONG OTHER THINGS, INCREASE ITS AUTHORIZED REVENUES FOR ELECTRIC SERVICE IN 2015, AND TO REFLECT THAT INCREASE IN RATES</t>
  </si>
  <si>
    <t xml:space="preserve">Kevin R. Dudney Melanie Darling </t>
  </si>
  <si>
    <t>A1311014</t>
  </si>
  <si>
    <t>ANGEL AMERICAS, LLC - NDIEC REGISTRATION</t>
  </si>
  <si>
    <t>A1312002</t>
  </si>
  <si>
    <t>DEL ORO WATER CO. - TO REVIEW THE REASONABLENESS OF ITS GENERAL OFFICE, AFFILIATE TRANSACTIONS, AND NON-TARIFED GOODS AND SERVICES</t>
  </si>
  <si>
    <t>A1312003</t>
  </si>
  <si>
    <t>1 800 COLLECT, INC - FOR A CPCN TO PROVIDE RESOLD COMPETITIVE LOCAL EXCHANGE</t>
  </si>
  <si>
    <t>A1312004</t>
  </si>
  <si>
    <t>WORLDVOX CORPORATION - TO OBTAIN A CPCN AS A TELEPHONE CORPORATION</t>
  </si>
  <si>
    <t>A1312012</t>
  </si>
  <si>
    <t xml:space="preserve">PG&amp;E - PROPOSING COST OF SERVICE AND RATES FOR GAS TRANSMISSION AND STORAGE SERVICES FOR THE PERIOD 2015 - 2017
</t>
  </si>
  <si>
    <t>A1312013</t>
  </si>
  <si>
    <t>SOCALGAS AND SDG&amp;E -  FOR AUTHORITY TO RECOVER NORTH-SOUTH PROJECT REVENUE REQUIREMENT IN CUSTOMER RATES</t>
  </si>
  <si>
    <t>A1312014</t>
  </si>
  <si>
    <t>A1401002</t>
  </si>
  <si>
    <t xml:space="preserve">APPLE VALLEY RANCHOS WATER COMPANY  - FOR AUTHORITY TO INCREASE RATES CHARGED FOR WATER SERVICE IN YEARS 2015, 2016 AND 2017
</t>
  </si>
  <si>
    <t>A1401007</t>
  </si>
  <si>
    <t xml:space="preserve">EDISON - FOR APPROVAL OF OPTIONAL GREEN RATE
</t>
  </si>
  <si>
    <t>A1401008</t>
  </si>
  <si>
    <t>A1401020</t>
  </si>
  <si>
    <t>HUNTER COMMUNICATIONS, INC. - FOR A CPCN TO PROVIDE FULL FACILITIES BASED AND RESOLD COMPETITIVE LOCAL EXCHANGE AND INTEREXCHANGE  SERVICE</t>
  </si>
  <si>
    <t>A1401027</t>
  </si>
  <si>
    <t>SDG&amp;E - FOR AUTHORITY TO UPDATE ELECTIC RATE DESIGN EFFECTIVE ON JANUARY 1, 2015</t>
  </si>
  <si>
    <t>A1401028</t>
  </si>
  <si>
    <t>CABLE &amp; WIRELESS AMERICAS OPERATIONS, INC. - FOR A CPCN TO PROVIDE RESOLD INTEREXCHANGE TELECOMMUNICATIONS SERVICE</t>
  </si>
  <si>
    <t>A1401029</t>
  </si>
  <si>
    <t>ILATANET, LLC - FOR AUTHORIZATION TO OBTAIN A CPCN AS A TELEPHONE CORPORATION PURSUANT TO THE PROVISIONS OF PUBLIC UTILITIES CODE SECTION 1001.</t>
  </si>
  <si>
    <t xml:space="preserve">Colette Kersten </t>
  </si>
  <si>
    <t>A1402008</t>
  </si>
  <si>
    <t>PG&amp;E - FOR COMPLIANCE REVIEW OF UTILITY OWNED GENERATION OPERATIONS, ELECTRIC ENERGY RESORUCE RECOVERY ACCOUNT ENTRIES ET AL.</t>
  </si>
  <si>
    <t>A1403006</t>
  </si>
  <si>
    <t>DYNALINK COMMUNICATIONS, INC. - FOR A CPCN TO PROVIDE RESOLD LOCAL EXCHANGE AND INTEREXCHANGE TELECOMMUNICATION SERVICES</t>
  </si>
  <si>
    <t>A1403007</t>
  </si>
  <si>
    <t>WEBPASS TELECOMMUNICATIONS, LLC - FOR A CPCN TO PROVIDE FULL FACILITIES-BASED AND RESOLD COMPETITIVE LOCAL EXCHANGE SERVICE AND FULL FACILITIES-BASED AND RESOLD INTEREXCHANGE SERVICE STATEWIDE</t>
  </si>
  <si>
    <t>A1403011</t>
  </si>
  <si>
    <t>RB COMMUNICATIONS, INC.- NDIEC REGISTRATION</t>
  </si>
  <si>
    <t>A1403013</t>
  </si>
  <si>
    <t>EDISON - FOR APPROVAL OF 2014-2018 ECONOMIC DEVELOPMENT RATES</t>
  </si>
  <si>
    <t xml:space="preserve">Regina DeAngelis </t>
  </si>
  <si>
    <t>A1404006</t>
  </si>
  <si>
    <t>EDISON - FOR A FINDING THAT ITS PROCUREMENT-RELATED AND OTHER OPERATIONS FOR 1/1 - 12/31/13  COMPLIED WITH ADOPTED PROCUREMENT PLAN AND TO RECOVER $6.619 MILLION RECORDED IN  MEMORANDUM ACCOUNTS</t>
  </si>
  <si>
    <t>A1404011</t>
  </si>
  <si>
    <t>SDG&amp;E - FOR A CPCN FOR THE SYCAMORE-PENASQUITOS 230 K TRANSMISSION LINE PROJECT</t>
  </si>
  <si>
    <t>A1404013</t>
  </si>
  <si>
    <t>COMCAST CORPORATION, TIME WARNER CABLE INC., ET AL - FOR APPROVAL OF THE TRANSFER OF CONTROL TO COMCAST CORPORATION</t>
  </si>
  <si>
    <t>A1404014</t>
  </si>
  <si>
    <t>SDG&amp;E - FOR APPROVAL OF ITS ELECTRIC VEHICLE-GRID INTEGRATION PILOT PROGRAM</t>
  </si>
  <si>
    <t>A1404015</t>
  </si>
  <si>
    <t>SDG&amp;E - FOR ADOPTION OF ITS 2015 ERRA, COMPETITION TRANSITION CHARGE, AND LOCAL GENERATION REVENUE  REQUIREMENT FORECASTS</t>
  </si>
  <si>
    <t xml:space="preserve">David M. Gamson </t>
  </si>
  <si>
    <t>A1404018</t>
  </si>
  <si>
    <t>SDG&amp;E - FOR APPROVAL OF ITS GREENHOUSE GAS FORECASTED COSTS AND ALLOWANCE REVEUES FOR 2015 AND RECONCILIATION OF ITS ALLOWANCE REVENUES FOR 2013</t>
  </si>
  <si>
    <t>A1404021</t>
  </si>
  <si>
    <t>LCR TELECOMMUNICATIONS, LLC - NDIEC REGISTRATION</t>
  </si>
  <si>
    <t>A1404034</t>
  </si>
  <si>
    <t>CALIFORNIA ENERGY COMMISISON - FOR APPROVAL OF ELECTRIC PROGRAM INVESTMENT CHARGE PROPOSED 2015 THROUGH 2017 TRIENNIAL INVESTMENT PLAN</t>
  </si>
  <si>
    <t>A1404035</t>
  </si>
  <si>
    <t>GREAT OAKS WATER CO. AND GOW CORP. - FOR AUTHORITY TO ACQUIRE AND CONTROL GREAT OAKS WATER CO.</t>
  </si>
  <si>
    <t>A1404036</t>
  </si>
  <si>
    <t xml:space="preserve"> KDDI AMERICA, INC. - FOR A CPCN TO OPERATE AS A RESELLER OF WIRELESS TELECOMMUNICATION SERVICES</t>
  </si>
  <si>
    <t>A1404037</t>
  </si>
  <si>
    <t>LIBERTY UTILITIES (CALPECO ELECTRIC) LLC -  FOR AUTHORITY TO RECOVER THE AMOUNTS RELATED TO VEGETATION MANAGEMENT RECORDED IN THE VEGETATION MANAGEMENT MEMORANDUM ACCOUNT</t>
  </si>
  <si>
    <t>A1405002</t>
  </si>
  <si>
    <t>SILICON BUSINESS SYSTEM - FOR A CPCN TO OPERATE AS A PROVIDER OF LIMITED FACILITIES-BASED AND RESOLD TELECOMMUNICATION SERVICES</t>
  </si>
  <si>
    <t>A1405003</t>
  </si>
  <si>
    <t>PG&amp;E - FOR APPROVAL OF ITS 2015-2017 ELECTRIC PROGRAM INVESTMENT CHARGE INVESTMENT PLAN</t>
  </si>
  <si>
    <t>A1405004</t>
  </si>
  <si>
    <t>SDG&amp;E - FOR APPROVAL OF ELECTRIC PROGRAM INVESTMENT CHARGE TRIENNIAL PLAN FOR YEARS 2015-2017</t>
  </si>
  <si>
    <t>A1405005</t>
  </si>
  <si>
    <t>EDISON - FOR APPROVAL OF ITS 2015-2017 TRIENNIAL INVESTMENT PLAN FOR ELECTRIC PROGRAM INVESTMENT CHARGE</t>
  </si>
  <si>
    <t>A1405021</t>
  </si>
  <si>
    <t>SDG&amp;E - FOR A PERMIT TO CONSTRUCT THE VINE SUBSTATION PROJECT</t>
  </si>
  <si>
    <t>A1405024</t>
  </si>
  <si>
    <t>PG&amp;E - FOR ADOPTION OF ELECTRIC REVENUE REQUIREMENTS AND RATES ASSOCIATED WITH ITS 2015 ERRA AND GENERATION NON-BYPASSABLE CHARGES FORECAST</t>
  </si>
  <si>
    <t>A1405026</t>
  </si>
  <si>
    <t>SDG&amp;E - FOR APPROVAL OF CONTRACT ADMINISTRATION, LEAST COST DISPATCH AND POWER PROCUREMENT ACTIVITIES, COST RELATED IN ITS ERRA AND COST RECORDED IN ACCOUNTS IN 2013</t>
  </si>
  <si>
    <t xml:space="preserve">Rafael L. Lirag </t>
  </si>
  <si>
    <t>A1406001</t>
  </si>
  <si>
    <t>PG&amp;E - FOR RECOVERY OF COST TO IMPLEMENT ELECTRIC RULE 24 DIRECT PARTICIPATION DEMAND RESPONSE</t>
  </si>
  <si>
    <t>A1406002</t>
  </si>
  <si>
    <t>SDG&amp;E - TO ESTABLISH A MEMORANDUM ACCOUT TO RECORD IMPLEMENTATION COSTS OF ELECTRIC RULE 32</t>
  </si>
  <si>
    <t>A1406003</t>
  </si>
  <si>
    <t>EDISON - FOR APPROVAL OF TARIFFS FOR THE RECOVERY OF COSTS INCURRED AS A RESULT OF PROVIDING SERVICES TO THIRD-PARTY DEMAND RESPONSE PROVIDERS</t>
  </si>
  <si>
    <t>A1406006</t>
  </si>
  <si>
    <t>LUX BUS AMERICA CO. - FOR A CPCN TO OPERATE A SCHEDULED PSC AND TO ESTABLISH A ZORF</t>
  </si>
  <si>
    <t>A1406009</t>
  </si>
  <si>
    <t>SOCAL GAS - FOR YEAR 20 (2013-2014) OF ITS GAS COST INCENTIVE MECHANISM</t>
  </si>
  <si>
    <t>A1406010</t>
  </si>
  <si>
    <t>EDISON - FOR APPROVAL OF ITS 2015 GREENHOUSE GAS CAP-AND-TRADE PROGRAM COST AND REVENUE FORECAST AND RECONCILIATION</t>
  </si>
  <si>
    <t>A1406011</t>
  </si>
  <si>
    <t>EDISON - FOR APPROVAL OF ITS FORECAST 2015 ERRA PROCEEDING REVENUE REQUIREMENT</t>
  </si>
  <si>
    <t>A1406012</t>
  </si>
  <si>
    <t>COMCAST CORP., TIME WARNER CABLE INFORMATION AND CHARTER FIBERLINK CA-CCO, LLC - FOR EXPEDITED APPROVAL TO TRANSFER CERTAIN ASSETS AND CUSTOMERS TO TIME WARNER</t>
  </si>
  <si>
    <t>A1406014</t>
  </si>
  <si>
    <t>EDISON - TO ESTABLISH MARGINAL COSTS, ALLOCATE REVENUES, DESIGN RATES, AND IMPLEMENT ADDITIONAL DYNAMIC PRICING RATES</t>
  </si>
  <si>
    <t>A1406020</t>
  </si>
  <si>
    <t>PG&amp;E - TO ISSUE, SELL, AND DELIVER ONE OR MORE SERIES OF DEBT SECURITIES AND TO GUARANTEE THE OBLIGATIONS</t>
  </si>
  <si>
    <t>A1406021</t>
  </si>
  <si>
    <t>SOCAL GAS AND SDG&amp;E - FOR LOW OPERATIONAL FLOW ORDER AND EMERGENCY FLOW ORDER REQUIREMENTS</t>
  </si>
  <si>
    <t>A8705049</t>
  </si>
  <si>
    <t>OMNIPHNE, INC - FOR REHEARING OF RES T-12015</t>
  </si>
  <si>
    <t>A8804004</t>
  </si>
  <si>
    <t>PACIFIC BELL - TO ESTABLISH AN INFORMATION CALLING SERVICE</t>
  </si>
  <si>
    <t>C0610015</t>
  </si>
  <si>
    <t>PASADENA AVENUE MONTEREY ROAD COMMITTEE VS. LOS ANGELES COUNTY METROPOLITAN TRANSP. AUTHORITY, ET AL. - FOR FAILURE TO COMPLY WITH D05-02-032 AS MODIFIED BY D05-09-040</t>
  </si>
  <si>
    <t>C0709010</t>
  </si>
  <si>
    <t>PAC-WEST TELECOMM, INC. VS. COMCAST PHONE OF CALIFORNIA, LLC.  - DISPUTE ON CHARGES FOR TERMINATION SERVICES AND FINDINGS OF VIOLATION OF PU CODE SECTION 702</t>
  </si>
  <si>
    <t>C0804037</t>
  </si>
  <si>
    <t>CITY OF HUNTINGTON BEACH VS NEXTG NETWORKS OF CALIFORNIA, INC. - FOR AN ORDER TO ENFORCE CEQA AND TO ORDER NEXTG TO CEASE AND DESIST CLAIMS OF AUTHORITY TO INSTALL NEW POLES, ANTENNA FACILITIES, ETC.</t>
  </si>
  <si>
    <t>C0808006</t>
  </si>
  <si>
    <t>QWEST COMMUNICATIONS CORP. VS MCIMETRO ACCESS TRANSMISSION SERVICES, LLC.  - DISPUTE ON VIOLATIONS OF CALIFORNIA LAW</t>
  </si>
  <si>
    <t xml:space="preserve">Patricia Miles Legal Division </t>
  </si>
  <si>
    <t>C0912014</t>
  </si>
  <si>
    <t>PAC-WEST TELECOMM, INC. VS SPRINT SPECTRUM, L.P. ET AL DBA SPRINT PCS - COMPLAINT REGARDING RATES FOR TERMINATION OF SWITCHED ACCESS AND LOCAL TRAFFIC</t>
  </si>
  <si>
    <t xml:space="preserve">Karl Bemesderfer Legal Division </t>
  </si>
  <si>
    <t>C1001005</t>
  </si>
  <si>
    <t>CITY OF SANTA BARBARA VS. VERIZON CALIFORNIA, INC. - DISPUTE ON PAYMENT OF PRO-RATA SHARE OF THE INSTALLATION OF A NO MORE THAN 100 FEET OF UNDERGROUND SERVICE CONNECTIONS FACILITY</t>
  </si>
  <si>
    <t>C1001019</t>
  </si>
  <si>
    <t>PAC-WEST TELECOMM, INC. VS CRICKET COMMUNICATIONS, INC. - DISPUTE ON TERMINATION OF TRAFFIC FROM CRICKET DUE TO APPROVED TARIFFED RATES FOR TEMINATION OF SWITCHED ACCESS AND LOCAL TRAFFIC</t>
  </si>
  <si>
    <t>C1001020</t>
  </si>
  <si>
    <t>PAC-WEST TELECOMM, INC. VS OMNIPOINT COMMUNICATIONS, INC. ET AL. - DISPUTE ON TERMINATION OF TRAFFIC FROM T-MOBILE DUE TO APPROVED TARIFFED RATES FOR TEMINATION OF SWITCHED ACCESS AND LOCAL TRAFFIC</t>
  </si>
  <si>
    <t>C1001021</t>
  </si>
  <si>
    <t>PAC-WEST TELECOMM, INC. VS VERIZON WIRELESS, LLC ET AL. - DISPUTE ON TERMINATION OF TRAFFIC FROM VERIZON CARRIERS DUE TO APPROVED TARIFFED RATES FOR TEMINATION OF SWITCHED ACCESS AND LOCAL TRAFFIC</t>
  </si>
  <si>
    <t>C1002026</t>
  </si>
  <si>
    <t>LAWRENCE VS PG&amp;E - FOR THE ILLEGAL PLACEMENT OF AN EXISTING LINE EXTENSION AND THE REFUSAL TO BEAR THE COSTS TO RELOCATE</t>
  </si>
  <si>
    <t>C1010010</t>
  </si>
  <si>
    <t>HETHERINGTONS VS PG&amp;E - DISPUTE ON RELOCATION OF SMART METER AND REFUND OF RELATED OVERCHARGES</t>
  </si>
  <si>
    <t>C1012001</t>
  </si>
  <si>
    <t>VAYA TELECOM, INC. VS PAC BELL DBA AT&amp;T CALIFORNIA - DISPUTE REGARDING APPLICABLE LAWS UNDER ICA VOIP TRAFFIC</t>
  </si>
  <si>
    <t>C1102015</t>
  </si>
  <si>
    <t>PAC BELL VS VAYA TELECOM, INC. - FOR A FINDING ON A BREACH OF INTERCONNECTION AGREEMENT AND RELATED RELIEF</t>
  </si>
  <si>
    <t>C1203017</t>
  </si>
  <si>
    <t>COLEMAN, WALLACE, VAUGH AND DARGITZ  VS ODD FELLOWS SIERRA RECREATION ASSOC. - FOR AN ORDER THAT DEFENDANT IS A WATER PUBLIC UTILITY</t>
  </si>
  <si>
    <t>C1208015</t>
  </si>
  <si>
    <t>DAVIS VS. EDISON - RELIEF FROM AN INCORRECT APPLICATION OF TARIFF RULE 21 BY DEFENDANT</t>
  </si>
  <si>
    <t>C1209002</t>
  </si>
  <si>
    <t>ACTON TOWN COUNCIL VS EDISON - RELIEF FROM VIOLATIONS OF ENVIRONMENTAL MITIGATION CONDITIONS</t>
  </si>
  <si>
    <t>C1209006</t>
  </si>
  <si>
    <t>VAYA TELECOM, INC.VS NORTH COUNTY COMMUNICATIONS CORP. - FOR RELIEF FROM SWITCHED ACCESS CHARGES AND RELATED RELIEF</t>
  </si>
  <si>
    <t>C1301005</t>
  </si>
  <si>
    <t>SANTA CLARITA ORGANIZATION FOR PLANNING THE ENVIRONMENT AND FRIENDS OF SANTA CLARA RIVER VS. VALENCIA WATER AND CASTAIC LAKE WATER AGENCY - FOR RELIEF FROM UNAUTHORIZED TRANSFER OF CONTROL</t>
  </si>
  <si>
    <t>C1302005</t>
  </si>
  <si>
    <t>CITY OF SAN JACINTO VS. VERIZON CALIFORNIA, INC. - FOR RELIEF FROM THE FAILURE TO PROCEED ON AN UNDERGROUNDING PROJECT PURSUANT TO TARIFF RULE 40.A.1</t>
  </si>
  <si>
    <t>C1302013</t>
  </si>
  <si>
    <t>ALLIANCE FOR NUCLEAR RESPONSIBILITY VS EDISON - FOR RELIEF FROM VIOLATIONS OF RULE 1.1, CONTEMPT UNDER PU CODE 2113 FOR MISREPRESENTING THE COST FOR SAN ONOFRE STEAM GENERATOR REPLACEMENT PROJECT</t>
  </si>
  <si>
    <t>C1304008</t>
  </si>
  <si>
    <t>O1 COMMUNICATIONS, INC. VS VERIZON COMMUNICATIONS, INC. ET AL - TO IMMEDIATELY PAY ALL AMOUNT INVOICED BY COMPLAINANT TO DEFENDANTS INCLUDING LATE PAYMENT CHARGES, INTEREST AND RELATED RELIEF</t>
  </si>
  <si>
    <t>C1307004</t>
  </si>
  <si>
    <t>ROSENBERG VS PAC BELL - FOR RELIEF FROM FAIILURE TO PROVIDE TELEPHONE SERVICE</t>
  </si>
  <si>
    <t>C1308011</t>
  </si>
  <si>
    <t>FLETCHER VS UNION PACIFIC RAILROAD - FOR AN ORDER THAT DEFENDANT PROVIDE A SAFE CROSSING AT THE EXISTING PRIVATE CROSSING</t>
  </si>
  <si>
    <t>C1310008</t>
  </si>
  <si>
    <t>DRY CREEK RANCHERIA BAND OF POMO INDIANS VS SONOMA-MARIN AREA RAIL TRANSIT DISTRICT AND NORTH COAST RAILROAD AUTHORITY - FOR DEFENDANTS TO ESTABLISH AND MAINTAIN SAFE RAILROAD CROSSING A THEIR EXPENSE</t>
  </si>
  <si>
    <t xml:space="preserve">Dan Burcham W. Anthony Colbert Kimberly Kim </t>
  </si>
  <si>
    <t>C1311002</t>
  </si>
  <si>
    <t>DAVIS VS EDISION - FOR DEFENDANT VIOLATION OF PU CODE SECTION 2827(C)(1)</t>
  </si>
  <si>
    <t>C1312005</t>
  </si>
  <si>
    <t>TURN VS. PAC BELL - FOR RELIEF FROM UNREASONABLE BASIC EXCHANGE SERVICE RATES</t>
  </si>
  <si>
    <t>C1401006</t>
  </si>
  <si>
    <t>UNITED ENERGY TRADING, LLC VS. PG&amp;E - FOR RELIEF FROM VIOLATION OF GAS RULES NOS. 11 AND 23</t>
  </si>
  <si>
    <t>C1401025</t>
  </si>
  <si>
    <t>ECOS ENERGY LLC VS EDISON - FOR RELIEF FROM REFUSAL TO AGREE TO THE IMMATERIAL CHANGE TO THE GENERATING FACILITY  LOCATION AND RELATED RELIEF</t>
  </si>
  <si>
    <t>C1402003</t>
  </si>
  <si>
    <t>UBS FINANCIAL SERVICES, LLC, ET AL. VS PACBELL -  FOR RELIEF FROM DISPUTED CHANNEL TERMINATION CHARGES</t>
  </si>
  <si>
    <t xml:space="preserve">Darwin Farrar Karl Bemesderfer </t>
  </si>
  <si>
    <t>C1402005</t>
  </si>
  <si>
    <t>JOHN P. FERRARI AS CO-TRUSTEE OF THE JOHN P. AND JEANI FERRARI TRUST VS MEADOWBOOK WTR. CO.- FOR AN ORDER REVOKING APPROVAL OF ADVICE LETTERS 50-W AND 50-W-A AND REVERTING SERVICE TO PREVIOUS BOUNDARY</t>
  </si>
  <si>
    <t xml:space="preserve">Jean Vieth Linda Rochester </t>
  </si>
  <si>
    <t>C1404027</t>
  </si>
  <si>
    <t>(ECP) KENNY VS. VERIZON CALIFORNIA, INC. - DISPUTE OVER A REFUND</t>
  </si>
  <si>
    <t>C1404028</t>
  </si>
  <si>
    <t>CAMPBELL VS EDISON - FOR RELIEF FROM UNAUTHORIZED ACCESS TO PROPERTY</t>
  </si>
  <si>
    <t>C1404030</t>
  </si>
  <si>
    <t>(ECP) CASON VS. EDISON - FOR RELIEF FROM FAILURE TO COMPLY WITH ENERGY MANAGEMENT ASSITANCE PROGRAM REQUIREMENTS</t>
  </si>
  <si>
    <t>C1405014</t>
  </si>
  <si>
    <t>ROSENBERG VS. PAC BELL - FOR REFUND OF FEES PAID FOR SERVICE NOT DELIVERED</t>
  </si>
  <si>
    <t>C1405015</t>
  </si>
  <si>
    <t>(ECP) ROSENDAHL’S MARBLE &amp; GRANITE VS. SCE - FOR A REFUND OF APPROXIMATELY $12,000.</t>
  </si>
  <si>
    <t>C1405022</t>
  </si>
  <si>
    <t>LaFOUNTAINE AND DESERT PACIFIC DEVELOPMENT INC. VS. EDISON - FOR OVERBILLING OF ELECTRIC CHARGES AND IMPROPER DISCONNECTION OF ELECTRIC SERVICES</t>
  </si>
  <si>
    <t>C1405029</t>
  </si>
  <si>
    <t>FORECAST GROUP, L.P., ET AL AND ALL OF WHOM ARE DOING BUSINESS AS THE FORECAST CREDITORS VS PG&amp;E - RELIEF FOR FAILURE TO REFUND PURSUANT TO GAS AND ELECTRIC RULE 15 TARIFFS</t>
  </si>
  <si>
    <t>C1406017</t>
  </si>
  <si>
    <t>(ECP) ROSSENO VS. CALIFORNIA WATER SERVICE CO. - FOR RELIEF FROM AN ERRONEOUS WATER BILL</t>
  </si>
  <si>
    <t>C1407007</t>
  </si>
  <si>
    <t>UCAN VS U.S. TELEPACIFIC CORP. DBA TELEPACIFIC COMMUNICATIONS - FOR RELIEF FROM BILLINGS FOR UNAUTHORIZED PRODUCTS AND SERVICE</t>
  </si>
  <si>
    <t>C1407008</t>
  </si>
  <si>
    <t>FERRARI AND NICHOLSON VS. KEITH GARL, DBA WESO WATER AND PROPERTIES - FOR RELIEF FROM OPERATING AS A PUBLIC UTILITY WITHOUT HAVING SECURED A CPCN AND FOR UNLAWFUL TARIFF RATES</t>
  </si>
  <si>
    <t>I0912016</t>
  </si>
  <si>
    <t>CPUC - OII INTO ALLEGED FAILURE OF TRACKFONE WIRELESS, INC. TO COLLECT AND REMIT PUBLIC PURPOSE PROGRAM SURCHARGE AND USER FEES ON REVENUE FROM ITS SALE OF INTRASTATE TELEPHONE SERVICE</t>
  </si>
  <si>
    <t>I1102016</t>
  </si>
  <si>
    <t>CPUC - OII INTO THE OPERATIONS AND PRACTICES OF PG&amp;E WITH RESPECT TO FACILITIES RECORDS FOR ITS NATURAL GAS TRANSMISSION SYSTEM PIPELINES</t>
  </si>
  <si>
    <t>I1105028</t>
  </si>
  <si>
    <t>CPUC - OII INTO THE OPERATIONS AND CONDUCT OF OSP COMMUNICATIONS, LLC. (OSP) AND WHETHER THE BILLING RESOURCE LLC AND THE BILLING DBA INTEGRETEL SHOULD REFUND ALL MONIES COLLECTED ON BEHALF OF OSP</t>
  </si>
  <si>
    <t>I1111009</t>
  </si>
  <si>
    <t>CPUC - OII INTO THE OPERATIONS AND PRACTICES OF PG&amp;E'S NATURAL GAS TRANSMISSION PIPELINE SYSTEM IN LOCATIONS WITH HIGH POPULATION DENSITY</t>
  </si>
  <si>
    <t>I1201007</t>
  </si>
  <si>
    <t>CPUC - PG&amp;E - OII INTO THE OPERATIONS AND PRACTICES OF PG&amp;E TO DETERMINE VIOLATIONS OF PU CODE SECTION 451, GO 112, AND OTHER APPLICABLE REGULATIONS IN CONNECTION WITH THE SAN BRUNO EXPLOSION AND FIRE</t>
  </si>
  <si>
    <t xml:space="preserve">Mark S. Wetzell </t>
  </si>
  <si>
    <t>I1210013</t>
  </si>
  <si>
    <t>CPUC - OII INTO THE RATES, OPERATIONS, PRACTICES, SERVICES AND FACILITIES OF SCE AND SDG&amp;E ASSOCIATED WITH THE SAN ONOFRE NUCLEAR GENERATING UNITS 2 &amp; 3</t>
  </si>
  <si>
    <t>I1303007</t>
  </si>
  <si>
    <t>CPUC - OII INTO THE RATES, OPERATIONS, PRACTICES, SERVICE AND FACILITIES OF PACIFIC GAS AND ELECTRIC COMPANY</t>
  </si>
  <si>
    <t>I1304003</t>
  </si>
  <si>
    <t>CPUC - OII INTO THE REASONABLENESS OF THE RATES CURRENTLY IN EFFECT, AND OTHER MATTERS, FOR VALENCIA WATER COMPANY</t>
  </si>
  <si>
    <t xml:space="preserve">Douglas M. Long Todd O Edmister Legal Division </t>
  </si>
  <si>
    <t>I1306014</t>
  </si>
  <si>
    <t>CPUC - OII TO ESTABLISHING A LIST FOR YRS 2014-15 AND 2015-16 OF EXISTING CROSSINGS OF CITY STREETS, COUNTY ROAD OR STATE HIGHWAYS IN NEED OF SEPARATION, ALTERATIONS OR RECONSTRUCTION</t>
  </si>
  <si>
    <t>I1309012</t>
  </si>
  <si>
    <t>CPUC - OII INTO THE FATAL ACCIDENT AT THE SAN FRANCISCO MUNI'S MISSION ROCK STATION ON DECEMBER 1, 2012</t>
  </si>
  <si>
    <t>I1310003</t>
  </si>
  <si>
    <t>I1401005</t>
  </si>
  <si>
    <t xml:space="preserve">CPUC - OII INTO THE OPERATIONS, PRACTICES, AND CONDUCT OF SAN FRANCISCO MUNICIPAL TRANSPORTATION AGENCY, REGARDING ONGOING PUBLIC SAFETY ISSUES
</t>
  </si>
  <si>
    <t>I1405012</t>
  </si>
  <si>
    <t>CPUC - OII TO ADDRESS INTRASTATE RURAL CALL COMPLETION ISSUES</t>
  </si>
  <si>
    <t>I1406016</t>
  </si>
  <si>
    <t>CPUC - OII INTO THE RATES, OPERATIONS, PRACTICES, SERVICES AND FACILITIES OF PG&amp;E</t>
  </si>
  <si>
    <t>I8504047</t>
  </si>
  <si>
    <t>CPUC - OII INTO 976 INFORMATION ACCESS SERVICE</t>
  </si>
  <si>
    <t xml:space="preserve">Timothy Kenney </t>
  </si>
  <si>
    <t>R0310003</t>
  </si>
  <si>
    <t>CPUC - OIR TO IMPLEMENT PORTIONS OF AB 117 CONCERNING COMMUNITY CHOICE AGGREGATION</t>
  </si>
  <si>
    <t>R0610005</t>
  </si>
  <si>
    <t>CPUC - CABLE TELEVISION - OIR TO CONSIDER THE ADOPTION OF A GENERAL ORDER AND PROCEDURES TO IMPLEMENT THE DIGITAL INFRASTRUCTURE AND VIDEO COMPETION ACT OF 2006</t>
  </si>
  <si>
    <t>R0610006</t>
  </si>
  <si>
    <t>CPUC - TELECOMMUNICATION - OIR INTO THE APPLICATION OF THE CALIFORNIA ENVIRONMENTAL QUALITY ACT TO APPLICATIONS OF JURISDICTIONAL TELECOMMUNICATIONS UTILITIES TO OFFER SERVICE AND CONSTRUCT FACILITIES</t>
  </si>
  <si>
    <t>R0808009</t>
  </si>
  <si>
    <t>CPUC - OIR TO  CONTINUE IMPLEMENTATION AND ADMINISTRATION OF CALIFORNIA RENEWABLES PORTFOLIO STANDARD PROGRAM</t>
  </si>
  <si>
    <t>R0811005</t>
  </si>
  <si>
    <t>CPUC - OIR TO REVISE AND CLARIFY COMMISSION REGULATIONS RELATING TO SAFETY OF ELECTRIC UTILITY AND COMMUNICATIONS INFRASTRACTURE PROVIDERS FACILITIES</t>
  </si>
  <si>
    <t>R0901020</t>
  </si>
  <si>
    <t>CPUC - OIR TO CONSIDER ROADWAY WORKER PROTECTIONS BY TRANSIT AGENCIES IN CALIFORNIA</t>
  </si>
  <si>
    <t>R0906019</t>
  </si>
  <si>
    <t>CPUC - OIR REGARDING REVISIONS TO THE CALIFORNIA HIGH COST FUND B PROGRAM</t>
  </si>
  <si>
    <t>R0911014</t>
  </si>
  <si>
    <t>CPUC - OIR TO EXAMINE THE COMMISSION'S POST-2008 ENERGY EFFICIENCY POLICIES, PROGRAMS, EVALUATION, MEASUREMENT, AND VERIFICATION, AND RELATED ISSUES</t>
  </si>
  <si>
    <t>R0912001</t>
  </si>
  <si>
    <t>CPUC - OIR TO EXAMINE WHETHER TO REVISE THE CURRENT PROCEDURES FOR PROCESSING APPLICATIONS TO OBTAIN OR TRANSFER A PASSENGER STAGE CORPORATION CERTIFICATE (PSC), TO ACQUIRE OR CONTROL A PSC</t>
  </si>
  <si>
    <t>R1002005</t>
  </si>
  <si>
    <t>CPUC - OIR TO ADDRESS THE ISSUE OF CUSTOMERS' ELECTRIC AND NATURAL GAS SERVICE DISCONNECTION</t>
  </si>
  <si>
    <t>R1102019</t>
  </si>
  <si>
    <t>CPUC - OIR TO ADOPT NEW SAFETY AND RELIABILITY REGULATIONS FOR NATURAL GAS TRANSMISSION AND DISTRIBUTION PIPELINES AND RELATED RATEMAKING MECHANISMS</t>
  </si>
  <si>
    <t>R1103012</t>
  </si>
  <si>
    <t>CPUC - OIR TO ADDRESS ELECTRIC UTILITY COST AND REVENUE ISSUES ASSOCIATED WITH GREENHOUSE GAS EMISSIONS</t>
  </si>
  <si>
    <t>R1103013</t>
  </si>
  <si>
    <t>CPUC - OIR REGARDING REVISIONS TO THE CALIFORNIA UNIVERSAL TELEPHONE SERVICE (LIFELINE) PROGRAM</t>
  </si>
  <si>
    <t xml:space="preserve">Katherine MacDonald Legal Division </t>
  </si>
  <si>
    <t>R1105005</t>
  </si>
  <si>
    <t>CPUC - OIR TO CONTINUE IMPLEMENTATION AND ADMINISTRATION OF CALIFORNIA RENEWABLES PORTFOLIO STANDARD PROGRAM</t>
  </si>
  <si>
    <t>R1109011</t>
  </si>
  <si>
    <t>CPUC - OIR TO IMPROVE DISTRIBUTION LEVEL INTERCONNECTION RULES AND REGULATIONS FOR CERTAIN CLASSES OF ELECTRIC GENERATORS AND ELECTRIC STORAGE RESOURCES</t>
  </si>
  <si>
    <t>R1111007</t>
  </si>
  <si>
    <t>CPUC - OIR INTO THE REVIEW OF THE CALIFORNIA HIGH COST FUND-A PROGRAM</t>
  </si>
  <si>
    <t>R1111008</t>
  </si>
  <si>
    <t>CPUC - OIR INTO ADDRESSING THE COMMISSION’S WATER ACTION PLAN OBJECTIVE OF SETTING RATES THAT BALANCE INVESTMENT, CONSERVATION, AND AFFORDABILITY FOR THE MULTI-DISTRICT WATER UTILITIES</t>
  </si>
  <si>
    <t xml:space="preserve">Jean Vieth Gary Weatherford </t>
  </si>
  <si>
    <t>R1112001</t>
  </si>
  <si>
    <t>CPUC - OIR TO EVALUATE TELECOMMUNICATIONS CORPORATIONS SERVICE QUALITY PERFORMANCE AND CONSIDER MODIFICATION TO SERVICE QUALITY RULES</t>
  </si>
  <si>
    <t>CPUC - OIR TO INTEGRATE AND REFINE PROCUREMENT POLICIES AND CONSIDER LONG-TERM PROCUREMENT PLANS</t>
  </si>
  <si>
    <t>R1206013</t>
  </si>
  <si>
    <t>CPUC - OIR TO CONDUCT A COMPREHENSIVE EXAMINATION OF INVESTOR OWNED ELECTRIC UTILITIES’ RESIDENTIAL RATE STRUCTURES, THE TRANSITION TO TIME VARYING AND DYNAMIC RATES, AND OTHER STATUTORY OBLIGATIONS</t>
  </si>
  <si>
    <t xml:space="preserve">Julie Halligan Jeanne McKinney </t>
  </si>
  <si>
    <t>R1211005</t>
  </si>
  <si>
    <t>CPUC - OIR REGARDING POLICIES, PROCEDURES AND RULES FOR THE CALIFORNIA SOLAR INITIATIVE, THE SELF-GENERATION INCENTIVE PROGRAM AND OTHER DISTRIBUTED GENERATION ISSUES</t>
  </si>
  <si>
    <t>R1212011</t>
  </si>
  <si>
    <t>CPUC - OIR ON REGULATIONS RELATING TO PASSENGER CARRIERS, RIDESHARING, AND NEW ONLINE-ENABLED TRANSPORTATION SERVICES</t>
  </si>
  <si>
    <t>R1301010</t>
  </si>
  <si>
    <t>CPUC - OIR TO CONDUCT A COMPREHENSIVE EXAMINATION OF THE CALIFORNIA TELECONNECT FUND</t>
  </si>
  <si>
    <t>R1302008</t>
  </si>
  <si>
    <t>CPUC - OIR TO ADOPT BIOMETHANE STANDARDS AND REQUIREMENTS, PIPELINE OPEN ACCESS RULES, AND RELATED ENFORCEMENT PROVISIONS</t>
  </si>
  <si>
    <t>R1302019</t>
  </si>
  <si>
    <t>CPUC - OIR TO CONSIDER THE ANNUAL REVENUE REQUIREMENT DETERMINATION OF THE CALIFORNIA DEPARTMENT OF WATER RESOURCES AND RELATED ISSUES</t>
  </si>
  <si>
    <t>R1303008</t>
  </si>
  <si>
    <t>CPUC - OIR TO ADD SPEECH GENERATING DEVICES TO THE DEAF AND DISABLED TELECOMMUNICATIONS PROGRAM</t>
  </si>
  <si>
    <t>R1303009</t>
  </si>
  <si>
    <t>CPUC - OIR REGARDING WHETHER TO ADOPT, AMEND, OR REPEAL REGULATIONS GOVERNING SAFETY STANDARDS FOR THE USE OF 25 KV ELECTRIC LINES TO POWER HIGH SPEED TRAINS</t>
  </si>
  <si>
    <t>R1309011</t>
  </si>
  <si>
    <t>CPUC - OIR TO ENHANCE THE ROLE OF DEMAND RESPONSE IN MEETING THE STATE RESOURCE PLANNING NEEDS AND OPERATIONAL REQUIREMENTS</t>
  </si>
  <si>
    <t>R1311005</t>
  </si>
  <si>
    <t>CPUC - OIR CONCERNING ENERGY EFFICIENCY ROLLING PORTFOLIOS, POLICIES, PROGRAMS, EVALUATION, AND RELATED ISSUES</t>
  </si>
  <si>
    <t>R1311006</t>
  </si>
  <si>
    <t>CPUC - OIR TO DEVELOP A RISK-BASED DECISION-MAKING FRAMEWORK TO EVALUATE SAFETY IMPROVEMENTS AND REVISE THE GENERAL RATE CASE PLAN FOR ENERGY UTILITIES</t>
  </si>
  <si>
    <t>R1311007</t>
  </si>
  <si>
    <t>CPUC - OIR TO CONSIDER ALTERNATIVE-FUELED VEHICLE PROGRAMS, TARIFFS, AND POLICIES</t>
  </si>
  <si>
    <t>R1312010</t>
  </si>
  <si>
    <t>R1312011</t>
  </si>
  <si>
    <t>CPUC - OIR TO PROMOTE A PARTNERSHIP FRAMEWORK BETWEEN ENERGY INVESTOR OWNED UTILITIES AND THE WATER SECTOR TO PROMOTE WATER-ENERGY NEXUS PROGRAMS</t>
  </si>
  <si>
    <t>R1402001</t>
  </si>
  <si>
    <t xml:space="preserve">David M. Gamson Colette Kersten </t>
  </si>
  <si>
    <t>R1403002</t>
  </si>
  <si>
    <t>CPUC - OIR TO IMPLEMENT REGISTRATION OF THIRD PARTY NATURAL GAS PROCUREMENT SERVICE PROVIDERS TO REGULATE NON-RATE MATTERS AND MINIMUM STANDARDS OF CONSUMER PROTECTION</t>
  </si>
  <si>
    <t>R1403003</t>
  </si>
  <si>
    <t>CPUC - OIR TO ADDRESS NATURAL GAS DISTRIBUTION UTILITY COST AND REVENUE ISSUES ASSOCIATED WITH GREENHOUSE GAS EMISSIONS</t>
  </si>
  <si>
    <t>R1403016</t>
  </si>
  <si>
    <t>CPUC - OIR TO CONSIDER SINGLE METHODOLOGY TO CALCULATE REMITTANCE UNDER MUNICIPAL SURCHARGE ACT</t>
  </si>
  <si>
    <t>R1405001</t>
  </si>
  <si>
    <t>CPUC - OIR REGARDING THE APPLICABILITY OF THE COMMISSION’S RIGHT-OF-WAY RULES TO COMMERCIAL MOBILE RADIO SERVICE CARRIERS</t>
  </si>
  <si>
    <t>R1405013</t>
  </si>
  <si>
    <t>CPUC - OIR ON THE COMMISSION’S NATURAL GAS AND ELECTRIC SAFETY CITATION PROGRAMS</t>
  </si>
  <si>
    <t>R1407002</t>
  </si>
  <si>
    <t>CPUC - OIR TO DEVELOP A SUCCESSOR TO EXISTING NET ENERGY METERING TARIFFS AND TO ADDRESS OTHER ISSUES RELATED TO NET ENERGY METERING</t>
  </si>
  <si>
    <t xml:space="preserve">Anne E. Simon </t>
  </si>
  <si>
    <t>PHC DATE</t>
  </si>
  <si>
    <t>None</t>
  </si>
  <si>
    <t>Not applicable</t>
  </si>
  <si>
    <t>SCOPING MEMO</t>
  </si>
  <si>
    <t>Evidentiary Hearing</t>
  </si>
  <si>
    <t>A1406023</t>
  </si>
  <si>
    <t>A1407005</t>
  </si>
  <si>
    <t>A1407006</t>
  </si>
  <si>
    <t>A1407012</t>
  </si>
  <si>
    <t>A1408002</t>
  </si>
  <si>
    <t>CAMPUS COMMUNICATIONS GROUP, INC. -  FOR A CPCN TO PROVIDE FULL FACILITIES-BASED AND RESOLD COMPETITIVE LOCAL EXCHANGE SERVICE</t>
  </si>
  <si>
    <t xml:space="preserve">CAL-AMERICAN WATER CO. AND GRANT PARK DEVELOPMENT, INC. - FOR AN ORDER AUTORIZING DUNNIGAN WATER WORKS TO SELL AND CAL-AMERICAN TO PURCHASE THE PUBLIC UTILITY ASSETS OF DUNNIGAN
</t>
  </si>
  <si>
    <t>GOLDEN STATE WATER CO. - TO DECREASE RATES FOR WATER SERVICE FOR YEAR 2016 AND TO HAVE AN INCREASE FOR YEARS 2017 AND 2018</t>
  </si>
  <si>
    <t xml:space="preserve">Rafael L. Lirag Douglas M. Long </t>
  </si>
  <si>
    <t xml:space="preserve">Rafael L. Lirag Sean Wilson </t>
  </si>
  <si>
    <t>A1407010</t>
  </si>
  <si>
    <t>A1408003</t>
  </si>
  <si>
    <t>A1408007</t>
  </si>
  <si>
    <t xml:space="preserve">Timothy Kenney Legal Division </t>
  </si>
  <si>
    <t xml:space="preserve">Regina DeAngelis Anne E. Simon Burton Mattson Legal Division </t>
  </si>
  <si>
    <t>Not found</t>
  </si>
  <si>
    <t>Douglas M. Long Legal Division</t>
  </si>
  <si>
    <t xml:space="preserve">Stephen C. Roscow Legal Division </t>
  </si>
  <si>
    <t xml:space="preserve">Maribeth A. Bushey Legal Division </t>
  </si>
  <si>
    <t xml:space="preserve">Robert Mason Legal Division </t>
  </si>
  <si>
    <t xml:space="preserve">W. Anthony Colbert Legal Division </t>
  </si>
  <si>
    <t xml:space="preserve">Julie Halligan Legal Division </t>
  </si>
  <si>
    <t>Robert Mason Legal Division</t>
  </si>
  <si>
    <t>Amy C. Yip-Kikugawa Legal Division</t>
  </si>
  <si>
    <t>Karl Bemesderfer Legal Division</t>
  </si>
  <si>
    <t>Kelly A. Hymes Legal Division</t>
  </si>
  <si>
    <t xml:space="preserve">Jeanne McKinney Legal Division </t>
  </si>
  <si>
    <t>Thomas R. Pulsifer Legal Division</t>
  </si>
  <si>
    <t xml:space="preserve">Kimberly Kim Legal Division </t>
  </si>
  <si>
    <t>A1408011</t>
  </si>
  <si>
    <t>Patricia Miles</t>
  </si>
  <si>
    <t>C1409002</t>
  </si>
  <si>
    <t>A1409008</t>
  </si>
  <si>
    <t>C1409006</t>
  </si>
  <si>
    <t>SDG&amp;E - FOR AUTHORITY TO ISSUE DEBT SECURITIES, ROLL-OVER DEBT SECURITIES AND HEDGE PLANNED ISSUANCE OF DEBT SECURITIES AND RELATED ACTIONS</t>
  </si>
  <si>
    <t>(ECP) CHRISTIE, JR. VS EDISON - DESPUTE FOR IMPROPER CHARGES DUE TO FAULTY METER</t>
  </si>
  <si>
    <t>Kimberly Kim</t>
  </si>
  <si>
    <t>Darwin Farrar</t>
  </si>
  <si>
    <t>C1409012</t>
  </si>
  <si>
    <t>(ECP) JAHANGANI VS PRINT TELEPHONY PCS, LP - DISPUTE FOR IMPROPER BILLING ON TELEPHONE SERVICES</t>
  </si>
  <si>
    <t>Rafael L. Lirag</t>
  </si>
  <si>
    <t>W. Anthony Colbert</t>
  </si>
  <si>
    <t>A1409003</t>
  </si>
  <si>
    <t>CALIFORNIA WATER SERVICE COMPANY - FOR AUTHORITY TO OPEN A MEMORADUM ACCOUNT TO RECORD ASBESTOS LITIGATION EXPENSES</t>
  </si>
  <si>
    <t>C1409019</t>
  </si>
  <si>
    <t>(ECP) VALLADOLID VS. SCE - FOR A REFUND ON EXCESSIVE FEES TO OPT OUT OF SMART METER</t>
  </si>
  <si>
    <t>Karl Bemesderfer</t>
  </si>
  <si>
    <t>I1408022</t>
  </si>
  <si>
    <t>CPUC - OII INTO THE OPERATIONS AND PRACTICES OF PACIFIC GAS AND ELECTRIC COMPANY REGARDING THE JUNE 19, 2012 INCIDENT AT THE KERN POWER PLANT</t>
  </si>
  <si>
    <t>Jean Vieth</t>
  </si>
  <si>
    <t>A1409017</t>
  </si>
  <si>
    <t>BLACK CLOUD NETWORKS, INC.- CPCN TO PROVIDE LOCAL EXCHANGE SWITCHLESS RESALE TELECOMMUNICATIONS SERVICES.</t>
  </si>
  <si>
    <t>A1410001</t>
  </si>
  <si>
    <t>TALK AMERICA SERVICES, LLC - CPCN TO PROVIDE RESOLD LOCAL EXCHANGE AND INTERECHANGE TELECOMMUNICATIONS SERVICES</t>
  </si>
  <si>
    <t>A1410002</t>
  </si>
  <si>
    <t>PG&amp;E - FOR APPROVAL OF AMENDMENT TO ITS POWER PURCHASE AGREEMENT WITH RIO BRAVO POSO AND TO RECOVER THE COSTS OF THE AMENDMENT IN RATES</t>
  </si>
  <si>
    <t>A1410005</t>
  </si>
  <si>
    <t>A1410006</t>
  </si>
  <si>
    <t xml:space="preserve">Richard Smith </t>
  </si>
  <si>
    <t>A0909020</t>
  </si>
  <si>
    <t>A1201003</t>
  </si>
  <si>
    <t xml:space="preserve">Legal Division Sean Wilson </t>
  </si>
  <si>
    <t>A1406015</t>
  </si>
  <si>
    <t>A1408025</t>
  </si>
  <si>
    <t>C1408005</t>
  </si>
  <si>
    <t>C1408008</t>
  </si>
  <si>
    <t>C1408016</t>
  </si>
  <si>
    <t>C1408026</t>
  </si>
  <si>
    <t>C1410004</t>
  </si>
  <si>
    <t>I1012010</t>
  </si>
  <si>
    <t xml:space="preserve">Legal Division Maribeth A. Bushey </t>
  </si>
  <si>
    <t>I1204010</t>
  </si>
  <si>
    <t>I1408015</t>
  </si>
  <si>
    <t>I1408021</t>
  </si>
  <si>
    <t>P1410007</t>
  </si>
  <si>
    <t>R1408012</t>
  </si>
  <si>
    <t>R1408013</t>
  </si>
  <si>
    <t>R1408020</t>
  </si>
  <si>
    <t>R1410003</t>
  </si>
  <si>
    <t>Amy Yip-Kikugawa</t>
  </si>
  <si>
    <t>Jeanne McKinney</t>
  </si>
  <si>
    <t>Jean Vieth Legal Division</t>
  </si>
  <si>
    <t>Linda Rochester W. Anthony Colbert</t>
  </si>
  <si>
    <t>SOCAL GAS - TO AMEND ITS CPCN FOR THE ALISO CANYON GAS STORAGE FACILITY</t>
  </si>
  <si>
    <t>SAN JOSE WATER CO. - TO INCREASE RATES CHARGED FOR WATER SERVICE FOR YEARS 2013 AND 2014</t>
  </si>
  <si>
    <t>LEAP TRANSIT, INC. - TO OPERATE AS A PSC AND TO ESTABLISH A ZORF</t>
  </si>
  <si>
    <t>FIVE9, INC. - FOR REGISTRATION AS AN INTEREXCHANGE CARRIER TELEPHONE CORPORATION PURSUANT TO THE PROVISIONS OF PUBLIC UTILITIES CODE SECTION 1013</t>
  </si>
  <si>
    <t>FIRST ASSEMBLY OF GOD, LANCASTER VS EDISON - FOR A REFUND FOR UNILATERAL ALTERATION OF THE TERMS OF THE WRITTEN INTERCONNECTION AGREEMENT</t>
  </si>
  <si>
    <t>DEGROOT VS GARL DBA WESO WATER AND PROPERTIES - FOR RELIEF FROM VIOLATION OF PU CODE SECTION 216 AND UNLAWFUL TARRIF RATES</t>
  </si>
  <si>
    <t>(ECP) TOUZIN VS VERIZON CALIFORNIA, INC. - FOR RELIEF FROM SERVICES CHARGED BUT NOT RECEIVED AND FOR FEES COLLECTED BY THE UTILITY</t>
  </si>
  <si>
    <t>(ECP) ZELHOFER VS PG&amp;E - FOR FAILING TO SET RATE FOR COMPRESSED NATURAL GAS IN ACCORDANCE WITH DECISION 10-06-035</t>
  </si>
  <si>
    <t>(ECP) MARK D. AND KATHY QUIJADA VS. VERIZON WIRELESS – FOR IMPROPER ASSESSMENT OF EARLY TERMINATION FEES</t>
  </si>
  <si>
    <t>CPUC - OII INTO THE OPERATIONS, PRACTICES, AND CONDUCT OF TELSEVEN, LLC, CALLING 10 LLC DBA CALIFORNIA CALLING 10, AND PATRICK HINES</t>
  </si>
  <si>
    <t>CPUC - PG&amp;E - OII INTO THE OPERATIONS AND PRACTICES OF PACIFIC GAS &amp; ELECTRIC COMPANY REGARDING ANTI-SMART METER CONSUMER GROUPS</t>
  </si>
  <si>
    <t>CPUC - OII INTO THE OPERATIONS, PRACTICES, AND CONDUCT OF NEW DAY BROADBAND ONE, LLC TO DETERMINE WHETHER IT VIOLATED THE LAWS, RULES, AND REGULATIONS WHEN OPERATING WIHOUT THE REQUIRED FRANCHISE</t>
  </si>
  <si>
    <t>CPUC - OII INTO THE OPERATIONS AND PRACTICES OF BRENDA MASON-SAUNDERS, AN INDIVIDUAL DOING BUSINESS AS A CAR 4 KIDS</t>
  </si>
  <si>
    <t>FRIENDS OF THE EARTH - TO ADOPT, AMEND, OR REPEAL A REGULATION PURSUANT TO P.U.. CODE SECTION 1708.5 RE: THE ECONOMICS AND APPROPRIATE METHOD OF COMPENSATION FOR THE DIABLO CANYON NUCLEAR POWER PLANT</t>
  </si>
  <si>
    <t>CPUC - OIR REGARDING POLICIES, PROCEDURES AND RULES FOR DEVELOPMENT OF DISTRIBUTION RESOURCES PLANS PURSUANT TO PU CODE SECTION 769</t>
  </si>
  <si>
    <t>CPUC – OIR REGARDING WHETHER TO ADOPT, AMEND, OR REPEAL REGULATIONS GOVERNING THE AWARD OF INTERVENOR COMPENSATION</t>
  </si>
  <si>
    <t>CPUC - OIR TO CREATE A CONSISTENT REGULATORY FRAMEWORK FOR THE GUIDANCE, PLANNING, AND EVALUATION OF INTEGRATED DEMAND SIDE RESOURCE PROGRAMS</t>
  </si>
  <si>
    <t>CPUC - OIR TO CONSIDER PROPOSED AMENDMENTS TO GENERAL ORDER 95.</t>
  </si>
  <si>
    <t xml:space="preserve">Legal Division Jean Vieth </t>
  </si>
  <si>
    <t>Amy C. Yip-Kikugawa</t>
  </si>
  <si>
    <t>A0706031</t>
  </si>
  <si>
    <t>A1009012</t>
  </si>
  <si>
    <t>A1208007</t>
  </si>
  <si>
    <t>A1208008</t>
  </si>
  <si>
    <t>A1208009</t>
  </si>
  <si>
    <t>A1208010</t>
  </si>
  <si>
    <t>C1410012</t>
  </si>
  <si>
    <t>R1410009</t>
  </si>
  <si>
    <t>R1410010</t>
  </si>
  <si>
    <t>Maribeth A. Bushey</t>
  </si>
  <si>
    <t>EDISON - CPCN CONCERNING THE TEHACHAPI RENEWABLE TRANSMISSION PROJECT (SEGMENTS 4 THROUGH 11)</t>
  </si>
  <si>
    <t xml:space="preserve">Jean Vieth Legal Division </t>
  </si>
  <si>
    <t>CALIFORNIANS FOR RENEWABLE ENERGY, INC. - TO MODIFY DECISION 06-07-027</t>
  </si>
  <si>
    <t>PG&amp;E - FOR APPROVAL OF 2013-2014 STATEWIDE MARKETING, EDUCATION AND OUTREACH PROGRAM AND BUDGET</t>
  </si>
  <si>
    <t>EDISON - FOR APPROVAL OF STATEWIDE MARKETING, EDUCATION &amp; OUTREACH ACTIVITIES AND BUDGETS FOR 2013-2014</t>
  </si>
  <si>
    <t>SDG&amp;E - FOR APPROVAL OF STATEWIDE MARKETING, EDUCATION AND OUTREACH PROGRAM AND BUDGETS FOR YEARS 2013 THROUGH 2014</t>
  </si>
  <si>
    <t>SOCALGAS - FOR APPROVAL OF STATEWIDE MARKETING, EDUCATION AND OUTREACH PROGRAM AND BUDGETS FOR YEARS 2013 THROUGH 2014</t>
  </si>
  <si>
    <t>(ECP) RANDY/LAURA KYT DBA FRIENDS OF THE VALLEY THRIFT &amp; GIFT VS. CA WATER – FOR OVERBILLING ON WATER SERVICE</t>
  </si>
  <si>
    <t>Timothy J. Sullivan Legal Division</t>
  </si>
  <si>
    <t xml:space="preserve">CPUC - OII INTO THE OPERATIONS, PRACTICES, AND CONDUCT OF COMCAST PHONE OF CALIFORNIA LLC AND ITS RELATED ENTITIES RE UNAUTHORIZED DISCLOSURE OF PUBLICATION OF COMCAST SUBSCRIBERS </t>
  </si>
  <si>
    <t>ODD FELLOWS SIERRA RECREATION ASSOC. AND SIERRA PARK WATER CO., INC. - FOR CPCN TO OPERATE A WATER SYSTEM, TO ESTABLISH RATES AND TO ISSUE STOCKS</t>
  </si>
  <si>
    <t xml:space="preserve"> RIDEPAL, INC. - TO OPERATE AS A PSC AND ARRANGE TRANSPORTATION THROUGH A CLOUD-BASED DELIVERY PLATFORM</t>
  </si>
  <si>
    <t>CPUC - OIR TO CONSIDER ELECTRIC PROCUREMENT POLICY REFINEMENTS PURSUANT TO THE JOINT RELIABILITY PLAN</t>
  </si>
  <si>
    <t>CAL-AMERICAN WATER CO. AND GRANT PARK DEVELOPMENT, INC. - FOR AN ORDER AUTORIZING DUNNIGAN WATER WORKS TO SELL AND CAL-AMERICAN TO PURCHASE THE PUBLIC UTILITY ASSETS OF DUNNIGAN</t>
  </si>
  <si>
    <t>CPUC - OII INTO THE OPERATIONS, PRACTICES, AND CONDUCT OF SAN FRANCISCO MUNICIPAL TRANSPORTATION AGENCY, REGARDING ONGOING PUBLIC SAFETY ISSUES</t>
  </si>
  <si>
    <t>APPLE VALLEY RANCHOS WATER COMPANY  - FOR AUTHORITY TO INCREASE RATES CHARGED FOR WATER SERVICE IN YEARS 2015, 2016 AND 2017</t>
  </si>
  <si>
    <t>SDG&amp;E - APPROVAL FOR ELECTRIC PROGRAM INVESTMENT CHARGE  TRIENNIAL  PLAN FOR YEARS 2012-2014</t>
  </si>
  <si>
    <t xml:space="preserve">Katherine MacDonald Sean Wilson Legal Division </t>
  </si>
  <si>
    <t>A1410014</t>
  </si>
  <si>
    <t>A1411003</t>
  </si>
  <si>
    <t>A1411004</t>
  </si>
  <si>
    <t>C1403018</t>
  </si>
  <si>
    <t>C1406018</t>
  </si>
  <si>
    <t>C1410011</t>
  </si>
  <si>
    <t>C1410013</t>
  </si>
  <si>
    <t>R1411001</t>
  </si>
  <si>
    <t xml:space="preserve">Gary Weatherford </t>
  </si>
  <si>
    <t>ROBERT PACK VS. CAL-AM WATER FOR A REFUND OF $15,299.79 PLUS INTEREST, PLUS SURVEYING COSTS OF $400, WATER BILLS PAID SINCE 1998 FOR THE FIRE HYDRANT</t>
  </si>
  <si>
    <t>(ECP) VLAD HIKIN VS. EDISON - FOR AN ORDER THAT EDISION SUPPLY ELECTRICITY TO THE BUILDING OF COMPLAINANT WITHOUT THE NEED OF METER BYPASS JUMPER</t>
  </si>
  <si>
    <t>(ECP) S DELALAT VS. AT&amp;T – FOR POOR SERVICE QUALITY</t>
  </si>
  <si>
    <t>(ECP) HERBERT FEITLER, JR., VS. AT&amp;T CALIFORNIA – FOR POOR SERVICE QUALITY</t>
  </si>
  <si>
    <t>CPUC - OIR TO IMPROVE PUBLIC ACCESS TO PUBLIC RECORDS PURSUANT TO THE CALIFORNIA RECORDS ACT</t>
  </si>
  <si>
    <t xml:space="preserve">Karin M. Hieta </t>
  </si>
  <si>
    <t>A1411007</t>
  </si>
  <si>
    <t>A1411009</t>
  </si>
  <si>
    <t>A1411010</t>
  </si>
  <si>
    <t>A1411011</t>
  </si>
  <si>
    <t>A1411012</t>
  </si>
  <si>
    <t>A1411013</t>
  </si>
  <si>
    <t>A1411014</t>
  </si>
  <si>
    <t>A1411016</t>
  </si>
  <si>
    <t>C1411015</t>
  </si>
  <si>
    <t>C1412001</t>
  </si>
  <si>
    <t>I1411008</t>
  </si>
  <si>
    <t>R1203014</t>
  </si>
  <si>
    <t>Sewer</t>
  </si>
  <si>
    <t>Regina DeAngelis Anne E. Simon Legal Division</t>
  </si>
  <si>
    <t xml:space="preserve">Legal Division David M. Gamson </t>
  </si>
  <si>
    <r>
      <t xml:space="preserve">Karin M. Hieta </t>
    </r>
    <r>
      <rPr>
        <sz val="11"/>
        <rFont val="Calibri"/>
        <family val="2"/>
        <scheme val="minor"/>
      </rPr>
      <t xml:space="preserve">Regina DeAngelis </t>
    </r>
  </si>
  <si>
    <t xml:space="preserve">Karin M. Hieta  Regina DeAngelis </t>
  </si>
  <si>
    <t>A1105018</t>
  </si>
  <si>
    <t>SOCAL GAS - FOR APPROVAL OF LOW-INCOME ASSISTANCE PROGRAMS AND BUDGETS FOR PROGRAM YEARS 2012-2014</t>
  </si>
  <si>
    <t>A1105019</t>
  </si>
  <si>
    <t>PG&amp;E - FOR APPROVAL OF THE 2012-2014 ENERGY SAVINGS ASSISTANCE AND CARE PROGRAMS AND BUDGETS</t>
  </si>
  <si>
    <t>A1105020</t>
  </si>
  <si>
    <t>SDG&amp;E - FOR APPROVAL OF LOW-INCOME ASSISTANCE PROGRAMS AND BUDGETS FOR YEARS 2012-2014</t>
  </si>
  <si>
    <t>A1105017</t>
  </si>
  <si>
    <t>EDISON - FOR APPROVAL OF ITS 2012-2014 CARE AND ENERGY SAVINGS ASSISTANCE PROGRAMS AND BUDGETS</t>
  </si>
  <si>
    <t>C1411017</t>
  </si>
  <si>
    <t>C1412002</t>
  </si>
  <si>
    <t>Gary Weatherford Legal Division</t>
  </si>
  <si>
    <t>(ECP) O’BRIEN VS. AT&amp;T MOBILITY WIRELESS -  DISPUTE REGARDING A DISCOUNT</t>
  </si>
  <si>
    <t>CALIFORNIA WATER SERVICE CO. AND THE CITY OF SELMA - TO RECOVER COSTS FOR GROUNDWATER FEES IN THE SELMA DISTRICT</t>
  </si>
  <si>
    <t>Karin M. Hieta</t>
  </si>
  <si>
    <t>A0811001</t>
  </si>
  <si>
    <t>A1412004</t>
  </si>
  <si>
    <t>A1412005</t>
  </si>
  <si>
    <t>A1412006</t>
  </si>
  <si>
    <t>A1412007</t>
  </si>
  <si>
    <t>A1412008</t>
  </si>
  <si>
    <t>A1412011</t>
  </si>
  <si>
    <t>R0404003</t>
  </si>
  <si>
    <t>R0404025</t>
  </si>
  <si>
    <t>R0602013</t>
  </si>
  <si>
    <t>R9911022</t>
  </si>
  <si>
    <t xml:space="preserve">Dorothy Duda </t>
  </si>
  <si>
    <t xml:space="preserve">Kimberly Kim Sean Wilson </t>
  </si>
  <si>
    <t>EDISON - FOR APPLYING THE MARKET INDEX FORMULA AND ADOPTED IN D.07-09-040 TO CALCULATE SHORT-RUN AVOIDED COST</t>
  </si>
  <si>
    <t>CPUC - PG&amp;E, EDISON, SDG&amp;E - OIR TO PROMOTE POLICY AND PROGRAM COORDINATION AND INTEGRATION IN ELECTRIC UTILITY RESOURCE PLANNING</t>
  </si>
  <si>
    <t>CPUC - OIR TO PROMOTE CONSISTENCY IN METHODOLOGY AND INPUT ASSUMPTIONS IN APPLICATIONS OF SHORT-RUN AND LONG-RUN AVOIDED COSTS</t>
  </si>
  <si>
    <t>CPUC - OIR TO INTEGRATE PROCUREMENT POLICIES AND CONSIDER LONG-TERM PROCUREMENT PLAN</t>
  </si>
  <si>
    <t>CPUC - PU CODE SECTION 390 - OIR TO IMPLEMENT PU CODE SECTION 390</t>
  </si>
  <si>
    <t>EDISON - TO CONSTRUCT ELECTRICAL FACILITIES WITH VOLTAGES BETWEEN 50KV AND 200KV OR NEW OR UPGRADED SUBSTATIONS WITH HIGH SIDE VOLTAGES EXCEEDING 50 KV: ALBERHILL SYSTEM PROJECT</t>
  </si>
  <si>
    <t>STI PREPARD, LLC AND VIVARO CORP. - FOR AUTHORITY TO TRANSFER CONTROL</t>
  </si>
  <si>
    <t>PG&amp;E - TO CONSTRUCT THE MISSOURI FLAT - GOLD HILL 115 KV POWER LINE RECONDUCTORING PROJECT</t>
  </si>
  <si>
    <t>LAFOUNTAINE AND DESERT PACIFIC DEVELOPMENT INC. VS. EDISON - FOR OVERBILLING OF ELECTRIC CHARGES AND IMPROPER DISCONNECTION OF ELECTRIC SERVICES</t>
  </si>
  <si>
    <t>(PUBLIC VERSION) JOINT APPLICATION FOR APPROVAL OF THE TRANSFER OF THE CERTIFICATE OF PUBLIC CONVENIENCE AND NECESSITY AND OTHER ASSETS, INCLUDING THE CUSTOMER BASE, OF LINE SYSTEMS, INC. (U6795C) TO</t>
  </si>
  <si>
    <t>IN THE MATTER OF THE APPLICATION OF SOUTHWEST GAS CORPORATION (U905G) FOR AUTHORITY TO: (I) ISSUE ONE OR MORE TYPES OF DEBT SECURITIES IN THE PRINCIPAL AMOUNT OF UP TO $500,000,000; (II) ISSUE UP TO 9</t>
  </si>
  <si>
    <t>IN THE MATTER OF THE APPLICATION OF PACIFICORP (U901E) FOR AUTHORITY TO UPDATE ITS RATES UNDER ITS ENERGY COST ADJUSTMENT CLAUSE EFFECTIVE JANUARY 1, 2015.</t>
  </si>
  <si>
    <t>IN THE MATTER OF THE APPLICATION OF PACIFICORP’S (U901E) FOR APPROVAL OF ITS 2015 GREENHOUSE GAS ALLOWANCE COST AND REVENUE FORECAST AND RECONCILIATION.</t>
  </si>
  <si>
    <t>(PUBLIC VERSION) APPLICATION OF WICKLAND PIPELINES LLC (PLC27) FOR AUTHORIZATION TO ESTABLISH MARKET-BASED RATES AND CONDITIONSOF SERVICE AND FOR APPROVAL OF EXEMPTIONS UNDER SECTIONS 818 AND TO 851</t>
  </si>
  <si>
    <t>IN THE MATTER OF THE APPLICATION OF SOUTHERN CALIFORNIA GAS COMPANY (U904G) TO ESTABLISH A DISTRIBUTED ENERGY RESOURCES SERVICES TARIFF.</t>
  </si>
  <si>
    <t>THE NEVADA HYDRO COMPANY, COMPLAINANT, VS. SOUTHERN CALIFORNIA EDISON COMPANY (U338E), DEFENDANT [FOR RELIEF FROM DEFENDANT’S FAILURE TO COMPLY WITH PROCUREMENT REQUIREMENTS ADOPTED IN COMMISSION DECI</t>
  </si>
  <si>
    <t>(PUBLIC VERSION) IN THE MATTER OF THE APPLICATION OF TOUCHTONE COMMUNICATIONS, INC. WHICH WILL DO BUSINESS IN CALIFORNIA AS DE TOUCHTONE COMMUNICATIONS, INC. FOR A CERTIFICATE OF PUBLIC CONVENIENCE</t>
  </si>
  <si>
    <t>APPLICATION OF INYO NETWORKS, INC. (U7159C) TO EXPAND ITS EXISTING CERTIFICATE OF PUBLIC CONVENIENCE AND NECESSITY [A.09-07-023, D.09-12-036] TO INCLUDE FULL FACILITIES-BASED TELECOMMUNICATION SERVICE</t>
  </si>
  <si>
    <t>ORDER INSTITUTING RULEMAKING TO UPDATE GENERAL ORDER 156 TO COMPLY WITH ASSEMBLY BILL 1678 BY EXTENDING PROVISIONS OF THE UTILITIES’ SUPPLIER DIVERSITY PROGRAM TO LESBIAN, GAY, BISEXUAL AND/OR TRANSGENDER (LGBT) BUSINESS ENTERPRISES.</t>
  </si>
  <si>
    <t>ORDER INSTITUTING RULEMAKING TO OVERSEE THE RESOURCE ADEQUACY PROGRAM, CONSIDER PROGRAM REFINEMENTS, AND ESTABLISH ANNUAL LOCAL AND FLEXIBLE PROCUREMENT OBLIGATIONS FOR THE 2016 AND 2017 COMPLIANCE YEARS.</t>
  </si>
  <si>
    <t xml:space="preserve">FOR APPROVAL OF CHARGE READY AND MARKET EDUCATION PROGRAMS. </t>
  </si>
  <si>
    <t>(ECP) S&amp;S INVESTMENTS, A PARTNERSHIP, V. SCE FOR IMPROPER TERMINATION OF ELECTRIC SERVICE</t>
  </si>
  <si>
    <t>APPLICATION OF SAN DIEGO GAS &amp; ELECTRIC_x000D__x000D_
COMPANY (U 902 M) FOR AUTHORITY, AMONG OTHER_x000D__x000D_
THINGS, TO INCREASE RATES AND CHARGES FOR ELECTRIC_x000D__x000D_
AND GAS SERVICE EFFECTIVE ON JANUARY 1, 2016.</t>
  </si>
  <si>
    <t>APPLICATION OF SOUTHERN CALIFORNIA GAS COMPANY (U904G) FOR AUTHORITY TO UPDATE ITS GAS REVENUE REQUIREMENT AND BASE RATES EFFECTIVE ON JANUARY 1, 2016.</t>
  </si>
  <si>
    <t>(ECP) FRANKLIN/ELAINE BONDONNO V. VERIZON FOR A COPY OF WHERE AND WHOSE REQUEST PHONE LINE WAS PORTED.</t>
  </si>
  <si>
    <t>APPLICATION OF SOUTHERN CALIFORNIA EDISON COMPANY (U338E) FOR APPROVAL OF ITS ENERGY SAVINGS ASSISTANCE AND CALIFORNIA ALTERNATE RATES FOR ENERGY PROGRAMS AND BUDGETS FOR PROGRAM YEARS 2015-2017.</t>
  </si>
  <si>
    <t>APPLICATION OF SAN DIEGO GAS &amp; ELECTRIC COMPANY (U902M) FOR APPROVAL OF LOW INCOME ASSISTANCE PROGRAMS AND BUDGETS FOR PROGRAM YEARS 2015-2017.</t>
  </si>
  <si>
    <t>APPLICATION OF PACIFIC GAS AND ELECTRIC COMPANY FOR APPROVAL OF THE 2015-2017 ENERGY SAVINGS ASSISTANCE AND CALIFORNIA ALTERNATE RATES FOR ENERGY PROGRAMS AND BUDGET. (U39M).</t>
  </si>
  <si>
    <t>APPLICATION OF SOUTHERN CALIFORNIA GAS COMPANY (U904G) FOR APPROVAL OF LOW INCOME ASSISTANCE PROGRAMS AND BUDGETS FOR PROGRAM YEARS 2015 – 2017.</t>
  </si>
  <si>
    <t>ORDER INSTITUTING INVESTIGATION AND ORDER TO SHOW CAUSE ON THE COMMISSION’S OWN MOTION INTO THE OPERATIONS AND PRACTICES OF PACIFIC GAS AND ELECTRIC COMPANY WITH RESPECT TO FACILITIES RECORDS FOR ITS NATURAL GAS DISTRIBUTION SYSTEM PIPELINES.</t>
  </si>
  <si>
    <t>APPLICATION OF SOUTHERN CALIFORNIA EDISON COMPANY (U338E) FOR APPROVAL OF THE RESULTS OF ITS 2013 LOCAL CAPACITY REQUIREMENTS REQUEST FOR OFFERS FOR THE WESTERN LOS ANGELES BASIN.</t>
  </si>
  <si>
    <t>JOINT APPLICATION OF LIBERTY UTILITIES CO., LIBERTY WWH, INC., WESTERN WATER HOLDINGS, LLC, PARK WATER COMPANY (U314W), AND APPLE VALLEY RANCHOS WATER COMPANY (U346W) FOR AUTHORITY FOR LIBERTY UTILITI</t>
  </si>
  <si>
    <t>APPLICATION OF PACIFIC GAS AND ELECTRIC COMPANY FOR APPROVAL OF ITS 2015 RATE DESIGN WINDOW PROPOSALS (U39E).</t>
  </si>
  <si>
    <t>APPLICATION OF SOUTHERN CALIFORNIA EDISON COMPANY (U338E) FOR APPROVAL OF THE RESULTS OF ITS 2013 LOCAL CAPACITY REQUIREMENTS REQUEST FOR OFFERS FOR THE MOORPARK SUB-AREA.</t>
  </si>
  <si>
    <t>CAMILLE MOUCHAWAR, TRUSTEE OF THE CAMILLE MOUCHAWAR TRUST, DOING BUSINESS AS LAKERIDGE MOBILE HOME PARK AND KATHIE TROOLINES, COMPLAINANTS VS. LIWW, LLC, DEFENDANT [FOR AN ORDER THAT DEFENDANT IS PROV</t>
  </si>
  <si>
    <t>(PUBLIC VERSION) APPLICATION OF CONTERRA WIRELESS BROADBAND, LLC (U7057C) FOR MODIFICATION OF EXISTING CERTIFICATE OF PUBLIC CONVENIENCE AND NECESSITY TO INCLUDE FULL FACILITIES-BASED AUTHORITY.</t>
  </si>
  <si>
    <t>APPLICATION OF SOLAR ELECTRIC SOLUTIONS, LLC AND_x000D__x000D_SUSTAINABLE POWER GROUP, LLC FOR MODIFICATION OF_x000D__x000D_RESOLUTION E-4546 AND UNDERLYING DECISION 10-12-048.</t>
  </si>
  <si>
    <t>(PUBLIC VERSION) APPLICATION OF PACIFIC GAS AND ELECTRIC COMPANY FOR APPROVAL OF SETTLEMENT AGREEMENTS AMENDING POWER PURCHASE AND SALE AGREEMENTS WITH WESTSIDE COGENS AND FOR AUTHORITY TO RECOVER THE</t>
  </si>
  <si>
    <t>APPLICATION OF SOITEC SOLAR INDUSTRIES LLC FOR MODIFICATION OF RESOLUTION E-4613.</t>
  </si>
  <si>
    <t>JOINT APPLICATION OF SOUTHERN CALIFORNIA EDISON COMPANY (U338E) AND SAN DIEGO GAS &amp; ELECTRIC COMPANY (U902E) TO FIND THE 2014 SONGS UNITS 2 AND 3 DECOMMISSIONING COST ESTIMATE REASONABLE AND ADDRESS O</t>
  </si>
  <si>
    <t>APPLICATION OF SUBURBAN WATER SYSTEMS (U339W) FOR AUTHORITY TO ISSUE, SELL AND DELIVER ITS FIRST MORTGAGE BONDS NOT EXCEEDING $25,000,000 PRINCIPAL AMOUNT.</t>
  </si>
  <si>
    <t>EDISON - FOR APPROVAL OF OPTIONAL GREEN RATE</t>
  </si>
  <si>
    <t>APPLICATION OF SAN DIEGO GAS &amp; ELECTRIC_x000D__x000D_ COMPANY (U 902 M) FOR AUTHORITY, AMONG OTHER_x000D__x000D_ THINGS, TO INCREASE RATES AND CHARGES FOR ELECTRIC_x000D__x000D_ AND GAS SERVICE EFFECTIVE ON JANUARY 1, 2016.</t>
  </si>
  <si>
    <t>Calendar Days Elapsed from Filed Date to Present Date</t>
  </si>
  <si>
    <t>Calendar Days Elapsed from ReOpen Date to Present Date</t>
  </si>
  <si>
    <t>This worksheet provide definitions for the columns that appear in this spreadsheet.</t>
  </si>
  <si>
    <t>Column</t>
  </si>
  <si>
    <t>Definition</t>
  </si>
  <si>
    <t>Proceeding</t>
  </si>
  <si>
    <t xml:space="preserve">
Identifying number of the proceeding</t>
  </si>
  <si>
    <t>PHC Date</t>
  </si>
  <si>
    <t>Date on which a pre-hearing conference was held</t>
  </si>
  <si>
    <t>Scoping Memo</t>
  </si>
  <si>
    <t xml:space="preserve">
Date on which the first scoping memo in the proceeding was issued </t>
  </si>
  <si>
    <t>Scoping Memo Count</t>
  </si>
  <si>
    <t xml:space="preserve">
Number of scoping memos issued</t>
  </si>
  <si>
    <t xml:space="preserve">
Date on which an evidentiary hearing was held</t>
  </si>
  <si>
    <t>Latest Brief</t>
  </si>
  <si>
    <t xml:space="preserve">
Date of the most recent brief filed in the proceeding</t>
  </si>
  <si>
    <t>Filed Date</t>
  </si>
  <si>
    <t xml:space="preserve">
Date on which the proceeding was filed</t>
  </si>
  <si>
    <t xml:space="preserve">
Calculated value showing elapsed days from filed date to current date</t>
  </si>
  <si>
    <t>Closed Date</t>
  </si>
  <si>
    <t xml:space="preserve">
Date on which the proceeding was closed</t>
  </si>
  <si>
    <t>Reopen Date</t>
  </si>
  <si>
    <t xml:space="preserve">
Date on which the proceeding was reopened</t>
  </si>
  <si>
    <t>Calendar Days Elapsed from Reopen Date to Present Date</t>
  </si>
  <si>
    <t xml:space="preserve">
Calculated value showing elapsed days from reopened date to current date</t>
  </si>
  <si>
    <t>Submission Date</t>
  </si>
  <si>
    <t xml:space="preserve">
Date on which the presiding ALJ  deemed the proceeding to be submitted (Rule 13.14)</t>
  </si>
  <si>
    <t>Hearing</t>
  </si>
  <si>
    <t xml:space="preserve">
A "Yes" or "No" value indicating whether hearings were held in the proceeding</t>
  </si>
  <si>
    <t>Short Title</t>
  </si>
  <si>
    <t xml:space="preserve">
Short title of the proceeding</t>
  </si>
  <si>
    <t>Status</t>
  </si>
  <si>
    <t xml:space="preserve">
Status of the proceeding; Active or Reopened</t>
  </si>
  <si>
    <t>Utility</t>
  </si>
  <si>
    <t xml:space="preserve">
Utility type of the proceeding</t>
  </si>
  <si>
    <t>Commissioner</t>
  </si>
  <si>
    <t xml:space="preserve">
Assigned Commissioner</t>
  </si>
  <si>
    <t xml:space="preserve">
Assigned Administrative Law Judges
If "Legal Division" also appears in this column, the proceeding is undergoing appellate review pursuant to an application for rehearing</t>
  </si>
  <si>
    <t>Please note that even when a proceeding is open for a long time, this does not indicate non-compliance with a statutory deadline. </t>
  </si>
  <si>
    <t xml:space="preserve">There are many reasons why a proceeding continues to be open for more than 18 months.  </t>
  </si>
  <si>
    <r>
      <t>·</t>
    </r>
    <r>
      <rPr>
        <b/>
        <sz val="7"/>
        <color rgb="FF1F497D"/>
        <rFont val="Times New Roman"/>
        <family val="1"/>
      </rPr>
      <t xml:space="preserve">         </t>
    </r>
    <r>
      <rPr>
        <b/>
        <sz val="11"/>
        <color theme="1"/>
        <rFont val="Arial"/>
        <family val="2"/>
      </rPr>
      <t xml:space="preserve">Most commonly, the scope of a proceeding was modified to address additional issues, and this resets the deadline for closure.  </t>
    </r>
  </si>
  <si>
    <r>
      <t>·</t>
    </r>
    <r>
      <rPr>
        <b/>
        <sz val="7"/>
        <color rgb="FF1F497D"/>
        <rFont val="Times New Roman"/>
        <family val="1"/>
      </rPr>
      <t xml:space="preserve">         </t>
    </r>
    <r>
      <rPr>
        <b/>
        <sz val="11"/>
        <color theme="1"/>
        <rFont val="Arial"/>
        <family val="2"/>
      </rPr>
      <t xml:space="preserve">In other proceedings, the Commission must await the completion of an environmental review before continuing with processing.  </t>
    </r>
    <r>
      <rPr>
        <b/>
        <sz val="8"/>
        <color theme="1"/>
        <rFont val="Calibri"/>
        <family val="2"/>
        <scheme val="minor"/>
      </rPr>
      <t> </t>
    </r>
  </si>
  <si>
    <t>SCOPING MEMO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</si>
</sst>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mm/dd/yy;@"/>
    <numFmt numFmtId="166" formatCode="[$-409]d\-mmm\-yy;@"/>
    <numFmt numFmtId="167" formatCode="[$-409]dd\-mmm\-yy;@"/>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574123"/>
      <name val="Tahoma"/>
      <family val="2"/>
    </font>
    <font>
      <sz val="11"/>
      <name val="Calibri"/>
      <family val="2"/>
      <scheme val="minor"/>
    </font>
    <font>
      <sz val="10"/>
      <name val="Tahoma"/>
      <family val="2"/>
    </font>
    <font>
      <sz val="11"/>
      <color rgb="FF00B050"/>
      <name val="Calibri"/>
      <family val="2"/>
      <scheme val="minor"/>
    </font>
    <font>
      <sz val="10"/>
      <color rgb="FF00B050"/>
      <name val="Tahoma"/>
      <family val="2"/>
    </font>
    <font>
      <b/>
      <sz val="11"/>
      <color theme="1"/>
      <name val="Arial"/>
      <family val="2"/>
    </font>
    <font>
      <b/>
      <sz val="11"/>
      <color rgb="FF1F497D"/>
      <name val="Calibri"/>
      <family val="2"/>
      <scheme val="minor"/>
    </font>
    <font>
      <b/>
      <sz val="11"/>
      <color rgb="FF1F497D"/>
      <name val="Symbol"/>
      <family val="1"/>
      <charset val="2"/>
    </font>
    <font>
      <b/>
      <sz val="7"/>
      <color rgb="FF1F497D"/>
      <name val="Times New Roman"/>
      <family val="1"/>
    </font>
    <font>
      <b/>
      <sz val="8"/>
      <color theme="1"/>
      <name val="Calibri"/>
      <family val="2"/>
      <scheme val="minor"/>
    </font>
    <font>
      <sz val="8"/>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0" fillId="0" borderId="10" xfId="0" applyBorder="1"/>
    <xf numFmtId="0" fontId="0" fillId="0" borderId="10" xfId="0" applyBorder="1" applyAlignment="1">
      <alignment horizontal="center" wrapText="1"/>
    </xf>
    <xf numFmtId="0" fontId="19" fillId="0" borderId="10" xfId="0" applyFont="1" applyBorder="1" applyAlignment="1">
      <alignment horizontal="center" wrapText="1"/>
    </xf>
    <xf numFmtId="0" fontId="0" fillId="0" borderId="10" xfId="0" applyBorder="1" applyAlignment="1">
      <alignment horizontal="center"/>
    </xf>
    <xf numFmtId="0" fontId="0" fillId="33" borderId="10" xfId="0" applyFill="1" applyBorder="1" applyAlignment="1">
      <alignment horizontal="center"/>
    </xf>
    <xf numFmtId="164" fontId="0" fillId="33" borderId="10" xfId="0" applyNumberFormat="1" applyFill="1" applyBorder="1" applyAlignment="1">
      <alignment horizontal="center"/>
    </xf>
    <xf numFmtId="164" fontId="0" fillId="33" borderId="10" xfId="0" applyNumberFormat="1" applyFill="1" applyBorder="1" applyAlignment="1">
      <alignment horizontal="center" wrapText="1"/>
    </xf>
    <xf numFmtId="165" fontId="0" fillId="33" borderId="10" xfId="0" applyNumberFormat="1" applyFill="1" applyBorder="1" applyAlignment="1">
      <alignment horizontal="center"/>
    </xf>
    <xf numFmtId="0" fontId="0" fillId="33" borderId="10" xfId="0" applyFill="1" applyBorder="1" applyAlignment="1">
      <alignment horizontal="center" wrapText="1"/>
    </xf>
    <xf numFmtId="0" fontId="0" fillId="0" borderId="0" xfId="0" applyBorder="1"/>
    <xf numFmtId="0" fontId="0" fillId="0" borderId="0" xfId="0" applyBorder="1" applyAlignment="1">
      <alignment horizontal="center"/>
    </xf>
    <xf numFmtId="164" fontId="0" fillId="0" borderId="0" xfId="0" applyNumberFormat="1" applyBorder="1" applyAlignment="1">
      <alignment horizontal="center"/>
    </xf>
    <xf numFmtId="0" fontId="18" fillId="0" borderId="0" xfId="0" applyFont="1" applyBorder="1" applyAlignment="1">
      <alignment horizontal="center"/>
    </xf>
    <xf numFmtId="166" fontId="0" fillId="0" borderId="0" xfId="0" applyNumberFormat="1" applyBorder="1" applyAlignment="1">
      <alignment horizontal="center"/>
    </xf>
    <xf numFmtId="0" fontId="0" fillId="0" borderId="0" xfId="0" applyBorder="1" applyAlignment="1">
      <alignment horizontal="center" wrapText="1"/>
    </xf>
    <xf numFmtId="165" fontId="0" fillId="0" borderId="0" xfId="0" applyNumberFormat="1" applyBorder="1" applyAlignment="1">
      <alignment horizontal="center"/>
    </xf>
    <xf numFmtId="0" fontId="19" fillId="0" borderId="0" xfId="0" applyFont="1" applyBorder="1" applyAlignment="1">
      <alignment horizontal="center"/>
    </xf>
    <xf numFmtId="164" fontId="19" fillId="0" borderId="0" xfId="0" applyNumberFormat="1" applyFont="1" applyBorder="1" applyAlignment="1">
      <alignment horizontal="center"/>
    </xf>
    <xf numFmtId="166" fontId="19" fillId="0" borderId="0" xfId="0" applyNumberFormat="1" applyFont="1" applyBorder="1" applyAlignment="1">
      <alignment horizontal="center"/>
    </xf>
    <xf numFmtId="0" fontId="19" fillId="0" borderId="0" xfId="0" applyFont="1" applyBorder="1" applyAlignment="1">
      <alignment horizontal="center" wrapText="1"/>
    </xf>
    <xf numFmtId="0" fontId="0" fillId="0" borderId="10" xfId="0" applyBorder="1" applyAlignment="1">
      <alignment horizontal="left" wrapText="1"/>
    </xf>
    <xf numFmtId="0" fontId="19" fillId="0" borderId="10" xfId="0" applyFont="1" applyBorder="1" applyAlignment="1">
      <alignment horizontal="left" wrapText="1"/>
    </xf>
    <xf numFmtId="0" fontId="0" fillId="0" borderId="0" xfId="0" applyBorder="1" applyAlignment="1">
      <alignment horizontal="left" wrapText="1"/>
    </xf>
    <xf numFmtId="164" fontId="19" fillId="33" borderId="10" xfId="0" applyNumberFormat="1" applyFont="1" applyFill="1" applyBorder="1" applyAlignment="1">
      <alignment horizontal="center" wrapText="1"/>
    </xf>
    <xf numFmtId="0" fontId="19" fillId="33" borderId="10" xfId="0" applyFont="1" applyFill="1" applyBorder="1" applyAlignment="1">
      <alignment horizontal="center" wrapText="1"/>
    </xf>
    <xf numFmtId="0" fontId="19" fillId="0" borderId="0" xfId="0" applyFont="1" applyBorder="1" applyAlignment="1">
      <alignment horizontal="left" wrapText="1"/>
    </xf>
    <xf numFmtId="164" fontId="0" fillId="34" borderId="0" xfId="0" applyNumberFormat="1" applyFill="1" applyBorder="1" applyAlignment="1">
      <alignment horizontal="center"/>
    </xf>
    <xf numFmtId="166" fontId="0" fillId="33" borderId="10" xfId="0" applyNumberFormat="1" applyFill="1" applyBorder="1" applyAlignment="1">
      <alignment horizontal="center" wrapText="1"/>
    </xf>
    <xf numFmtId="0" fontId="19" fillId="34" borderId="10" xfId="0" applyFont="1" applyFill="1" applyBorder="1" applyAlignment="1">
      <alignment horizontal="center" wrapText="1"/>
    </xf>
    <xf numFmtId="0" fontId="19" fillId="34" borderId="10" xfId="0" applyFont="1" applyFill="1" applyBorder="1" applyAlignment="1">
      <alignment horizontal="left" wrapText="1"/>
    </xf>
    <xf numFmtId="0" fontId="21" fillId="0" borderId="10" xfId="0" applyFont="1" applyBorder="1" applyAlignment="1">
      <alignment horizontal="center" wrapText="1"/>
    </xf>
    <xf numFmtId="165" fontId="19" fillId="33" borderId="10" xfId="0" applyNumberFormat="1" applyFont="1" applyFill="1" applyBorder="1" applyAlignment="1">
      <alignment horizontal="center" wrapText="1"/>
    </xf>
    <xf numFmtId="166" fontId="19" fillId="33" borderId="10" xfId="0" applyNumberFormat="1" applyFont="1" applyFill="1" applyBorder="1" applyAlignment="1">
      <alignment horizontal="center" wrapText="1"/>
    </xf>
    <xf numFmtId="164" fontId="19" fillId="34" borderId="10" xfId="0" applyNumberFormat="1" applyFont="1" applyFill="1" applyBorder="1" applyAlignment="1">
      <alignment horizontal="center" wrapText="1"/>
    </xf>
    <xf numFmtId="164" fontId="19" fillId="0" borderId="10" xfId="0" applyNumberFormat="1" applyFont="1" applyBorder="1" applyAlignment="1">
      <alignment horizontal="center" wrapText="1"/>
    </xf>
    <xf numFmtId="165" fontId="19" fillId="0" borderId="10" xfId="0" applyNumberFormat="1" applyFont="1" applyBorder="1" applyAlignment="1">
      <alignment horizontal="center" wrapText="1"/>
    </xf>
    <xf numFmtId="0" fontId="20" fillId="0" borderId="10" xfId="0" applyFont="1" applyBorder="1" applyAlignment="1">
      <alignment horizontal="center" wrapText="1"/>
    </xf>
    <xf numFmtId="166" fontId="19" fillId="0" borderId="10" xfId="0" applyNumberFormat="1" applyFont="1" applyBorder="1" applyAlignment="1">
      <alignment horizontal="center" wrapText="1"/>
    </xf>
    <xf numFmtId="167" fontId="19" fillId="0" borderId="10" xfId="0" applyNumberFormat="1" applyFont="1" applyBorder="1" applyAlignment="1">
      <alignment horizontal="center" wrapText="1"/>
    </xf>
    <xf numFmtId="166" fontId="19" fillId="34" borderId="10" xfId="0" applyNumberFormat="1" applyFont="1" applyFill="1" applyBorder="1" applyAlignment="1">
      <alignment horizontal="center" wrapText="1"/>
    </xf>
    <xf numFmtId="164" fontId="21" fillId="0" borderId="10" xfId="0" applyNumberFormat="1" applyFont="1" applyBorder="1" applyAlignment="1">
      <alignment horizontal="center" wrapText="1"/>
    </xf>
    <xf numFmtId="0" fontId="22" fillId="0" borderId="10" xfId="0" applyFont="1" applyBorder="1" applyAlignment="1">
      <alignment horizontal="center" wrapText="1"/>
    </xf>
    <xf numFmtId="166" fontId="21" fillId="0" borderId="10" xfId="0" applyNumberFormat="1" applyFont="1" applyBorder="1" applyAlignment="1">
      <alignment horizontal="center" wrapText="1"/>
    </xf>
    <xf numFmtId="0" fontId="19" fillId="34" borderId="0" xfId="0" applyFont="1" applyFill="1" applyBorder="1" applyAlignment="1">
      <alignment horizontal="center" wrapText="1"/>
    </xf>
    <xf numFmtId="0" fontId="19" fillId="0" borderId="10" xfId="0" applyFont="1" applyBorder="1" applyAlignment="1">
      <alignment wrapText="1"/>
    </xf>
    <xf numFmtId="164" fontId="19" fillId="34" borderId="0" xfId="0" applyNumberFormat="1" applyFont="1" applyFill="1" applyBorder="1" applyAlignment="1">
      <alignment horizontal="center" wrapText="1"/>
    </xf>
    <xf numFmtId="164" fontId="19" fillId="0" borderId="0" xfId="0" applyNumberFormat="1" applyFont="1" applyBorder="1" applyAlignment="1">
      <alignment horizontal="center" wrapText="1"/>
    </xf>
    <xf numFmtId="165" fontId="19" fillId="0" borderId="0" xfId="0" applyNumberFormat="1" applyFont="1" applyBorder="1" applyAlignment="1">
      <alignment horizontal="center" wrapText="1"/>
    </xf>
    <xf numFmtId="166" fontId="19" fillId="0" borderId="0" xfId="0" applyNumberFormat="1" applyFont="1" applyBorder="1" applyAlignment="1">
      <alignment horizontal="center" wrapText="1"/>
    </xf>
    <xf numFmtId="0" fontId="19" fillId="0" borderId="10" xfId="0" applyFont="1" applyBorder="1"/>
    <xf numFmtId="15" fontId="19" fillId="0" borderId="10" xfId="0" applyNumberFormat="1" applyFont="1" applyBorder="1" applyAlignment="1">
      <alignment horizontal="center" wrapText="1"/>
    </xf>
    <xf numFmtId="0" fontId="19" fillId="0" borderId="10" xfId="0" applyFont="1" applyBorder="1" applyAlignment="1">
      <alignment horizontal="center"/>
    </xf>
    <xf numFmtId="15" fontId="19" fillId="0" borderId="10" xfId="0" applyNumberFormat="1" applyFont="1" applyBorder="1" applyAlignment="1">
      <alignment horizontal="center"/>
    </xf>
    <xf numFmtId="164" fontId="19" fillId="0" borderId="10" xfId="0" applyNumberFormat="1" applyFont="1" applyBorder="1"/>
    <xf numFmtId="0" fontId="19" fillId="0" borderId="10" xfId="0" applyFont="1" applyBorder="1" applyAlignment="1">
      <alignment horizontal="left"/>
    </xf>
    <xf numFmtId="0" fontId="14" fillId="0" borderId="0" xfId="0" applyFont="1" applyBorder="1" applyAlignment="1">
      <alignment horizontal="center" wrapText="1"/>
    </xf>
    <xf numFmtId="0" fontId="14" fillId="34" borderId="0" xfId="0" applyFont="1" applyFill="1" applyBorder="1" applyAlignment="1">
      <alignment horizontal="center" wrapText="1"/>
    </xf>
    <xf numFmtId="0" fontId="0" fillId="0" borderId="10" xfId="0" applyFont="1" applyBorder="1" applyAlignment="1">
      <alignment horizontal="left" wrapText="1"/>
    </xf>
    <xf numFmtId="15" fontId="19" fillId="0" borderId="0" xfId="0" applyNumberFormat="1" applyFont="1" applyBorder="1" applyAlignment="1">
      <alignment horizontal="center"/>
    </xf>
    <xf numFmtId="164" fontId="19" fillId="0" borderId="10" xfId="0" applyNumberFormat="1" applyFont="1" applyBorder="1" applyAlignment="1">
      <alignment horizontal="center"/>
    </xf>
    <xf numFmtId="165" fontId="19" fillId="0" borderId="10" xfId="0" applyNumberFormat="1" applyFont="1" applyBorder="1" applyAlignment="1">
      <alignment horizontal="center"/>
    </xf>
    <xf numFmtId="164" fontId="0" fillId="0" borderId="10" xfId="0" applyNumberFormat="1" applyBorder="1" applyAlignment="1">
      <alignment horizontal="center" wrapText="1"/>
    </xf>
    <xf numFmtId="1" fontId="20" fillId="0" borderId="10" xfId="0" applyNumberFormat="1" applyFont="1" applyBorder="1" applyAlignment="1">
      <alignment horizontal="center" wrapText="1"/>
    </xf>
    <xf numFmtId="0" fontId="16" fillId="0" borderId="0" xfId="0" applyFont="1"/>
    <xf numFmtId="0" fontId="16" fillId="35" borderId="10" xfId="0" applyFont="1" applyFill="1" applyBorder="1" applyAlignment="1">
      <alignment wrapText="1"/>
    </xf>
    <xf numFmtId="0" fontId="0" fillId="0" borderId="10" xfId="0" applyFont="1" applyBorder="1" applyAlignment="1">
      <alignment wrapText="1"/>
    </xf>
    <xf numFmtId="0" fontId="0" fillId="0" borderId="10" xfId="0" applyBorder="1" applyAlignment="1">
      <alignment wrapText="1"/>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horizontal="left" vertical="center" indent="5"/>
    </xf>
    <xf numFmtId="0" fontId="28" fillId="0" borderId="0" xfId="0" applyFont="1" applyAlignment="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6"/>
  <sheetViews>
    <sheetView tabSelected="1" zoomScale="90" zoomScaleNormal="90" zoomScalePageLayoutView="90" workbookViewId="0">
      <selection activeCell="K316" sqref="K316"/>
    </sheetView>
  </sheetViews>
  <sheetFormatPr defaultRowHeight="15" x14ac:dyDescent="0.25"/>
  <cols>
    <col min="1" max="1" width="12" style="20" customWidth="1"/>
    <col min="2" max="2" width="13" style="46" customWidth="1"/>
    <col min="3" max="4" width="12.85546875" style="47" customWidth="1"/>
    <col min="5" max="5" width="12.5703125" style="46" customWidth="1"/>
    <col min="6" max="6" width="12.5703125" style="47" customWidth="1"/>
    <col min="7" max="7" width="12.7109375" style="48" customWidth="1"/>
    <col min="8" max="8" width="12.85546875" style="20" customWidth="1"/>
    <col min="9" max="9" width="13" style="20" customWidth="1"/>
    <col min="10" max="10" width="12.28515625" style="49" customWidth="1"/>
    <col min="11" max="11" width="10.5703125" style="20" customWidth="1"/>
    <col min="12" max="12" width="13.7109375" style="47" customWidth="1"/>
    <col min="13" max="13" width="8.85546875" style="20" customWidth="1"/>
    <col min="14" max="14" width="35.5703125" style="20" customWidth="1"/>
    <col min="15" max="15" width="11.7109375" style="20" customWidth="1"/>
    <col min="16" max="16" width="15.5703125" style="20" customWidth="1"/>
    <col min="17" max="17" width="15.140625" style="20" customWidth="1"/>
    <col min="18" max="18" width="16.140625" style="26" customWidth="1"/>
    <col min="19" max="16384" width="9.140625" style="20"/>
  </cols>
  <sheetData>
    <row r="1" spans="1:18" ht="125.25" customHeight="1" x14ac:dyDescent="0.25">
      <c r="A1" s="25" t="s">
        <v>0</v>
      </c>
      <c r="B1" s="24" t="s">
        <v>538</v>
      </c>
      <c r="C1" s="24" t="s">
        <v>541</v>
      </c>
      <c r="D1" s="24" t="s">
        <v>818</v>
      </c>
      <c r="E1" s="24" t="s">
        <v>542</v>
      </c>
      <c r="F1" s="24" t="s">
        <v>790</v>
      </c>
      <c r="G1" s="32" t="s">
        <v>1</v>
      </c>
      <c r="H1" s="24" t="s">
        <v>776</v>
      </c>
      <c r="I1" s="25" t="s">
        <v>2</v>
      </c>
      <c r="J1" s="33" t="s">
        <v>3</v>
      </c>
      <c r="K1" s="24" t="s">
        <v>777</v>
      </c>
      <c r="L1" s="24" t="s">
        <v>4</v>
      </c>
      <c r="M1" s="25" t="s">
        <v>5</v>
      </c>
      <c r="N1" s="25" t="s">
        <v>6</v>
      </c>
      <c r="O1" s="25" t="s">
        <v>7</v>
      </c>
      <c r="P1" s="25" t="s">
        <v>8</v>
      </c>
      <c r="Q1" s="25" t="s">
        <v>9</v>
      </c>
      <c r="R1" s="25" t="s">
        <v>10</v>
      </c>
    </row>
    <row r="2" spans="1:18" s="56" customFormat="1" ht="84.95" customHeight="1" x14ac:dyDescent="0.25">
      <c r="A2" s="3" t="s">
        <v>339</v>
      </c>
      <c r="B2" s="34">
        <v>39063</v>
      </c>
      <c r="C2" s="35">
        <v>39105</v>
      </c>
      <c r="D2" s="35"/>
      <c r="E2" s="34" t="s">
        <v>539</v>
      </c>
      <c r="F2" s="35">
        <v>39369</v>
      </c>
      <c r="G2" s="36" t="str">
        <f>+"10-OCT-2006"</f>
        <v>10-OCT-2006</v>
      </c>
      <c r="H2" s="63">
        <f>DATE(2014, 12, 22) - G2</f>
        <v>2995</v>
      </c>
      <c r="I2" s="3" t="str">
        <f>+""</f>
        <v/>
      </c>
      <c r="J2" s="38"/>
      <c r="K2" s="3"/>
      <c r="L2" s="35"/>
      <c r="M2" s="3" t="s">
        <v>11</v>
      </c>
      <c r="N2" s="3" t="s">
        <v>340</v>
      </c>
      <c r="O2" s="3" t="s">
        <v>15</v>
      </c>
      <c r="P2" s="3" t="s">
        <v>98</v>
      </c>
      <c r="Q2" s="3" t="s">
        <v>43</v>
      </c>
      <c r="R2" s="22" t="s">
        <v>73</v>
      </c>
    </row>
    <row r="3" spans="1:18" s="56" customFormat="1" ht="84.95" customHeight="1" x14ac:dyDescent="0.25">
      <c r="A3" s="3" t="s">
        <v>464</v>
      </c>
      <c r="B3" s="34">
        <v>39917</v>
      </c>
      <c r="C3" s="35">
        <v>39819</v>
      </c>
      <c r="D3" s="35"/>
      <c r="E3" s="34" t="s">
        <v>539</v>
      </c>
      <c r="F3" s="35">
        <v>41430</v>
      </c>
      <c r="G3" s="36" t="str">
        <f>+"06-NOV-2008"</f>
        <v>06-NOV-2008</v>
      </c>
      <c r="H3" s="63">
        <f t="shared" ref="H3:H66" si="0">DATE(2014, 12, 22) - G3</f>
        <v>2237</v>
      </c>
      <c r="I3" s="3" t="str">
        <f>+""</f>
        <v/>
      </c>
      <c r="J3" s="38"/>
      <c r="K3" s="3"/>
      <c r="L3" s="35"/>
      <c r="M3" s="3" t="s">
        <v>21</v>
      </c>
      <c r="N3" s="3" t="s">
        <v>465</v>
      </c>
      <c r="O3" s="3" t="s">
        <v>15</v>
      </c>
      <c r="P3" s="3" t="s">
        <v>16</v>
      </c>
      <c r="Q3" s="3" t="s">
        <v>23</v>
      </c>
      <c r="R3" s="22" t="s">
        <v>556</v>
      </c>
    </row>
    <row r="4" spans="1:18" s="56" customFormat="1" ht="84.95" customHeight="1" x14ac:dyDescent="0.25">
      <c r="A4" s="3" t="s">
        <v>466</v>
      </c>
      <c r="B4" s="34">
        <v>41702</v>
      </c>
      <c r="C4" s="35">
        <v>40389</v>
      </c>
      <c r="D4" s="35"/>
      <c r="E4" s="34" t="s">
        <v>539</v>
      </c>
      <c r="F4" s="35" t="s">
        <v>539</v>
      </c>
      <c r="G4" s="36" t="str">
        <f>+"29-JAN-2009"</f>
        <v>29-JAN-2009</v>
      </c>
      <c r="H4" s="63">
        <f t="shared" si="0"/>
        <v>2153</v>
      </c>
      <c r="I4" s="3" t="str">
        <f>+""</f>
        <v/>
      </c>
      <c r="J4" s="38"/>
      <c r="K4" s="3"/>
      <c r="L4" s="35"/>
      <c r="M4" s="3" t="s">
        <v>21</v>
      </c>
      <c r="N4" s="3" t="s">
        <v>467</v>
      </c>
      <c r="O4" s="3" t="s">
        <v>15</v>
      </c>
      <c r="P4" s="3" t="s">
        <v>98</v>
      </c>
      <c r="Q4" s="3" t="s">
        <v>38</v>
      </c>
      <c r="R4" s="22" t="s">
        <v>80</v>
      </c>
    </row>
    <row r="5" spans="1:18" ht="102" customHeight="1" x14ac:dyDescent="0.25">
      <c r="A5" s="3" t="s">
        <v>45</v>
      </c>
      <c r="B5" s="34" t="s">
        <v>539</v>
      </c>
      <c r="C5" s="35">
        <v>40045</v>
      </c>
      <c r="D5" s="35"/>
      <c r="E5" s="34" t="s">
        <v>539</v>
      </c>
      <c r="F5" s="35" t="s">
        <v>539</v>
      </c>
      <c r="G5" s="36" t="str">
        <f>+"30-SEP-2009"</f>
        <v>30-SEP-2009</v>
      </c>
      <c r="H5" s="63">
        <f t="shared" si="0"/>
        <v>1909</v>
      </c>
      <c r="I5" s="3" t="str">
        <f>+""</f>
        <v/>
      </c>
      <c r="J5" s="38"/>
      <c r="K5" s="3"/>
      <c r="L5" s="35"/>
      <c r="M5" s="3" t="s">
        <v>11</v>
      </c>
      <c r="N5" s="3" t="s">
        <v>738</v>
      </c>
      <c r="O5" s="3" t="s">
        <v>15</v>
      </c>
      <c r="P5" s="3" t="s">
        <v>16</v>
      </c>
      <c r="Q5" s="3" t="s">
        <v>23</v>
      </c>
      <c r="R5" s="22" t="s">
        <v>24</v>
      </c>
    </row>
    <row r="6" spans="1:18" ht="104.25" customHeight="1" x14ac:dyDescent="0.25">
      <c r="A6" s="3" t="s">
        <v>472</v>
      </c>
      <c r="B6" s="34" t="s">
        <v>539</v>
      </c>
      <c r="C6" s="35" t="s">
        <v>539</v>
      </c>
      <c r="D6" s="35"/>
      <c r="E6" s="34" t="s">
        <v>539</v>
      </c>
      <c r="F6" s="35" t="s">
        <v>539</v>
      </c>
      <c r="G6" s="36" t="str">
        <f>+"03-DEC-2009"</f>
        <v>03-DEC-2009</v>
      </c>
      <c r="H6" s="63">
        <f t="shared" si="0"/>
        <v>1845</v>
      </c>
      <c r="I6" s="3" t="str">
        <f>+""</f>
        <v/>
      </c>
      <c r="J6" s="38"/>
      <c r="K6" s="3"/>
      <c r="L6" s="35"/>
      <c r="M6" s="3" t="s">
        <v>21</v>
      </c>
      <c r="N6" s="3" t="s">
        <v>473</v>
      </c>
      <c r="O6" s="3" t="s">
        <v>15</v>
      </c>
      <c r="P6" s="3" t="s">
        <v>52</v>
      </c>
      <c r="Q6" s="3" t="s">
        <v>23</v>
      </c>
      <c r="R6" s="22" t="s">
        <v>99</v>
      </c>
    </row>
    <row r="7" spans="1:18" s="56" customFormat="1" ht="109.5" customHeight="1" x14ac:dyDescent="0.25">
      <c r="A7" s="3" t="s">
        <v>351</v>
      </c>
      <c r="B7" s="34">
        <v>40945</v>
      </c>
      <c r="C7" s="35" t="s">
        <v>539</v>
      </c>
      <c r="D7" s="35"/>
      <c r="E7" s="34" t="s">
        <v>539</v>
      </c>
      <c r="F7" s="35" t="s">
        <v>539</v>
      </c>
      <c r="G7" s="36" t="str">
        <f>+"19-JAN-2010"</f>
        <v>19-JAN-2010</v>
      </c>
      <c r="H7" s="63">
        <f t="shared" si="0"/>
        <v>1798</v>
      </c>
      <c r="I7" s="3" t="str">
        <f>+""</f>
        <v/>
      </c>
      <c r="J7" s="38"/>
      <c r="K7" s="3"/>
      <c r="L7" s="35"/>
      <c r="M7" s="3" t="s">
        <v>11</v>
      </c>
      <c r="N7" s="3" t="s">
        <v>352</v>
      </c>
      <c r="O7" s="3" t="s">
        <v>15</v>
      </c>
      <c r="P7" s="3" t="s">
        <v>27</v>
      </c>
      <c r="Q7" s="3" t="s">
        <v>14</v>
      </c>
      <c r="R7" s="22" t="s">
        <v>49</v>
      </c>
    </row>
    <row r="8" spans="1:18" ht="84.95" customHeight="1" x14ac:dyDescent="0.25">
      <c r="A8" s="3" t="s">
        <v>47</v>
      </c>
      <c r="B8" s="34">
        <v>40354</v>
      </c>
      <c r="C8" s="35">
        <v>40408</v>
      </c>
      <c r="D8" s="35"/>
      <c r="E8" s="34">
        <v>41025</v>
      </c>
      <c r="F8" s="35">
        <v>41067</v>
      </c>
      <c r="G8" s="36" t="str">
        <f>+"26-FEB-2010"</f>
        <v>26-FEB-2010</v>
      </c>
      <c r="H8" s="63">
        <f t="shared" si="0"/>
        <v>1760</v>
      </c>
      <c r="I8" s="3" t="str">
        <f>+""</f>
        <v/>
      </c>
      <c r="J8" s="38"/>
      <c r="K8" s="3"/>
      <c r="L8" s="35"/>
      <c r="M8" s="3" t="s">
        <v>11</v>
      </c>
      <c r="N8" s="3" t="s">
        <v>48</v>
      </c>
      <c r="O8" s="3" t="s">
        <v>15</v>
      </c>
      <c r="P8" s="3" t="s">
        <v>16</v>
      </c>
      <c r="Q8" s="3" t="s">
        <v>14</v>
      </c>
      <c r="R8" s="22" t="s">
        <v>49</v>
      </c>
    </row>
    <row r="9" spans="1:18" ht="84.95" customHeight="1" x14ac:dyDescent="0.25">
      <c r="A9" s="3" t="s">
        <v>56</v>
      </c>
      <c r="B9" s="34">
        <v>40582</v>
      </c>
      <c r="C9" s="35">
        <v>40946</v>
      </c>
      <c r="D9" s="35"/>
      <c r="E9" s="34" t="s">
        <v>539</v>
      </c>
      <c r="F9" s="35">
        <v>41067</v>
      </c>
      <c r="G9" s="36" t="str">
        <f>+"09-AUG-2010"</f>
        <v>09-AUG-2010</v>
      </c>
      <c r="H9" s="63">
        <f t="shared" si="0"/>
        <v>1596</v>
      </c>
      <c r="I9" s="3" t="str">
        <f>+""</f>
        <v/>
      </c>
      <c r="J9" s="38"/>
      <c r="K9" s="3"/>
      <c r="L9" s="35"/>
      <c r="M9" s="3" t="s">
        <v>11</v>
      </c>
      <c r="N9" s="3" t="s">
        <v>57</v>
      </c>
      <c r="O9" s="3" t="s">
        <v>15</v>
      </c>
      <c r="P9" s="3" t="s">
        <v>16</v>
      </c>
      <c r="Q9" s="3" t="s">
        <v>14</v>
      </c>
      <c r="R9" s="22" t="s">
        <v>49</v>
      </c>
    </row>
    <row r="10" spans="1:18" ht="84.95" customHeight="1" x14ac:dyDescent="0.25">
      <c r="A10" s="3" t="s">
        <v>58</v>
      </c>
      <c r="B10" s="34">
        <v>41912</v>
      </c>
      <c r="C10" s="35">
        <v>41044</v>
      </c>
      <c r="D10" s="35"/>
      <c r="E10" s="34">
        <v>41947</v>
      </c>
      <c r="F10" s="35" t="s">
        <v>539</v>
      </c>
      <c r="G10" s="36" t="str">
        <f>+"30-AUG-2010"</f>
        <v>30-AUG-2010</v>
      </c>
      <c r="H10" s="63">
        <f t="shared" si="0"/>
        <v>1575</v>
      </c>
      <c r="I10" s="3" t="str">
        <f>+""</f>
        <v/>
      </c>
      <c r="J10" s="38"/>
      <c r="K10" s="3"/>
      <c r="L10" s="35"/>
      <c r="M10" s="3" t="s">
        <v>11</v>
      </c>
      <c r="N10" s="3" t="s">
        <v>59</v>
      </c>
      <c r="O10" s="3" t="s">
        <v>15</v>
      </c>
      <c r="P10" s="3" t="s">
        <v>16</v>
      </c>
      <c r="Q10" s="3" t="s">
        <v>23</v>
      </c>
      <c r="R10" s="22" t="s">
        <v>60</v>
      </c>
    </row>
    <row r="11" spans="1:18" ht="84.95" customHeight="1" x14ac:dyDescent="0.25">
      <c r="A11" s="3" t="s">
        <v>61</v>
      </c>
      <c r="B11" s="34" t="s">
        <v>539</v>
      </c>
      <c r="C11" s="35" t="s">
        <v>539</v>
      </c>
      <c r="D11" s="35"/>
      <c r="E11" s="34" t="s">
        <v>539</v>
      </c>
      <c r="F11" s="35" t="s">
        <v>539</v>
      </c>
      <c r="G11" s="36" t="str">
        <f>+"04-OCT-2010"</f>
        <v>04-OCT-2010</v>
      </c>
      <c r="H11" s="63">
        <f t="shared" si="0"/>
        <v>1540</v>
      </c>
      <c r="I11" s="3" t="str">
        <f>+""</f>
        <v/>
      </c>
      <c r="J11" s="38"/>
      <c r="K11" s="3"/>
      <c r="L11" s="35"/>
      <c r="M11" s="3" t="s">
        <v>21</v>
      </c>
      <c r="N11" s="3" t="s">
        <v>62</v>
      </c>
      <c r="O11" s="3" t="s">
        <v>15</v>
      </c>
      <c r="P11" s="3" t="s">
        <v>13</v>
      </c>
      <c r="Q11" s="3" t="s">
        <v>14</v>
      </c>
      <c r="R11" s="22" t="s">
        <v>35</v>
      </c>
    </row>
    <row r="12" spans="1:18" ht="84.95" customHeight="1" x14ac:dyDescent="0.25">
      <c r="A12" s="3" t="s">
        <v>361</v>
      </c>
      <c r="B12" s="34">
        <v>41004</v>
      </c>
      <c r="C12" s="35" t="s">
        <v>539</v>
      </c>
      <c r="D12" s="35"/>
      <c r="E12" s="34" t="s">
        <v>539</v>
      </c>
      <c r="F12" s="35" t="s">
        <v>539</v>
      </c>
      <c r="G12" s="36" t="str">
        <f>+"13-OCT-2010"</f>
        <v>13-OCT-2010</v>
      </c>
      <c r="H12" s="63">
        <f t="shared" si="0"/>
        <v>1531</v>
      </c>
      <c r="I12" s="3" t="str">
        <f>+""</f>
        <v/>
      </c>
      <c r="J12" s="38"/>
      <c r="K12" s="3"/>
      <c r="L12" s="35"/>
      <c r="M12" s="3" t="s">
        <v>11</v>
      </c>
      <c r="N12" s="3" t="s">
        <v>362</v>
      </c>
      <c r="O12" s="3" t="s">
        <v>15</v>
      </c>
      <c r="P12" s="3" t="s">
        <v>16</v>
      </c>
      <c r="Q12" s="3" t="s">
        <v>23</v>
      </c>
      <c r="R12" s="22" t="s">
        <v>49</v>
      </c>
    </row>
    <row r="13" spans="1:18" ht="84.95" customHeight="1" x14ac:dyDescent="0.25">
      <c r="A13" s="3" t="s">
        <v>63</v>
      </c>
      <c r="B13" s="34" t="s">
        <v>539</v>
      </c>
      <c r="C13" s="35" t="s">
        <v>539</v>
      </c>
      <c r="D13" s="35"/>
      <c r="E13" s="34" t="s">
        <v>539</v>
      </c>
      <c r="F13" s="35" t="s">
        <v>539</v>
      </c>
      <c r="G13" s="36" t="str">
        <f>+"03-NOV-2010"</f>
        <v>03-NOV-2010</v>
      </c>
      <c r="H13" s="63">
        <f t="shared" si="0"/>
        <v>1510</v>
      </c>
      <c r="I13" s="3" t="str">
        <f>+""</f>
        <v/>
      </c>
      <c r="J13" s="38"/>
      <c r="K13" s="3"/>
      <c r="L13" s="35"/>
      <c r="M13" s="3" t="s">
        <v>21</v>
      </c>
      <c r="N13" s="3" t="s">
        <v>739</v>
      </c>
      <c r="O13" s="3" t="s">
        <v>15</v>
      </c>
      <c r="P13" s="3" t="s">
        <v>27</v>
      </c>
      <c r="Q13" s="3" t="s">
        <v>14</v>
      </c>
      <c r="R13" s="22" t="s">
        <v>65</v>
      </c>
    </row>
    <row r="14" spans="1:18" ht="84.95" customHeight="1" x14ac:dyDescent="0.25">
      <c r="A14" s="3" t="s">
        <v>363</v>
      </c>
      <c r="B14" s="34">
        <v>41933</v>
      </c>
      <c r="C14" s="35">
        <v>41955</v>
      </c>
      <c r="D14" s="35"/>
      <c r="E14" s="34" t="s">
        <v>539</v>
      </c>
      <c r="F14" s="35">
        <v>40917</v>
      </c>
      <c r="G14" s="36" t="str">
        <f>+"03-DEC-2010"</f>
        <v>03-DEC-2010</v>
      </c>
      <c r="H14" s="63">
        <f t="shared" si="0"/>
        <v>1480</v>
      </c>
      <c r="I14" s="3" t="str">
        <f>+""</f>
        <v/>
      </c>
      <c r="J14" s="38"/>
      <c r="K14" s="3"/>
      <c r="L14" s="35"/>
      <c r="M14" s="3" t="s">
        <v>11</v>
      </c>
      <c r="N14" s="3" t="s">
        <v>364</v>
      </c>
      <c r="O14" s="3" t="s">
        <v>15</v>
      </c>
      <c r="P14" s="3" t="s">
        <v>27</v>
      </c>
      <c r="Q14" s="3" t="s">
        <v>17</v>
      </c>
      <c r="R14" s="22" t="s">
        <v>673</v>
      </c>
    </row>
    <row r="15" spans="1:18" ht="84.95" customHeight="1" x14ac:dyDescent="0.25">
      <c r="A15" s="3" t="s">
        <v>71</v>
      </c>
      <c r="B15" s="34">
        <v>40640</v>
      </c>
      <c r="C15" s="35">
        <v>40771</v>
      </c>
      <c r="D15" s="35"/>
      <c r="E15" s="34">
        <v>40967</v>
      </c>
      <c r="F15" s="35">
        <v>41003</v>
      </c>
      <c r="G15" s="36" t="str">
        <f>+"15-FEB-2011"</f>
        <v>15-FEB-2011</v>
      </c>
      <c r="H15" s="63">
        <f t="shared" si="0"/>
        <v>1406</v>
      </c>
      <c r="I15" s="3" t="str">
        <f>+""</f>
        <v/>
      </c>
      <c r="J15" s="38"/>
      <c r="K15" s="3"/>
      <c r="L15" s="35">
        <v>41512</v>
      </c>
      <c r="M15" s="3" t="s">
        <v>11</v>
      </c>
      <c r="N15" s="3" t="s">
        <v>72</v>
      </c>
      <c r="O15" s="3" t="s">
        <v>15</v>
      </c>
      <c r="P15" s="3" t="s">
        <v>16</v>
      </c>
      <c r="Q15" s="3" t="s">
        <v>23</v>
      </c>
      <c r="R15" s="22" t="s">
        <v>560</v>
      </c>
    </row>
    <row r="16" spans="1:18" ht="84.95" customHeight="1" x14ac:dyDescent="0.25">
      <c r="A16" s="3" t="s">
        <v>365</v>
      </c>
      <c r="B16" s="34">
        <v>41933</v>
      </c>
      <c r="C16" s="35">
        <v>41955</v>
      </c>
      <c r="D16" s="35"/>
      <c r="E16" s="34" t="s">
        <v>539</v>
      </c>
      <c r="F16" s="35">
        <v>40917</v>
      </c>
      <c r="G16" s="36" t="str">
        <f>+"17-FEB-2011"</f>
        <v>17-FEB-2011</v>
      </c>
      <c r="H16" s="63">
        <f t="shared" si="0"/>
        <v>1404</v>
      </c>
      <c r="I16" s="3" t="str">
        <f>+""</f>
        <v/>
      </c>
      <c r="J16" s="38"/>
      <c r="K16" s="3"/>
      <c r="L16" s="35"/>
      <c r="M16" s="3" t="s">
        <v>11</v>
      </c>
      <c r="N16" s="3" t="s">
        <v>366</v>
      </c>
      <c r="O16" s="3" t="s">
        <v>15</v>
      </c>
      <c r="P16" s="3" t="s">
        <v>27</v>
      </c>
      <c r="Q16" s="3" t="s">
        <v>17</v>
      </c>
      <c r="R16" s="22" t="s">
        <v>673</v>
      </c>
    </row>
    <row r="17" spans="1:18" ht="84.95" customHeight="1" x14ac:dyDescent="0.25">
      <c r="A17" s="3" t="s">
        <v>426</v>
      </c>
      <c r="B17" s="34">
        <v>40619</v>
      </c>
      <c r="C17" s="35">
        <v>40868</v>
      </c>
      <c r="D17" s="35"/>
      <c r="E17" s="34">
        <v>41296</v>
      </c>
      <c r="F17" s="35">
        <v>41514</v>
      </c>
      <c r="G17" s="36" t="str">
        <f>+"24-FEB-2011"</f>
        <v>24-FEB-2011</v>
      </c>
      <c r="H17" s="63">
        <f t="shared" si="0"/>
        <v>1397</v>
      </c>
      <c r="I17" s="3" t="str">
        <f>+""</f>
        <v/>
      </c>
      <c r="J17" s="38"/>
      <c r="K17" s="3"/>
      <c r="L17" s="35"/>
      <c r="M17" s="3" t="s">
        <v>11</v>
      </c>
      <c r="N17" s="3" t="s">
        <v>427</v>
      </c>
      <c r="O17" s="3" t="s">
        <v>15</v>
      </c>
      <c r="P17" s="3" t="s">
        <v>67</v>
      </c>
      <c r="Q17" s="3" t="s">
        <v>43</v>
      </c>
      <c r="R17" s="22" t="s">
        <v>74</v>
      </c>
    </row>
    <row r="18" spans="1:18" ht="84.95" customHeight="1" x14ac:dyDescent="0.25">
      <c r="A18" s="3" t="s">
        <v>476</v>
      </c>
      <c r="B18" s="34">
        <v>40696</v>
      </c>
      <c r="C18" s="35">
        <v>40710</v>
      </c>
      <c r="D18" s="35"/>
      <c r="E18" s="34">
        <v>41624</v>
      </c>
      <c r="F18" s="35">
        <v>41670</v>
      </c>
      <c r="G18" s="36" t="str">
        <f>+"24-FEB-2011"</f>
        <v>24-FEB-2011</v>
      </c>
      <c r="H18" s="63">
        <f t="shared" si="0"/>
        <v>1397</v>
      </c>
      <c r="I18" s="3" t="str">
        <f>+""</f>
        <v/>
      </c>
      <c r="J18" s="38"/>
      <c r="K18" s="3"/>
      <c r="L18" s="35">
        <v>41670</v>
      </c>
      <c r="M18" s="3" t="s">
        <v>11</v>
      </c>
      <c r="N18" s="3" t="s">
        <v>477</v>
      </c>
      <c r="O18" s="3" t="s">
        <v>15</v>
      </c>
      <c r="P18" s="3" t="s">
        <v>67</v>
      </c>
      <c r="Q18" s="3" t="s">
        <v>23</v>
      </c>
      <c r="R18" s="22" t="s">
        <v>561</v>
      </c>
    </row>
    <row r="19" spans="1:18" s="56" customFormat="1" ht="84.95" customHeight="1" x14ac:dyDescent="0.25">
      <c r="A19" s="3" t="s">
        <v>478</v>
      </c>
      <c r="B19" s="34">
        <v>40696</v>
      </c>
      <c r="C19" s="35">
        <v>40787</v>
      </c>
      <c r="D19" s="35"/>
      <c r="E19" s="34" t="s">
        <v>539</v>
      </c>
      <c r="F19" s="35" t="s">
        <v>539</v>
      </c>
      <c r="G19" s="36" t="str">
        <f>+"24-MAR-2011"</f>
        <v>24-MAR-2011</v>
      </c>
      <c r="H19" s="63">
        <f t="shared" si="0"/>
        <v>1369</v>
      </c>
      <c r="I19" s="3" t="str">
        <f>+""</f>
        <v/>
      </c>
      <c r="J19" s="38"/>
      <c r="K19" s="3"/>
      <c r="L19" s="35"/>
      <c r="M19" s="3" t="s">
        <v>21</v>
      </c>
      <c r="N19" s="3" t="s">
        <v>479</v>
      </c>
      <c r="O19" s="3" t="s">
        <v>15</v>
      </c>
      <c r="P19" s="3" t="s">
        <v>16</v>
      </c>
      <c r="Q19" s="3" t="s">
        <v>14</v>
      </c>
      <c r="R19" s="22" t="s">
        <v>206</v>
      </c>
    </row>
    <row r="20" spans="1:18" s="56" customFormat="1" ht="84.95" customHeight="1" x14ac:dyDescent="0.25">
      <c r="A20" s="3" t="s">
        <v>480</v>
      </c>
      <c r="B20" s="34" t="s">
        <v>539</v>
      </c>
      <c r="C20" s="35">
        <v>41374</v>
      </c>
      <c r="D20" s="35"/>
      <c r="E20" s="34" t="s">
        <v>539</v>
      </c>
      <c r="F20" s="35" t="s">
        <v>539</v>
      </c>
      <c r="G20" s="36" t="str">
        <f>+"24-MAR-2011"</f>
        <v>24-MAR-2011</v>
      </c>
      <c r="H20" s="63">
        <f t="shared" si="0"/>
        <v>1369</v>
      </c>
      <c r="I20" s="3" t="str">
        <f>+""</f>
        <v/>
      </c>
      <c r="J20" s="38"/>
      <c r="K20" s="3"/>
      <c r="L20" s="35"/>
      <c r="M20" s="3" t="s">
        <v>21</v>
      </c>
      <c r="N20" s="3" t="s">
        <v>481</v>
      </c>
      <c r="O20" s="3" t="s">
        <v>15</v>
      </c>
      <c r="P20" s="3" t="s">
        <v>27</v>
      </c>
      <c r="Q20" s="3" t="s">
        <v>43</v>
      </c>
      <c r="R20" s="22" t="s">
        <v>482</v>
      </c>
    </row>
    <row r="21" spans="1:18" ht="105" customHeight="1" x14ac:dyDescent="0.25">
      <c r="A21" s="3" t="s">
        <v>75</v>
      </c>
      <c r="B21" s="34">
        <v>40711</v>
      </c>
      <c r="C21" s="35">
        <v>40772</v>
      </c>
      <c r="D21" s="35"/>
      <c r="E21" s="34">
        <v>40926</v>
      </c>
      <c r="F21" s="35">
        <v>40954</v>
      </c>
      <c r="G21" s="36" t="str">
        <f>+"01-APR-2011"</f>
        <v>01-APR-2011</v>
      </c>
      <c r="H21" s="63">
        <f t="shared" si="0"/>
        <v>1361</v>
      </c>
      <c r="I21" s="3" t="str">
        <f>+""</f>
        <v/>
      </c>
      <c r="J21" s="38"/>
      <c r="K21" s="3"/>
      <c r="L21" s="35">
        <v>41466</v>
      </c>
      <c r="M21" s="3" t="s">
        <v>11</v>
      </c>
      <c r="N21" s="3" t="s">
        <v>76</v>
      </c>
      <c r="O21" s="3" t="s">
        <v>15</v>
      </c>
      <c r="P21" s="3" t="s">
        <v>16</v>
      </c>
      <c r="Q21" s="3" t="s">
        <v>23</v>
      </c>
      <c r="R21" s="22" t="s">
        <v>560</v>
      </c>
    </row>
    <row r="22" spans="1:18" ht="84.95" customHeight="1" x14ac:dyDescent="0.25">
      <c r="A22" s="3" t="s">
        <v>77</v>
      </c>
      <c r="B22" s="34">
        <v>40732</v>
      </c>
      <c r="C22" s="35">
        <v>40767</v>
      </c>
      <c r="D22" s="35"/>
      <c r="E22" s="34">
        <v>41116</v>
      </c>
      <c r="F22" s="35">
        <v>41571</v>
      </c>
      <c r="G22" s="36" t="str">
        <f>+"15-APR-2011"</f>
        <v>15-APR-2011</v>
      </c>
      <c r="H22" s="63">
        <f t="shared" si="0"/>
        <v>1347</v>
      </c>
      <c r="I22" s="3" t="str">
        <f>+""</f>
        <v/>
      </c>
      <c r="J22" s="38"/>
      <c r="K22" s="3"/>
      <c r="L22" s="35"/>
      <c r="M22" s="3" t="s">
        <v>11</v>
      </c>
      <c r="N22" s="3" t="s">
        <v>78</v>
      </c>
      <c r="O22" s="3" t="s">
        <v>15</v>
      </c>
      <c r="P22" s="3" t="s">
        <v>19</v>
      </c>
      <c r="Q22" s="3" t="s">
        <v>43</v>
      </c>
      <c r="R22" s="22" t="s">
        <v>79</v>
      </c>
    </row>
    <row r="23" spans="1:18" ht="84.95" customHeight="1" x14ac:dyDescent="0.25">
      <c r="A23" s="3" t="s">
        <v>483</v>
      </c>
      <c r="B23" s="34">
        <v>40707</v>
      </c>
      <c r="C23" s="35">
        <v>40732</v>
      </c>
      <c r="D23" s="35"/>
      <c r="E23" s="34" t="s">
        <v>539</v>
      </c>
      <c r="F23" s="35" t="s">
        <v>539</v>
      </c>
      <c r="G23" s="36" t="str">
        <f>+"05-MAY-2011"</f>
        <v>05-MAY-2011</v>
      </c>
      <c r="H23" s="63">
        <f t="shared" si="0"/>
        <v>1327</v>
      </c>
      <c r="I23" s="3" t="str">
        <f>+""</f>
        <v/>
      </c>
      <c r="J23" s="38"/>
      <c r="K23" s="3"/>
      <c r="L23" s="35">
        <v>41767</v>
      </c>
      <c r="M23" s="3" t="s">
        <v>11</v>
      </c>
      <c r="N23" s="3" t="s">
        <v>484</v>
      </c>
      <c r="O23" s="3" t="s">
        <v>15</v>
      </c>
      <c r="P23" s="3" t="s">
        <v>16</v>
      </c>
      <c r="Q23" s="3" t="s">
        <v>38</v>
      </c>
      <c r="R23" s="22" t="s">
        <v>702</v>
      </c>
    </row>
    <row r="24" spans="1:18" ht="105.75" customHeight="1" x14ac:dyDescent="0.25">
      <c r="A24" s="3" t="s">
        <v>428</v>
      </c>
      <c r="B24" s="34">
        <v>40807</v>
      </c>
      <c r="C24" s="35">
        <v>40815</v>
      </c>
      <c r="D24" s="35"/>
      <c r="E24" s="34" t="s">
        <v>539</v>
      </c>
      <c r="F24" s="35" t="s">
        <v>539</v>
      </c>
      <c r="G24" s="36" t="str">
        <f>+"26-MAY-2011"</f>
        <v>26-MAY-2011</v>
      </c>
      <c r="H24" s="63">
        <f t="shared" si="0"/>
        <v>1306</v>
      </c>
      <c r="I24" s="3" t="str">
        <f>+""</f>
        <v/>
      </c>
      <c r="J24" s="38"/>
      <c r="K24" s="3"/>
      <c r="L24" s="35"/>
      <c r="M24" s="3" t="s">
        <v>21</v>
      </c>
      <c r="N24" s="3" t="s">
        <v>429</v>
      </c>
      <c r="O24" s="3" t="s">
        <v>15</v>
      </c>
      <c r="P24" s="3" t="s">
        <v>27</v>
      </c>
      <c r="Q24" s="3" t="s">
        <v>17</v>
      </c>
      <c r="R24" s="22" t="s">
        <v>35</v>
      </c>
    </row>
    <row r="25" spans="1:18" ht="84.95" customHeight="1" x14ac:dyDescent="0.25">
      <c r="A25" s="3" t="s">
        <v>83</v>
      </c>
      <c r="B25" s="34">
        <v>40758</v>
      </c>
      <c r="C25" s="35">
        <v>40877</v>
      </c>
      <c r="D25" s="35"/>
      <c r="E25" s="34">
        <v>40974</v>
      </c>
      <c r="F25" s="35">
        <v>41047</v>
      </c>
      <c r="G25" s="36" t="str">
        <f>+"01-JUN-2011"</f>
        <v>01-JUN-2011</v>
      </c>
      <c r="H25" s="63">
        <f t="shared" si="0"/>
        <v>1300</v>
      </c>
      <c r="I25" s="3" t="str">
        <f>+""</f>
        <v/>
      </c>
      <c r="J25" s="38"/>
      <c r="K25" s="3"/>
      <c r="L25" s="35">
        <v>41047</v>
      </c>
      <c r="M25" s="3" t="s">
        <v>11</v>
      </c>
      <c r="N25" s="3" t="s">
        <v>84</v>
      </c>
      <c r="O25" s="3" t="s">
        <v>15</v>
      </c>
      <c r="P25" s="3" t="s">
        <v>16</v>
      </c>
      <c r="Q25" s="3" t="s">
        <v>23</v>
      </c>
      <c r="R25" s="22" t="s">
        <v>49</v>
      </c>
    </row>
    <row r="26" spans="1:18" ht="84.95" customHeight="1" x14ac:dyDescent="0.25">
      <c r="A26" s="3" t="s">
        <v>94</v>
      </c>
      <c r="B26" s="34" t="s">
        <v>539</v>
      </c>
      <c r="C26" s="35" t="s">
        <v>539</v>
      </c>
      <c r="D26" s="35"/>
      <c r="E26" s="34" t="s">
        <v>539</v>
      </c>
      <c r="F26" s="35" t="s">
        <v>539</v>
      </c>
      <c r="G26" s="36" t="str">
        <f>+"18-JUL-2011"</f>
        <v>18-JUL-2011</v>
      </c>
      <c r="H26" s="63">
        <f t="shared" si="0"/>
        <v>1253</v>
      </c>
      <c r="I26" s="3" t="str">
        <f>+""</f>
        <v/>
      </c>
      <c r="J26" s="38"/>
      <c r="K26" s="3"/>
      <c r="L26" s="35"/>
      <c r="M26" s="3" t="s">
        <v>11</v>
      </c>
      <c r="N26" s="3" t="s">
        <v>95</v>
      </c>
      <c r="O26" s="3" t="s">
        <v>15</v>
      </c>
      <c r="P26" s="3" t="s">
        <v>16</v>
      </c>
      <c r="Q26" s="3" t="s">
        <v>14</v>
      </c>
      <c r="R26" s="22" t="s">
        <v>74</v>
      </c>
    </row>
    <row r="27" spans="1:18" s="56" customFormat="1" ht="84.95" customHeight="1" x14ac:dyDescent="0.25">
      <c r="A27" s="3" t="s">
        <v>96</v>
      </c>
      <c r="B27" s="34">
        <v>41213</v>
      </c>
      <c r="C27" s="35">
        <v>41395</v>
      </c>
      <c r="D27" s="35"/>
      <c r="E27" s="34">
        <v>41278</v>
      </c>
      <c r="F27" s="35">
        <v>41394</v>
      </c>
      <c r="G27" s="36" t="str">
        <f>+"02-AUG-2011"</f>
        <v>02-AUG-2011</v>
      </c>
      <c r="H27" s="63">
        <f t="shared" si="0"/>
        <v>1238</v>
      </c>
      <c r="I27" s="3" t="str">
        <f>+""</f>
        <v/>
      </c>
      <c r="J27" s="38"/>
      <c r="K27" s="3"/>
      <c r="L27" s="35"/>
      <c r="M27" s="3" t="s">
        <v>11</v>
      </c>
      <c r="N27" s="3" t="s">
        <v>97</v>
      </c>
      <c r="O27" s="3" t="s">
        <v>15</v>
      </c>
      <c r="P27" s="3" t="s">
        <v>98</v>
      </c>
      <c r="Q27" s="3" t="s">
        <v>14</v>
      </c>
      <c r="R27" s="22" t="s">
        <v>562</v>
      </c>
    </row>
    <row r="28" spans="1:18" ht="84.95" customHeight="1" x14ac:dyDescent="0.25">
      <c r="A28" s="3" t="s">
        <v>485</v>
      </c>
      <c r="B28" s="34">
        <v>41914</v>
      </c>
      <c r="C28" s="35">
        <v>41772</v>
      </c>
      <c r="D28" s="35"/>
      <c r="E28" s="34" t="s">
        <v>539</v>
      </c>
      <c r="F28" s="35" t="s">
        <v>539</v>
      </c>
      <c r="G28" s="36" t="str">
        <f>+"22-SEP-2011"</f>
        <v>22-SEP-2011</v>
      </c>
      <c r="H28" s="63">
        <f t="shared" si="0"/>
        <v>1187</v>
      </c>
      <c r="I28" s="3" t="str">
        <f>+""</f>
        <v/>
      </c>
      <c r="J28" s="38"/>
      <c r="K28" s="3"/>
      <c r="L28" s="35"/>
      <c r="M28" s="3" t="s">
        <v>11</v>
      </c>
      <c r="N28" s="3" t="s">
        <v>486</v>
      </c>
      <c r="O28" s="3" t="s">
        <v>15</v>
      </c>
      <c r="P28" s="3" t="s">
        <v>16</v>
      </c>
      <c r="Q28" s="3" t="s">
        <v>43</v>
      </c>
      <c r="R28" s="22" t="s">
        <v>227</v>
      </c>
    </row>
    <row r="29" spans="1:18" ht="84.95" customHeight="1" x14ac:dyDescent="0.25">
      <c r="A29" s="3" t="s">
        <v>430</v>
      </c>
      <c r="B29" s="34">
        <v>40942</v>
      </c>
      <c r="C29" s="35">
        <v>41025</v>
      </c>
      <c r="D29" s="35"/>
      <c r="E29" s="34">
        <v>41289</v>
      </c>
      <c r="F29" s="35">
        <v>41514</v>
      </c>
      <c r="G29" s="36" t="str">
        <f>+"10-NOV-2011"</f>
        <v>10-NOV-2011</v>
      </c>
      <c r="H29" s="63">
        <f t="shared" si="0"/>
        <v>1138</v>
      </c>
      <c r="I29" s="3" t="str">
        <f>+""</f>
        <v/>
      </c>
      <c r="J29" s="38"/>
      <c r="K29" s="3"/>
      <c r="L29" s="35"/>
      <c r="M29" s="3" t="s">
        <v>11</v>
      </c>
      <c r="N29" s="3" t="s">
        <v>431</v>
      </c>
      <c r="O29" s="3" t="s">
        <v>15</v>
      </c>
      <c r="P29" s="3" t="s">
        <v>67</v>
      </c>
      <c r="Q29" s="3" t="s">
        <v>43</v>
      </c>
      <c r="R29" s="22" t="s">
        <v>74</v>
      </c>
    </row>
    <row r="30" spans="1:18" ht="84.95" customHeight="1" x14ac:dyDescent="0.25">
      <c r="A30" s="3" t="s">
        <v>487</v>
      </c>
      <c r="B30" s="34">
        <v>41064</v>
      </c>
      <c r="C30" s="35">
        <v>41416</v>
      </c>
      <c r="D30" s="35"/>
      <c r="E30" s="34">
        <v>41884</v>
      </c>
      <c r="F30" s="35">
        <v>41908</v>
      </c>
      <c r="G30" s="36" t="str">
        <f>+"10-NOV-2011"</f>
        <v>10-NOV-2011</v>
      </c>
      <c r="H30" s="63">
        <f t="shared" si="0"/>
        <v>1138</v>
      </c>
      <c r="I30" s="3" t="str">
        <f>+""</f>
        <v/>
      </c>
      <c r="J30" s="38"/>
      <c r="K30" s="3"/>
      <c r="L30" s="35"/>
      <c r="M30" s="3" t="s">
        <v>11</v>
      </c>
      <c r="N30" s="3" t="s">
        <v>488</v>
      </c>
      <c r="O30" s="3" t="s">
        <v>15</v>
      </c>
      <c r="P30" s="3" t="s">
        <v>27</v>
      </c>
      <c r="Q30" s="3" t="s">
        <v>17</v>
      </c>
      <c r="R30" s="22" t="s">
        <v>563</v>
      </c>
    </row>
    <row r="31" spans="1:18" ht="102.75" customHeight="1" x14ac:dyDescent="0.25">
      <c r="A31" s="3" t="s">
        <v>489</v>
      </c>
      <c r="B31" s="34">
        <v>41052</v>
      </c>
      <c r="C31" s="35">
        <v>41080</v>
      </c>
      <c r="D31" s="35"/>
      <c r="E31" s="34" t="s">
        <v>539</v>
      </c>
      <c r="F31" s="35" t="s">
        <v>539</v>
      </c>
      <c r="G31" s="36" t="str">
        <f>+"10-NOV-2011"</f>
        <v>10-NOV-2011</v>
      </c>
      <c r="H31" s="63">
        <f t="shared" si="0"/>
        <v>1138</v>
      </c>
      <c r="I31" s="3" t="str">
        <f>+""</f>
        <v/>
      </c>
      <c r="J31" s="38"/>
      <c r="K31" s="3"/>
      <c r="L31" s="35"/>
      <c r="M31" s="3" t="s">
        <v>21</v>
      </c>
      <c r="N31" s="3" t="s">
        <v>490</v>
      </c>
      <c r="O31" s="3" t="s">
        <v>15</v>
      </c>
      <c r="P31" s="3" t="s">
        <v>19</v>
      </c>
      <c r="Q31" s="3" t="s">
        <v>17</v>
      </c>
      <c r="R31" s="22" t="s">
        <v>491</v>
      </c>
    </row>
    <row r="32" spans="1:18" ht="84.95" customHeight="1" x14ac:dyDescent="0.25">
      <c r="A32" s="3" t="s">
        <v>492</v>
      </c>
      <c r="B32" s="34">
        <v>40994</v>
      </c>
      <c r="C32" s="35">
        <v>41176</v>
      </c>
      <c r="D32" s="35"/>
      <c r="E32" s="34" t="s">
        <v>539</v>
      </c>
      <c r="F32" s="35" t="s">
        <v>539</v>
      </c>
      <c r="G32" s="36" t="str">
        <f>+"01-DEC-2011"</f>
        <v>01-DEC-2011</v>
      </c>
      <c r="H32" s="63">
        <f t="shared" si="0"/>
        <v>1117</v>
      </c>
      <c r="I32" s="3" t="str">
        <f>+""</f>
        <v/>
      </c>
      <c r="J32" s="38"/>
      <c r="K32" s="3"/>
      <c r="L32" s="35"/>
      <c r="M32" s="3" t="s">
        <v>11</v>
      </c>
      <c r="N32" s="3" t="s">
        <v>493</v>
      </c>
      <c r="O32" s="3" t="s">
        <v>15</v>
      </c>
      <c r="P32" s="3" t="s">
        <v>27</v>
      </c>
      <c r="Q32" s="3" t="s">
        <v>43</v>
      </c>
      <c r="R32" s="22" t="s">
        <v>227</v>
      </c>
    </row>
    <row r="33" spans="1:18" ht="84.95" customHeight="1" x14ac:dyDescent="0.25">
      <c r="A33" s="3" t="s">
        <v>102</v>
      </c>
      <c r="B33" s="34">
        <v>40988</v>
      </c>
      <c r="C33" s="35">
        <v>41075</v>
      </c>
      <c r="D33" s="35"/>
      <c r="E33" s="34" t="s">
        <v>539</v>
      </c>
      <c r="F33" s="35" t="s">
        <v>539</v>
      </c>
      <c r="G33" s="36" t="str">
        <f>+"28-DEC-2011"</f>
        <v>28-DEC-2011</v>
      </c>
      <c r="H33" s="63">
        <f t="shared" si="0"/>
        <v>1090</v>
      </c>
      <c r="I33" s="3" t="str">
        <f>+""</f>
        <v/>
      </c>
      <c r="J33" s="38"/>
      <c r="K33" s="3"/>
      <c r="L33" s="35"/>
      <c r="M33" s="3" t="s">
        <v>11</v>
      </c>
      <c r="N33" s="3" t="s">
        <v>103</v>
      </c>
      <c r="O33" s="3" t="s">
        <v>15</v>
      </c>
      <c r="P33" s="3" t="s">
        <v>27</v>
      </c>
      <c r="Q33" s="3" t="s">
        <v>23</v>
      </c>
      <c r="R33" s="22" t="s">
        <v>564</v>
      </c>
    </row>
    <row r="34" spans="1:18" ht="99.75" customHeight="1" x14ac:dyDescent="0.25">
      <c r="A34" s="3" t="s">
        <v>432</v>
      </c>
      <c r="B34" s="34">
        <v>40953</v>
      </c>
      <c r="C34" s="35">
        <v>40981</v>
      </c>
      <c r="D34" s="35"/>
      <c r="E34" s="34">
        <v>41289</v>
      </c>
      <c r="F34" s="35">
        <v>41514</v>
      </c>
      <c r="G34" s="36" t="str">
        <f>+"12-JAN-2012"</f>
        <v>12-JAN-2012</v>
      </c>
      <c r="H34" s="63">
        <f t="shared" si="0"/>
        <v>1075</v>
      </c>
      <c r="I34" s="3" t="str">
        <f>+""</f>
        <v/>
      </c>
      <c r="J34" s="38"/>
      <c r="K34" s="3"/>
      <c r="L34" s="35"/>
      <c r="M34" s="3" t="s">
        <v>11</v>
      </c>
      <c r="N34" s="3" t="s">
        <v>433</v>
      </c>
      <c r="O34" s="3" t="s">
        <v>15</v>
      </c>
      <c r="P34" s="3" t="s">
        <v>67</v>
      </c>
      <c r="Q34" s="3" t="s">
        <v>43</v>
      </c>
      <c r="R34" s="22" t="s">
        <v>434</v>
      </c>
    </row>
    <row r="35" spans="1:18" ht="84.95" customHeight="1" x14ac:dyDescent="0.25">
      <c r="A35" s="3" t="s">
        <v>104</v>
      </c>
      <c r="B35" s="34">
        <v>41187</v>
      </c>
      <c r="C35" s="35">
        <v>41214</v>
      </c>
      <c r="D35" s="35"/>
      <c r="E35" s="34">
        <v>41675</v>
      </c>
      <c r="F35" s="35">
        <v>41775</v>
      </c>
      <c r="G35" s="36" t="str">
        <f>+"17-JAN-2012"</f>
        <v>17-JAN-2012</v>
      </c>
      <c r="H35" s="63">
        <f t="shared" si="0"/>
        <v>1070</v>
      </c>
      <c r="I35" s="3" t="str">
        <f>+""</f>
        <v/>
      </c>
      <c r="J35" s="38"/>
      <c r="K35" s="3"/>
      <c r="L35" s="35"/>
      <c r="M35" s="3" t="s">
        <v>11</v>
      </c>
      <c r="N35" s="3" t="s">
        <v>105</v>
      </c>
      <c r="O35" s="3" t="s">
        <v>15</v>
      </c>
      <c r="P35" s="3" t="s">
        <v>16</v>
      </c>
      <c r="Q35" s="3" t="s">
        <v>14</v>
      </c>
      <c r="R35" s="22" t="s">
        <v>623</v>
      </c>
    </row>
    <row r="36" spans="1:18" ht="84.95" customHeight="1" x14ac:dyDescent="0.25">
      <c r="A36" s="3" t="s">
        <v>106</v>
      </c>
      <c r="B36" s="34">
        <v>41436</v>
      </c>
      <c r="C36" s="35" t="s">
        <v>539</v>
      </c>
      <c r="D36" s="35"/>
      <c r="E36" s="34">
        <v>41985</v>
      </c>
      <c r="F36" s="35" t="s">
        <v>539</v>
      </c>
      <c r="G36" s="36" t="str">
        <f>+"25-JAN-2012"</f>
        <v>25-JAN-2012</v>
      </c>
      <c r="H36" s="63">
        <f t="shared" si="0"/>
        <v>1062</v>
      </c>
      <c r="I36" s="3" t="str">
        <f>+""</f>
        <v/>
      </c>
      <c r="J36" s="38"/>
      <c r="K36" s="3"/>
      <c r="L36" s="35"/>
      <c r="M36" s="3" t="s">
        <v>11</v>
      </c>
      <c r="N36" s="3" t="s">
        <v>107</v>
      </c>
      <c r="O36" s="3" t="s">
        <v>15</v>
      </c>
      <c r="P36" s="3" t="s">
        <v>16</v>
      </c>
      <c r="Q36" s="3" t="s">
        <v>14</v>
      </c>
      <c r="R36" s="22" t="s">
        <v>108</v>
      </c>
    </row>
    <row r="37" spans="1:18" s="56" customFormat="1" ht="84.95" customHeight="1" x14ac:dyDescent="0.25">
      <c r="A37" s="3" t="s">
        <v>109</v>
      </c>
      <c r="B37" s="34" t="s">
        <v>539</v>
      </c>
      <c r="C37" s="35" t="s">
        <v>539</v>
      </c>
      <c r="D37" s="35"/>
      <c r="E37" s="34" t="s">
        <v>539</v>
      </c>
      <c r="F37" s="35" t="s">
        <v>539</v>
      </c>
      <c r="G37" s="36" t="str">
        <f>+"31-JAN-2012"</f>
        <v>31-JAN-2012</v>
      </c>
      <c r="H37" s="63">
        <f t="shared" si="0"/>
        <v>1056</v>
      </c>
      <c r="I37" s="3" t="str">
        <f>+""</f>
        <v/>
      </c>
      <c r="J37" s="38"/>
      <c r="K37" s="3"/>
      <c r="L37" s="35"/>
      <c r="M37" s="3" t="s">
        <v>11</v>
      </c>
      <c r="N37" s="3" t="s">
        <v>110</v>
      </c>
      <c r="O37" s="3" t="s">
        <v>15</v>
      </c>
      <c r="P37" s="3" t="s">
        <v>16</v>
      </c>
      <c r="Q37" s="3" t="s">
        <v>23</v>
      </c>
      <c r="R37" s="22" t="s">
        <v>49</v>
      </c>
    </row>
    <row r="38" spans="1:18" ht="84.95" customHeight="1" x14ac:dyDescent="0.25">
      <c r="A38" s="3" t="s">
        <v>367</v>
      </c>
      <c r="B38" s="34">
        <v>41163</v>
      </c>
      <c r="C38" s="35">
        <v>41319</v>
      </c>
      <c r="D38" s="35"/>
      <c r="E38" s="34" t="s">
        <v>539</v>
      </c>
      <c r="F38" s="35" t="s">
        <v>539</v>
      </c>
      <c r="G38" s="36" t="str">
        <f>+"14-MAR-2012"</f>
        <v>14-MAR-2012</v>
      </c>
      <c r="H38" s="63">
        <f t="shared" si="0"/>
        <v>1013</v>
      </c>
      <c r="I38" s="3" t="str">
        <f>+""</f>
        <v/>
      </c>
      <c r="J38" s="38"/>
      <c r="K38" s="3"/>
      <c r="L38" s="35"/>
      <c r="M38" s="3" t="s">
        <v>21</v>
      </c>
      <c r="N38" s="3" t="s">
        <v>368</v>
      </c>
      <c r="O38" s="3" t="s">
        <v>15</v>
      </c>
      <c r="P38" s="3" t="s">
        <v>19</v>
      </c>
      <c r="Q38" s="3" t="s">
        <v>17</v>
      </c>
      <c r="R38" s="22" t="s">
        <v>18</v>
      </c>
    </row>
    <row r="39" spans="1:18" s="56" customFormat="1" ht="84.95" customHeight="1" x14ac:dyDescent="0.25">
      <c r="A39" s="3" t="s">
        <v>111</v>
      </c>
      <c r="B39" s="34">
        <v>41109</v>
      </c>
      <c r="C39" s="35" t="s">
        <v>539</v>
      </c>
      <c r="D39" s="35"/>
      <c r="E39" s="34" t="s">
        <v>539</v>
      </c>
      <c r="F39" s="35" t="s">
        <v>539</v>
      </c>
      <c r="G39" s="36" t="str">
        <f>+"16-APR-2012"</f>
        <v>16-APR-2012</v>
      </c>
      <c r="H39" s="63">
        <f t="shared" si="0"/>
        <v>980</v>
      </c>
      <c r="I39" s="3" t="str">
        <f>+""</f>
        <v/>
      </c>
      <c r="J39" s="38"/>
      <c r="K39" s="3"/>
      <c r="L39" s="35"/>
      <c r="M39" s="3" t="s">
        <v>11</v>
      </c>
      <c r="N39" s="3" t="s">
        <v>112</v>
      </c>
      <c r="O39" s="3" t="s">
        <v>15</v>
      </c>
      <c r="P39" s="3" t="s">
        <v>16</v>
      </c>
      <c r="Q39" s="3" t="s">
        <v>23</v>
      </c>
      <c r="R39" s="22" t="s">
        <v>49</v>
      </c>
    </row>
    <row r="40" spans="1:18" s="56" customFormat="1" ht="84.95" customHeight="1" x14ac:dyDescent="0.25">
      <c r="A40" s="3" t="s">
        <v>113</v>
      </c>
      <c r="B40" s="34">
        <v>41066</v>
      </c>
      <c r="C40" s="35">
        <v>41088</v>
      </c>
      <c r="D40" s="35"/>
      <c r="E40" s="34">
        <v>41366</v>
      </c>
      <c r="F40" s="35">
        <v>41684</v>
      </c>
      <c r="G40" s="36" t="str">
        <f>+"23-APR-2012"</f>
        <v>23-APR-2012</v>
      </c>
      <c r="H40" s="63">
        <f t="shared" si="0"/>
        <v>973</v>
      </c>
      <c r="I40" s="3" t="str">
        <f>+""</f>
        <v/>
      </c>
      <c r="J40" s="38"/>
      <c r="K40" s="3"/>
      <c r="L40" s="35"/>
      <c r="M40" s="3" t="s">
        <v>11</v>
      </c>
      <c r="N40" s="3" t="s">
        <v>114</v>
      </c>
      <c r="O40" s="3" t="s">
        <v>15</v>
      </c>
      <c r="P40" s="3" t="s">
        <v>19</v>
      </c>
      <c r="Q40" s="3" t="s">
        <v>17</v>
      </c>
      <c r="R40" s="22" t="s">
        <v>716</v>
      </c>
    </row>
    <row r="41" spans="1:18" s="56" customFormat="1" ht="84.95" customHeight="1" x14ac:dyDescent="0.25">
      <c r="A41" s="3" t="s">
        <v>115</v>
      </c>
      <c r="B41" s="34">
        <v>41087</v>
      </c>
      <c r="C41" s="35">
        <v>41178</v>
      </c>
      <c r="D41" s="35"/>
      <c r="E41" s="34">
        <v>41675</v>
      </c>
      <c r="F41" s="35">
        <v>41775</v>
      </c>
      <c r="G41" s="36" t="str">
        <f>+"24-APR-2012"</f>
        <v>24-APR-2012</v>
      </c>
      <c r="H41" s="63">
        <f t="shared" si="0"/>
        <v>972</v>
      </c>
      <c r="I41" s="3" t="str">
        <f>+""</f>
        <v/>
      </c>
      <c r="J41" s="38"/>
      <c r="K41" s="3"/>
      <c r="L41" s="35"/>
      <c r="M41" s="3" t="s">
        <v>11</v>
      </c>
      <c r="N41" s="3" t="s">
        <v>116</v>
      </c>
      <c r="O41" s="3" t="s">
        <v>15</v>
      </c>
      <c r="P41" s="3" t="s">
        <v>16</v>
      </c>
      <c r="Q41" s="3" t="s">
        <v>14</v>
      </c>
      <c r="R41" s="22" t="s">
        <v>146</v>
      </c>
    </row>
    <row r="42" spans="1:18" ht="84.95" customHeight="1" x14ac:dyDescent="0.25">
      <c r="A42" s="3" t="s">
        <v>117</v>
      </c>
      <c r="B42" s="34">
        <v>41962</v>
      </c>
      <c r="C42" s="35" t="s">
        <v>539</v>
      </c>
      <c r="D42" s="35"/>
      <c r="E42" s="34" t="s">
        <v>539</v>
      </c>
      <c r="F42" s="35" t="s">
        <v>539</v>
      </c>
      <c r="G42" s="36" t="str">
        <f>+"18-MAY-2012"</f>
        <v>18-MAY-2012</v>
      </c>
      <c r="H42" s="63">
        <f t="shared" si="0"/>
        <v>948</v>
      </c>
      <c r="I42" s="3" t="str">
        <f>+""</f>
        <v/>
      </c>
      <c r="J42" s="38"/>
      <c r="K42" s="3"/>
      <c r="L42" s="35"/>
      <c r="M42" s="3" t="s">
        <v>11</v>
      </c>
      <c r="N42" s="3" t="s">
        <v>118</v>
      </c>
      <c r="O42" s="3" t="s">
        <v>15</v>
      </c>
      <c r="P42" s="3" t="s">
        <v>16</v>
      </c>
      <c r="Q42" s="3" t="s">
        <v>43</v>
      </c>
      <c r="R42" s="22" t="s">
        <v>119</v>
      </c>
    </row>
    <row r="43" spans="1:18" ht="107.25" customHeight="1" x14ac:dyDescent="0.25">
      <c r="A43" s="3" t="s">
        <v>495</v>
      </c>
      <c r="B43" s="34">
        <v>41935</v>
      </c>
      <c r="C43" s="35">
        <v>41946</v>
      </c>
      <c r="D43" s="35"/>
      <c r="E43" s="34">
        <v>41967</v>
      </c>
      <c r="F43" s="35">
        <v>41904</v>
      </c>
      <c r="G43" s="36" t="str">
        <f>+"21-JUN-2012"</f>
        <v>21-JUN-2012</v>
      </c>
      <c r="H43" s="63">
        <f t="shared" si="0"/>
        <v>914</v>
      </c>
      <c r="I43" s="3" t="str">
        <f>+""</f>
        <v/>
      </c>
      <c r="J43" s="38"/>
      <c r="K43" s="3"/>
      <c r="L43" s="35"/>
      <c r="M43" s="3" t="s">
        <v>11</v>
      </c>
      <c r="N43" s="3" t="s">
        <v>496</v>
      </c>
      <c r="O43" s="3" t="s">
        <v>15</v>
      </c>
      <c r="P43" s="3" t="s">
        <v>16</v>
      </c>
      <c r="Q43" s="3" t="s">
        <v>43</v>
      </c>
      <c r="R43" s="22" t="s">
        <v>497</v>
      </c>
    </row>
    <row r="44" spans="1:18" s="56" customFormat="1" ht="84.95" customHeight="1" x14ac:dyDescent="0.25">
      <c r="A44" s="3" t="s">
        <v>373</v>
      </c>
      <c r="B44" s="34">
        <v>41992</v>
      </c>
      <c r="C44" s="35" t="s">
        <v>539</v>
      </c>
      <c r="D44" s="35"/>
      <c r="E44" s="34" t="s">
        <v>539</v>
      </c>
      <c r="F44" s="35" t="s">
        <v>539</v>
      </c>
      <c r="G44" s="36" t="str">
        <f>+"06-SEP-2012"</f>
        <v>06-SEP-2012</v>
      </c>
      <c r="H44" s="63">
        <f t="shared" si="0"/>
        <v>837</v>
      </c>
      <c r="I44" s="3" t="str">
        <f>+""</f>
        <v/>
      </c>
      <c r="J44" s="38"/>
      <c r="K44" s="3"/>
      <c r="L44" s="35"/>
      <c r="M44" s="3" t="s">
        <v>11</v>
      </c>
      <c r="N44" s="3" t="s">
        <v>374</v>
      </c>
      <c r="O44" s="3" t="s">
        <v>15</v>
      </c>
      <c r="P44" s="3" t="s">
        <v>27</v>
      </c>
      <c r="Q44" s="3" t="s">
        <v>17</v>
      </c>
      <c r="R44" s="22" t="s">
        <v>197</v>
      </c>
    </row>
    <row r="45" spans="1:18" s="56" customFormat="1" ht="84.95" customHeight="1" x14ac:dyDescent="0.25">
      <c r="A45" s="3" t="s">
        <v>129</v>
      </c>
      <c r="B45" s="34">
        <v>41960</v>
      </c>
      <c r="C45" s="35">
        <v>41715</v>
      </c>
      <c r="D45" s="35"/>
      <c r="E45" s="34" t="s">
        <v>539</v>
      </c>
      <c r="F45" s="35" t="s">
        <v>539</v>
      </c>
      <c r="G45" s="36" t="str">
        <f>+"17-OCT-2012"</f>
        <v>17-OCT-2012</v>
      </c>
      <c r="H45" s="63">
        <f t="shared" si="0"/>
        <v>796</v>
      </c>
      <c r="I45" s="3" t="str">
        <f>+""</f>
        <v/>
      </c>
      <c r="J45" s="38"/>
      <c r="K45" s="3"/>
      <c r="L45" s="35"/>
      <c r="M45" s="3" t="s">
        <v>21</v>
      </c>
      <c r="N45" s="3" t="s">
        <v>130</v>
      </c>
      <c r="O45" s="3" t="s">
        <v>15</v>
      </c>
      <c r="P45" s="3" t="s">
        <v>16</v>
      </c>
      <c r="Q45" s="3" t="s">
        <v>14</v>
      </c>
      <c r="R45" s="22" t="s">
        <v>60</v>
      </c>
    </row>
    <row r="46" spans="1:18" ht="84.95" customHeight="1" x14ac:dyDescent="0.25">
      <c r="A46" s="3" t="s">
        <v>435</v>
      </c>
      <c r="B46" s="34">
        <v>41467</v>
      </c>
      <c r="C46" s="35">
        <v>41302</v>
      </c>
      <c r="D46" s="35"/>
      <c r="E46" s="34">
        <v>41558</v>
      </c>
      <c r="F46" s="35">
        <v>41624</v>
      </c>
      <c r="G46" s="36" t="str">
        <f>+"25-OCT-2012"</f>
        <v>25-OCT-2012</v>
      </c>
      <c r="H46" s="63">
        <f t="shared" si="0"/>
        <v>788</v>
      </c>
      <c r="I46" s="3" t="str">
        <f>+""</f>
        <v/>
      </c>
      <c r="J46" s="38"/>
      <c r="K46" s="3"/>
      <c r="L46" s="35">
        <v>41529</v>
      </c>
      <c r="M46" s="3" t="s">
        <v>11</v>
      </c>
      <c r="N46" s="3" t="s">
        <v>436</v>
      </c>
      <c r="O46" s="3" t="s">
        <v>15</v>
      </c>
      <c r="P46" s="3" t="s">
        <v>16</v>
      </c>
      <c r="Q46" s="3" t="s">
        <v>23</v>
      </c>
      <c r="R46" s="22" t="s">
        <v>160</v>
      </c>
    </row>
    <row r="47" spans="1:18" ht="84.95" customHeight="1" x14ac:dyDescent="0.25">
      <c r="A47" s="3" t="s">
        <v>131</v>
      </c>
      <c r="B47" s="34" t="s">
        <v>539</v>
      </c>
      <c r="C47" s="35" t="s">
        <v>539</v>
      </c>
      <c r="D47" s="35"/>
      <c r="E47" s="34" t="s">
        <v>539</v>
      </c>
      <c r="F47" s="35" t="s">
        <v>539</v>
      </c>
      <c r="G47" s="36" t="str">
        <f>+"26-OCT-2012"</f>
        <v>26-OCT-2012</v>
      </c>
      <c r="H47" s="63">
        <f t="shared" si="0"/>
        <v>787</v>
      </c>
      <c r="I47" s="3" t="str">
        <f>+""</f>
        <v/>
      </c>
      <c r="J47" s="38"/>
      <c r="K47" s="3"/>
      <c r="L47" s="35"/>
      <c r="M47" s="3" t="s">
        <v>11</v>
      </c>
      <c r="N47" s="3" t="s">
        <v>132</v>
      </c>
      <c r="O47" s="3" t="s">
        <v>15</v>
      </c>
      <c r="P47" s="3" t="s">
        <v>16</v>
      </c>
      <c r="Q47" s="3" t="s">
        <v>23</v>
      </c>
      <c r="R47" s="22" t="s">
        <v>24</v>
      </c>
    </row>
    <row r="48" spans="1:18" ht="84.95" customHeight="1" x14ac:dyDescent="0.25">
      <c r="A48" s="3" t="s">
        <v>498</v>
      </c>
      <c r="B48" s="34">
        <v>41346</v>
      </c>
      <c r="C48" s="35">
        <v>41799</v>
      </c>
      <c r="D48" s="35"/>
      <c r="E48" s="34" t="s">
        <v>539</v>
      </c>
      <c r="F48" s="35" t="s">
        <v>539</v>
      </c>
      <c r="G48" s="36" t="str">
        <f>+"08-NOV-2012"</f>
        <v>08-NOV-2012</v>
      </c>
      <c r="H48" s="63">
        <f t="shared" si="0"/>
        <v>774</v>
      </c>
      <c r="I48" s="3" t="str">
        <f>+""</f>
        <v/>
      </c>
      <c r="J48" s="38"/>
      <c r="K48" s="3"/>
      <c r="L48" s="35"/>
      <c r="M48" s="3" t="s">
        <v>21</v>
      </c>
      <c r="N48" s="3" t="s">
        <v>499</v>
      </c>
      <c r="O48" s="3" t="s">
        <v>15</v>
      </c>
      <c r="P48" s="3" t="s">
        <v>16</v>
      </c>
      <c r="Q48" s="3" t="s">
        <v>14</v>
      </c>
      <c r="R48" s="22" t="s">
        <v>704</v>
      </c>
    </row>
    <row r="49" spans="1:18" ht="84.95" customHeight="1" x14ac:dyDescent="0.25">
      <c r="A49" s="3" t="s">
        <v>141</v>
      </c>
      <c r="B49" s="34">
        <v>41285</v>
      </c>
      <c r="C49" s="35">
        <v>41296</v>
      </c>
      <c r="D49" s="35"/>
      <c r="E49" s="34">
        <v>41470</v>
      </c>
      <c r="F49" s="35">
        <v>41544</v>
      </c>
      <c r="G49" s="36" t="str">
        <f>+"15-NOV-2012"</f>
        <v>15-NOV-2012</v>
      </c>
      <c r="H49" s="63">
        <f t="shared" si="0"/>
        <v>767</v>
      </c>
      <c r="I49" s="3" t="str">
        <f>+""</f>
        <v/>
      </c>
      <c r="J49" s="38"/>
      <c r="K49" s="3"/>
      <c r="L49" s="35">
        <v>41544</v>
      </c>
      <c r="M49" s="3" t="s">
        <v>11</v>
      </c>
      <c r="N49" s="3" t="s">
        <v>142</v>
      </c>
      <c r="O49" s="3" t="s">
        <v>15</v>
      </c>
      <c r="P49" s="3" t="s">
        <v>44</v>
      </c>
      <c r="Q49" s="3" t="s">
        <v>23</v>
      </c>
      <c r="R49" s="22" t="s">
        <v>143</v>
      </c>
    </row>
    <row r="50" spans="1:18" ht="84.95" customHeight="1" x14ac:dyDescent="0.25">
      <c r="A50" s="3" t="s">
        <v>144</v>
      </c>
      <c r="B50" s="34" t="s">
        <v>539</v>
      </c>
      <c r="C50" s="35" t="s">
        <v>539</v>
      </c>
      <c r="D50" s="35"/>
      <c r="E50" s="34" t="s">
        <v>539</v>
      </c>
      <c r="F50" s="35" t="s">
        <v>539</v>
      </c>
      <c r="G50" s="36" t="str">
        <f>+"15-NOV-2012"</f>
        <v>15-NOV-2012</v>
      </c>
      <c r="H50" s="63">
        <f t="shared" si="0"/>
        <v>767</v>
      </c>
      <c r="I50" s="3" t="str">
        <f>+""</f>
        <v/>
      </c>
      <c r="J50" s="38"/>
      <c r="K50" s="3"/>
      <c r="L50" s="35"/>
      <c r="M50" s="3" t="s">
        <v>11</v>
      </c>
      <c r="N50" s="3" t="s">
        <v>145</v>
      </c>
      <c r="O50" s="3" t="s">
        <v>15</v>
      </c>
      <c r="P50" s="3" t="s">
        <v>16</v>
      </c>
      <c r="Q50" s="3" t="s">
        <v>43</v>
      </c>
      <c r="R50" s="22" t="s">
        <v>146</v>
      </c>
    </row>
    <row r="51" spans="1:18" s="56" customFormat="1" ht="84.95" customHeight="1" x14ac:dyDescent="0.25">
      <c r="A51" s="3" t="s">
        <v>148</v>
      </c>
      <c r="B51" s="34" t="s">
        <v>539</v>
      </c>
      <c r="C51" s="35" t="s">
        <v>539</v>
      </c>
      <c r="D51" s="35"/>
      <c r="E51" s="34" t="s">
        <v>539</v>
      </c>
      <c r="F51" s="35" t="s">
        <v>539</v>
      </c>
      <c r="G51" s="36" t="str">
        <f>+"14-DEC-2012"</f>
        <v>14-DEC-2012</v>
      </c>
      <c r="H51" s="63">
        <f t="shared" si="0"/>
        <v>738</v>
      </c>
      <c r="I51" s="3" t="str">
        <f>+""</f>
        <v/>
      </c>
      <c r="J51" s="38"/>
      <c r="K51" s="3"/>
      <c r="L51" s="35"/>
      <c r="M51" s="3" t="s">
        <v>11</v>
      </c>
      <c r="N51" s="3" t="s">
        <v>149</v>
      </c>
      <c r="O51" s="3" t="s">
        <v>15</v>
      </c>
      <c r="P51" s="3" t="s">
        <v>52</v>
      </c>
      <c r="Q51" s="3" t="s">
        <v>14</v>
      </c>
      <c r="R51" s="22" t="s">
        <v>35</v>
      </c>
    </row>
    <row r="52" spans="1:18" ht="84.95" customHeight="1" x14ac:dyDescent="0.25">
      <c r="A52" s="3" t="s">
        <v>500</v>
      </c>
      <c r="B52" s="34">
        <v>41320</v>
      </c>
      <c r="C52" s="35">
        <v>41366</v>
      </c>
      <c r="D52" s="35"/>
      <c r="E52" s="34">
        <v>41991</v>
      </c>
      <c r="F52" s="35" t="s">
        <v>539</v>
      </c>
      <c r="G52" s="36" t="str">
        <f>+"20-DEC-2012"</f>
        <v>20-DEC-2012</v>
      </c>
      <c r="H52" s="63">
        <f t="shared" si="0"/>
        <v>732</v>
      </c>
      <c r="I52" s="3" t="str">
        <f>+""</f>
        <v/>
      </c>
      <c r="J52" s="38"/>
      <c r="K52" s="3"/>
      <c r="L52" s="35"/>
      <c r="M52" s="3" t="s">
        <v>21</v>
      </c>
      <c r="N52" s="3" t="s">
        <v>501</v>
      </c>
      <c r="O52" s="3" t="s">
        <v>15</v>
      </c>
      <c r="P52" s="3" t="s">
        <v>52</v>
      </c>
      <c r="Q52" s="3" t="s">
        <v>14</v>
      </c>
      <c r="R52" s="22" t="s">
        <v>565</v>
      </c>
    </row>
    <row r="53" spans="1:18" ht="84.95" customHeight="1" x14ac:dyDescent="0.25">
      <c r="A53" s="3" t="s">
        <v>502</v>
      </c>
      <c r="B53" s="34">
        <v>41444</v>
      </c>
      <c r="C53" s="35">
        <v>41583</v>
      </c>
      <c r="D53" s="35"/>
      <c r="E53" s="34" t="s">
        <v>539</v>
      </c>
      <c r="F53" s="35" t="s">
        <v>539</v>
      </c>
      <c r="G53" s="36" t="str">
        <f>+"24-JAN-2013"</f>
        <v>24-JAN-2013</v>
      </c>
      <c r="H53" s="63">
        <f t="shared" si="0"/>
        <v>697</v>
      </c>
      <c r="I53" s="3" t="str">
        <f>+""</f>
        <v/>
      </c>
      <c r="J53" s="38"/>
      <c r="K53" s="3"/>
      <c r="L53" s="35"/>
      <c r="M53" s="3" t="s">
        <v>21</v>
      </c>
      <c r="N53" s="3" t="s">
        <v>503</v>
      </c>
      <c r="O53" s="3" t="s">
        <v>15</v>
      </c>
      <c r="P53" s="3" t="s">
        <v>27</v>
      </c>
      <c r="Q53" s="3" t="s">
        <v>38</v>
      </c>
      <c r="R53" s="22" t="s">
        <v>166</v>
      </c>
    </row>
    <row r="54" spans="1:18" s="56" customFormat="1" ht="84.95" customHeight="1" x14ac:dyDescent="0.25">
      <c r="A54" s="3" t="s">
        <v>156</v>
      </c>
      <c r="B54" s="34">
        <v>41423</v>
      </c>
      <c r="C54" s="35">
        <v>41498</v>
      </c>
      <c r="D54" s="35"/>
      <c r="E54" s="34">
        <v>41592</v>
      </c>
      <c r="F54" s="35">
        <v>41627</v>
      </c>
      <c r="G54" s="36" t="str">
        <f>+"31-JAN-2013"</f>
        <v>31-JAN-2013</v>
      </c>
      <c r="H54" s="63">
        <f t="shared" si="0"/>
        <v>690</v>
      </c>
      <c r="I54" s="3" t="str">
        <f>+""</f>
        <v/>
      </c>
      <c r="J54" s="38"/>
      <c r="K54" s="3"/>
      <c r="L54" s="35"/>
      <c r="M54" s="3" t="s">
        <v>21</v>
      </c>
      <c r="N54" s="3" t="s">
        <v>157</v>
      </c>
      <c r="O54" s="3" t="s">
        <v>15</v>
      </c>
      <c r="P54" s="3" t="s">
        <v>27</v>
      </c>
      <c r="Q54" s="3" t="s">
        <v>17</v>
      </c>
      <c r="R54" s="22" t="s">
        <v>583</v>
      </c>
    </row>
    <row r="55" spans="1:18" ht="84.95" customHeight="1" x14ac:dyDescent="0.25">
      <c r="A55" s="3" t="s">
        <v>158</v>
      </c>
      <c r="B55" s="34">
        <v>41467</v>
      </c>
      <c r="C55" s="35">
        <v>41486</v>
      </c>
      <c r="D55" s="35"/>
      <c r="E55" s="34">
        <v>41561</v>
      </c>
      <c r="F55" s="35">
        <v>41624</v>
      </c>
      <c r="G55" s="36" t="str">
        <f>+"31-JAN-2013"</f>
        <v>31-JAN-2013</v>
      </c>
      <c r="H55" s="63">
        <f t="shared" si="0"/>
        <v>690</v>
      </c>
      <c r="I55" s="3" t="str">
        <f>+""</f>
        <v/>
      </c>
      <c r="J55" s="38"/>
      <c r="K55" s="3"/>
      <c r="L55" s="35">
        <v>41529</v>
      </c>
      <c r="M55" s="3" t="s">
        <v>11</v>
      </c>
      <c r="N55" s="3" t="s">
        <v>159</v>
      </c>
      <c r="O55" s="3" t="s">
        <v>15</v>
      </c>
      <c r="P55" s="3" t="s">
        <v>16</v>
      </c>
      <c r="Q55" s="3" t="s">
        <v>23</v>
      </c>
      <c r="R55" s="22" t="s">
        <v>160</v>
      </c>
    </row>
    <row r="56" spans="1:18" ht="84.95" customHeight="1" x14ac:dyDescent="0.25">
      <c r="A56" s="3" t="s">
        <v>161</v>
      </c>
      <c r="B56" s="34" t="s">
        <v>539</v>
      </c>
      <c r="C56" s="35" t="s">
        <v>539</v>
      </c>
      <c r="D56" s="35"/>
      <c r="E56" s="34" t="s">
        <v>539</v>
      </c>
      <c r="F56" s="35">
        <v>41717</v>
      </c>
      <c r="G56" s="36" t="str">
        <f>+"05-FEB-2013"</f>
        <v>05-FEB-2013</v>
      </c>
      <c r="H56" s="63">
        <f t="shared" si="0"/>
        <v>685</v>
      </c>
      <c r="I56" s="3" t="str">
        <f>+""</f>
        <v/>
      </c>
      <c r="J56" s="38"/>
      <c r="K56" s="3"/>
      <c r="L56" s="35"/>
      <c r="M56" s="3" t="s">
        <v>11</v>
      </c>
      <c r="N56" s="3" t="s">
        <v>162</v>
      </c>
      <c r="O56" s="3" t="s">
        <v>15</v>
      </c>
      <c r="P56" s="3" t="s">
        <v>27</v>
      </c>
      <c r="Q56" s="3" t="s">
        <v>17</v>
      </c>
      <c r="R56" s="22" t="s">
        <v>163</v>
      </c>
    </row>
    <row r="57" spans="1:18" ht="84.95" customHeight="1" x14ac:dyDescent="0.25">
      <c r="A57" s="3" t="s">
        <v>377</v>
      </c>
      <c r="B57" s="34" t="s">
        <v>539</v>
      </c>
      <c r="C57" s="35" t="s">
        <v>539</v>
      </c>
      <c r="D57" s="35"/>
      <c r="E57" s="34" t="s">
        <v>539</v>
      </c>
      <c r="F57" s="35" t="s">
        <v>539</v>
      </c>
      <c r="G57" s="36" t="str">
        <f>+"07-FEB-2013"</f>
        <v>07-FEB-2013</v>
      </c>
      <c r="H57" s="63">
        <f t="shared" si="0"/>
        <v>683</v>
      </c>
      <c r="I57" s="3" t="str">
        <f>+""</f>
        <v/>
      </c>
      <c r="J57" s="38"/>
      <c r="K57" s="3"/>
      <c r="L57" s="35"/>
      <c r="M57" s="3" t="s">
        <v>11</v>
      </c>
      <c r="N57" s="3" t="s">
        <v>378</v>
      </c>
      <c r="O57" s="3" t="s">
        <v>15</v>
      </c>
      <c r="P57" s="3" t="s">
        <v>27</v>
      </c>
      <c r="Q57" s="3" t="s">
        <v>17</v>
      </c>
      <c r="R57" s="22" t="s">
        <v>227</v>
      </c>
    </row>
    <row r="58" spans="1:18" s="56" customFormat="1" ht="84.95" customHeight="1" x14ac:dyDescent="0.25">
      <c r="A58" s="3" t="s">
        <v>504</v>
      </c>
      <c r="B58" s="34">
        <v>41360</v>
      </c>
      <c r="C58" s="35">
        <v>41396</v>
      </c>
      <c r="D58" s="35"/>
      <c r="E58" s="34" t="s">
        <v>539</v>
      </c>
      <c r="F58" s="35">
        <v>41526</v>
      </c>
      <c r="G58" s="36" t="str">
        <f>+"13-FEB-2013"</f>
        <v>13-FEB-2013</v>
      </c>
      <c r="H58" s="63">
        <f t="shared" si="0"/>
        <v>677</v>
      </c>
      <c r="I58" s="3" t="str">
        <f>+""</f>
        <v/>
      </c>
      <c r="J58" s="38"/>
      <c r="K58" s="3"/>
      <c r="L58" s="35"/>
      <c r="M58" s="3" t="s">
        <v>11</v>
      </c>
      <c r="N58" s="3" t="s">
        <v>505</v>
      </c>
      <c r="O58" s="3" t="s">
        <v>15</v>
      </c>
      <c r="P58" s="3" t="s">
        <v>67</v>
      </c>
      <c r="Q58" s="3" t="s">
        <v>38</v>
      </c>
      <c r="R58" s="22" t="s">
        <v>189</v>
      </c>
    </row>
    <row r="59" spans="1:18" ht="121.5" customHeight="1" x14ac:dyDescent="0.25">
      <c r="A59" s="3" t="s">
        <v>379</v>
      </c>
      <c r="B59" s="34" t="s">
        <v>539</v>
      </c>
      <c r="C59" s="35" t="s">
        <v>539</v>
      </c>
      <c r="D59" s="35"/>
      <c r="E59" s="34" t="s">
        <v>539</v>
      </c>
      <c r="F59" s="35" t="s">
        <v>539</v>
      </c>
      <c r="G59" s="36" t="str">
        <f>+"19-FEB-2013"</f>
        <v>19-FEB-2013</v>
      </c>
      <c r="H59" s="63">
        <f t="shared" si="0"/>
        <v>671</v>
      </c>
      <c r="I59" s="3" t="str">
        <f>+""</f>
        <v/>
      </c>
      <c r="J59" s="38"/>
      <c r="K59" s="3"/>
      <c r="L59" s="35"/>
      <c r="M59" s="3" t="s">
        <v>11</v>
      </c>
      <c r="N59" s="3" t="s">
        <v>380</v>
      </c>
      <c r="O59" s="3" t="s">
        <v>15</v>
      </c>
      <c r="P59" s="3" t="s">
        <v>16</v>
      </c>
      <c r="Q59" s="3" t="s">
        <v>23</v>
      </c>
      <c r="R59" s="22" t="s">
        <v>150</v>
      </c>
    </row>
    <row r="60" spans="1:18" ht="84.95" customHeight="1" x14ac:dyDescent="0.25">
      <c r="A60" s="3" t="s">
        <v>164</v>
      </c>
      <c r="B60" s="34">
        <v>41501</v>
      </c>
      <c r="C60" s="35">
        <v>41551</v>
      </c>
      <c r="D60" s="35"/>
      <c r="E60" s="34">
        <v>41660</v>
      </c>
      <c r="F60" s="35">
        <v>41717</v>
      </c>
      <c r="G60" s="36" t="str">
        <f>+"28-FEB-2013"</f>
        <v>28-FEB-2013</v>
      </c>
      <c r="H60" s="63">
        <f t="shared" si="0"/>
        <v>662</v>
      </c>
      <c r="I60" s="3" t="str">
        <f>+""</f>
        <v/>
      </c>
      <c r="J60" s="38"/>
      <c r="K60" s="3"/>
      <c r="L60" s="35"/>
      <c r="M60" s="3" t="s">
        <v>11</v>
      </c>
      <c r="N60" s="3" t="s">
        <v>165</v>
      </c>
      <c r="O60" s="3" t="s">
        <v>15</v>
      </c>
      <c r="P60" s="3" t="s">
        <v>16</v>
      </c>
      <c r="Q60" s="3" t="s">
        <v>23</v>
      </c>
      <c r="R60" s="22" t="s">
        <v>49</v>
      </c>
    </row>
    <row r="61" spans="1:18" s="56" customFormat="1" ht="84.95" customHeight="1" x14ac:dyDescent="0.25">
      <c r="A61" s="3" t="s">
        <v>506</v>
      </c>
      <c r="B61" s="34">
        <v>41522</v>
      </c>
      <c r="C61" s="35">
        <v>41530</v>
      </c>
      <c r="D61" s="35"/>
      <c r="E61" s="34" t="s">
        <v>539</v>
      </c>
      <c r="F61" s="35" t="s">
        <v>539</v>
      </c>
      <c r="G61" s="36" t="str">
        <f>+"28-FEB-2013"</f>
        <v>28-FEB-2013</v>
      </c>
      <c r="H61" s="63">
        <f t="shared" si="0"/>
        <v>662</v>
      </c>
      <c r="I61" s="3" t="str">
        <f>+""</f>
        <v/>
      </c>
      <c r="J61" s="38"/>
      <c r="K61" s="3"/>
      <c r="L61" s="35"/>
      <c r="M61" s="3" t="s">
        <v>11</v>
      </c>
      <c r="N61" s="3" t="s">
        <v>507</v>
      </c>
      <c r="O61" s="3" t="s">
        <v>15</v>
      </c>
      <c r="P61" s="3" t="s">
        <v>16</v>
      </c>
      <c r="Q61" s="3" t="s">
        <v>23</v>
      </c>
      <c r="R61" s="22" t="s">
        <v>79</v>
      </c>
    </row>
    <row r="62" spans="1:18" s="56" customFormat="1" ht="84.95" customHeight="1" x14ac:dyDescent="0.25">
      <c r="A62" s="3" t="s">
        <v>169</v>
      </c>
      <c r="B62" s="34">
        <v>41474</v>
      </c>
      <c r="C62" s="35" t="s">
        <v>539</v>
      </c>
      <c r="D62" s="35"/>
      <c r="E62" s="34" t="s">
        <v>539</v>
      </c>
      <c r="F62" s="35" t="s">
        <v>539</v>
      </c>
      <c r="G62" s="36" t="str">
        <f>+"01-MAR-2013"</f>
        <v>01-MAR-2013</v>
      </c>
      <c r="H62" s="63">
        <f t="shared" si="0"/>
        <v>661</v>
      </c>
      <c r="I62" s="3" t="str">
        <f>+""</f>
        <v/>
      </c>
      <c r="J62" s="38"/>
      <c r="K62" s="3"/>
      <c r="L62" s="35"/>
      <c r="M62" s="3" t="s">
        <v>21</v>
      </c>
      <c r="N62" s="3" t="s">
        <v>170</v>
      </c>
      <c r="O62" s="3" t="s">
        <v>15</v>
      </c>
      <c r="P62" s="3" t="s">
        <v>27</v>
      </c>
      <c r="Q62" s="3" t="s">
        <v>17</v>
      </c>
      <c r="R62" s="22" t="s">
        <v>147</v>
      </c>
    </row>
    <row r="63" spans="1:18" ht="84.95" customHeight="1" x14ac:dyDescent="0.25">
      <c r="A63" s="3" t="s">
        <v>171</v>
      </c>
      <c r="B63" s="34" t="s">
        <v>539</v>
      </c>
      <c r="C63" s="35" t="s">
        <v>539</v>
      </c>
      <c r="D63" s="35"/>
      <c r="E63" s="34" t="s">
        <v>539</v>
      </c>
      <c r="F63" s="35" t="s">
        <v>539</v>
      </c>
      <c r="G63" s="36" t="str">
        <f>+"04-MAR-2013"</f>
        <v>04-MAR-2013</v>
      </c>
      <c r="H63" s="63">
        <f t="shared" si="0"/>
        <v>658</v>
      </c>
      <c r="I63" s="3" t="str">
        <f>+""</f>
        <v/>
      </c>
      <c r="J63" s="38"/>
      <c r="K63" s="3"/>
      <c r="L63" s="35"/>
      <c r="M63" s="3" t="s">
        <v>21</v>
      </c>
      <c r="N63" s="3" t="s">
        <v>172</v>
      </c>
      <c r="O63" s="3" t="s">
        <v>15</v>
      </c>
      <c r="P63" s="3" t="s">
        <v>27</v>
      </c>
      <c r="Q63" s="3" t="s">
        <v>17</v>
      </c>
      <c r="R63" s="22" t="s">
        <v>99</v>
      </c>
    </row>
    <row r="64" spans="1:18" ht="84.95" customHeight="1" x14ac:dyDescent="0.25">
      <c r="A64" s="3" t="s">
        <v>167</v>
      </c>
      <c r="B64" s="34">
        <v>41467</v>
      </c>
      <c r="C64" s="35">
        <v>41486</v>
      </c>
      <c r="D64" s="35"/>
      <c r="E64" s="34">
        <v>41561</v>
      </c>
      <c r="F64" s="35">
        <v>41624</v>
      </c>
      <c r="G64" s="36" t="str">
        <f>+"15-MAR-2013"</f>
        <v>15-MAR-2013</v>
      </c>
      <c r="H64" s="63">
        <f t="shared" si="0"/>
        <v>647</v>
      </c>
      <c r="I64" s="3" t="str">
        <f>+""</f>
        <v/>
      </c>
      <c r="J64" s="38"/>
      <c r="K64" s="3"/>
      <c r="L64" s="35">
        <v>41529</v>
      </c>
      <c r="M64" s="3" t="s">
        <v>11</v>
      </c>
      <c r="N64" s="3" t="s">
        <v>168</v>
      </c>
      <c r="O64" s="3" t="s">
        <v>15</v>
      </c>
      <c r="P64" s="3" t="s">
        <v>16</v>
      </c>
      <c r="Q64" s="3" t="s">
        <v>23</v>
      </c>
      <c r="R64" s="22" t="s">
        <v>160</v>
      </c>
    </row>
    <row r="65" spans="1:18" ht="84.95" customHeight="1" x14ac:dyDescent="0.25">
      <c r="A65" s="3" t="s">
        <v>175</v>
      </c>
      <c r="B65" s="34">
        <v>41467</v>
      </c>
      <c r="C65" s="35">
        <v>41486</v>
      </c>
      <c r="D65" s="35"/>
      <c r="E65" s="34">
        <v>41561</v>
      </c>
      <c r="F65" s="35">
        <v>41624</v>
      </c>
      <c r="G65" s="36" t="str">
        <f>+"18-MAR-2013"</f>
        <v>18-MAR-2013</v>
      </c>
      <c r="H65" s="63">
        <f t="shared" si="0"/>
        <v>644</v>
      </c>
      <c r="I65" s="3" t="str">
        <f>+""</f>
        <v/>
      </c>
      <c r="J65" s="38"/>
      <c r="K65" s="3"/>
      <c r="L65" s="35">
        <v>41529</v>
      </c>
      <c r="M65" s="3" t="s">
        <v>11</v>
      </c>
      <c r="N65" s="3" t="s">
        <v>176</v>
      </c>
      <c r="O65" s="3" t="s">
        <v>15</v>
      </c>
      <c r="P65" s="3" t="s">
        <v>16</v>
      </c>
      <c r="Q65" s="3" t="s">
        <v>23</v>
      </c>
      <c r="R65" s="22" t="s">
        <v>160</v>
      </c>
    </row>
    <row r="66" spans="1:18" ht="84.95" customHeight="1" x14ac:dyDescent="0.25">
      <c r="A66" s="3" t="s">
        <v>173</v>
      </c>
      <c r="B66" s="34">
        <v>41467</v>
      </c>
      <c r="C66" s="35">
        <v>41486</v>
      </c>
      <c r="D66" s="35"/>
      <c r="E66" s="34">
        <v>41561</v>
      </c>
      <c r="F66" s="35">
        <v>41624</v>
      </c>
      <c r="G66" s="36" t="str">
        <f>+"19-MAR-2013"</f>
        <v>19-MAR-2013</v>
      </c>
      <c r="H66" s="63">
        <f t="shared" si="0"/>
        <v>643</v>
      </c>
      <c r="I66" s="3" t="str">
        <f>+""</f>
        <v/>
      </c>
      <c r="J66" s="38"/>
      <c r="K66" s="3"/>
      <c r="L66" s="35">
        <v>41529</v>
      </c>
      <c r="M66" s="3" t="s">
        <v>11</v>
      </c>
      <c r="N66" s="3" t="s">
        <v>174</v>
      </c>
      <c r="O66" s="3" t="s">
        <v>15</v>
      </c>
      <c r="P66" s="3" t="s">
        <v>16</v>
      </c>
      <c r="Q66" s="3" t="s">
        <v>23</v>
      </c>
      <c r="R66" s="22" t="s">
        <v>160</v>
      </c>
    </row>
    <row r="67" spans="1:18" ht="84.95" customHeight="1" x14ac:dyDescent="0.25">
      <c r="A67" s="3" t="s">
        <v>437</v>
      </c>
      <c r="B67" s="34">
        <v>41285</v>
      </c>
      <c r="C67" s="35">
        <v>41799</v>
      </c>
      <c r="D67" s="35"/>
      <c r="E67" s="34">
        <v>41470</v>
      </c>
      <c r="F67" s="35">
        <v>41544</v>
      </c>
      <c r="G67" s="36" t="str">
        <f>+"21-MAR-2013"</f>
        <v>21-MAR-2013</v>
      </c>
      <c r="H67" s="63">
        <f t="shared" ref="H67:H130" si="1">DATE(2014, 12, 22) - G67</f>
        <v>641</v>
      </c>
      <c r="I67" s="3" t="str">
        <f>+""</f>
        <v/>
      </c>
      <c r="J67" s="38"/>
      <c r="K67" s="3"/>
      <c r="L67" s="35">
        <v>41544</v>
      </c>
      <c r="M67" s="3" t="s">
        <v>11</v>
      </c>
      <c r="N67" s="3" t="s">
        <v>438</v>
      </c>
      <c r="O67" s="3" t="s">
        <v>15</v>
      </c>
      <c r="P67" s="3" t="s">
        <v>16</v>
      </c>
      <c r="Q67" s="3" t="s">
        <v>23</v>
      </c>
      <c r="R67" s="22" t="s">
        <v>143</v>
      </c>
    </row>
    <row r="68" spans="1:18" ht="84.95" customHeight="1" x14ac:dyDescent="0.25">
      <c r="A68" s="3" t="s">
        <v>508</v>
      </c>
      <c r="B68" s="34" t="s">
        <v>539</v>
      </c>
      <c r="C68" s="35" t="s">
        <v>539</v>
      </c>
      <c r="D68" s="35"/>
      <c r="E68" s="34" t="s">
        <v>539</v>
      </c>
      <c r="F68" s="35" t="s">
        <v>539</v>
      </c>
      <c r="G68" s="36" t="str">
        <f>+"21-MAR-2013"</f>
        <v>21-MAR-2013</v>
      </c>
      <c r="H68" s="63">
        <f t="shared" si="1"/>
        <v>641</v>
      </c>
      <c r="I68" s="3" t="str">
        <f>+""</f>
        <v/>
      </c>
      <c r="J68" s="38"/>
      <c r="K68" s="3"/>
      <c r="L68" s="35"/>
      <c r="M68" s="3" t="s">
        <v>21</v>
      </c>
      <c r="N68" s="3" t="s">
        <v>509</v>
      </c>
      <c r="O68" s="3" t="s">
        <v>15</v>
      </c>
      <c r="P68" s="3" t="s">
        <v>27</v>
      </c>
      <c r="Q68" s="3" t="s">
        <v>17</v>
      </c>
      <c r="R68" s="22" t="s">
        <v>79</v>
      </c>
    </row>
    <row r="69" spans="1:18" ht="84.95" customHeight="1" x14ac:dyDescent="0.25">
      <c r="A69" s="3" t="s">
        <v>510</v>
      </c>
      <c r="B69" s="34">
        <v>41443</v>
      </c>
      <c r="C69" s="35">
        <v>41487</v>
      </c>
      <c r="D69" s="35"/>
      <c r="E69" s="34">
        <v>42024</v>
      </c>
      <c r="F69" s="35" t="s">
        <v>539</v>
      </c>
      <c r="G69" s="36" t="str">
        <f>+"21-MAR-2013"</f>
        <v>21-MAR-2013</v>
      </c>
      <c r="H69" s="63">
        <f t="shared" si="1"/>
        <v>641</v>
      </c>
      <c r="I69" s="3" t="str">
        <f>+""</f>
        <v/>
      </c>
      <c r="J69" s="38"/>
      <c r="K69" s="3"/>
      <c r="L69" s="35"/>
      <c r="M69" s="3" t="s">
        <v>11</v>
      </c>
      <c r="N69" s="3" t="s">
        <v>511</v>
      </c>
      <c r="O69" s="3" t="s">
        <v>15</v>
      </c>
      <c r="P69" s="3" t="s">
        <v>16</v>
      </c>
      <c r="Q69" s="3" t="s">
        <v>43</v>
      </c>
      <c r="R69" s="22" t="s">
        <v>35</v>
      </c>
    </row>
    <row r="70" spans="1:18" ht="84.95" customHeight="1" x14ac:dyDescent="0.25">
      <c r="A70" s="3" t="s">
        <v>177</v>
      </c>
      <c r="B70" s="34">
        <v>41414</v>
      </c>
      <c r="C70" s="35">
        <v>41432</v>
      </c>
      <c r="D70" s="35"/>
      <c r="E70" s="34">
        <v>41652</v>
      </c>
      <c r="F70" s="35">
        <v>41688</v>
      </c>
      <c r="G70" s="36" t="str">
        <f>+"02-APR-2013"</f>
        <v>02-APR-2013</v>
      </c>
      <c r="H70" s="63">
        <f t="shared" si="1"/>
        <v>629</v>
      </c>
      <c r="I70" s="3" t="str">
        <f>+""</f>
        <v/>
      </c>
      <c r="J70" s="38"/>
      <c r="K70" s="3"/>
      <c r="L70" s="35"/>
      <c r="M70" s="3" t="s">
        <v>11</v>
      </c>
      <c r="N70" s="3" t="s">
        <v>178</v>
      </c>
      <c r="O70" s="3" t="s">
        <v>15</v>
      </c>
      <c r="P70" s="3" t="s">
        <v>16</v>
      </c>
      <c r="Q70" s="3" t="s">
        <v>23</v>
      </c>
      <c r="R70" s="22" t="s">
        <v>79</v>
      </c>
    </row>
    <row r="71" spans="1:18" ht="116.25" customHeight="1" x14ac:dyDescent="0.25">
      <c r="A71" s="3" t="s">
        <v>381</v>
      </c>
      <c r="B71" s="34">
        <v>41695</v>
      </c>
      <c r="C71" s="35">
        <v>42017</v>
      </c>
      <c r="D71" s="35"/>
      <c r="E71" s="34" t="s">
        <v>539</v>
      </c>
      <c r="F71" s="35">
        <v>41716</v>
      </c>
      <c r="G71" s="36" t="str">
        <f>+"11-APR-2013"</f>
        <v>11-APR-2013</v>
      </c>
      <c r="H71" s="63">
        <f t="shared" si="1"/>
        <v>620</v>
      </c>
      <c r="I71" s="3" t="str">
        <f>+""</f>
        <v/>
      </c>
      <c r="J71" s="38"/>
      <c r="K71" s="3"/>
      <c r="L71" s="35"/>
      <c r="M71" s="3" t="s">
        <v>11</v>
      </c>
      <c r="N71" s="3" t="s">
        <v>382</v>
      </c>
      <c r="O71" s="3" t="s">
        <v>15</v>
      </c>
      <c r="P71" s="3" t="s">
        <v>27</v>
      </c>
      <c r="Q71" s="3" t="s">
        <v>23</v>
      </c>
      <c r="R71" s="22" t="s">
        <v>35</v>
      </c>
    </row>
    <row r="72" spans="1:18" ht="84.95" customHeight="1" x14ac:dyDescent="0.25">
      <c r="A72" s="3" t="s">
        <v>179</v>
      </c>
      <c r="B72" s="34">
        <v>41428</v>
      </c>
      <c r="C72" s="35">
        <v>41467</v>
      </c>
      <c r="D72" s="35"/>
      <c r="E72" s="34">
        <v>41921</v>
      </c>
      <c r="F72" s="35" t="s">
        <v>539</v>
      </c>
      <c r="G72" s="36" t="str">
        <f>+"18-APR-2013"</f>
        <v>18-APR-2013</v>
      </c>
      <c r="H72" s="63">
        <f t="shared" si="1"/>
        <v>613</v>
      </c>
      <c r="I72" s="3" t="str">
        <f>+""</f>
        <v/>
      </c>
      <c r="J72" s="38"/>
      <c r="K72" s="3"/>
      <c r="L72" s="35"/>
      <c r="M72" s="3" t="s">
        <v>11</v>
      </c>
      <c r="N72" s="3" t="s">
        <v>180</v>
      </c>
      <c r="O72" s="3" t="s">
        <v>15</v>
      </c>
      <c r="P72" s="3" t="s">
        <v>13</v>
      </c>
      <c r="Q72" s="3" t="s">
        <v>43</v>
      </c>
      <c r="R72" s="22" t="s">
        <v>18</v>
      </c>
    </row>
    <row r="73" spans="1:18" ht="84.95" customHeight="1" x14ac:dyDescent="0.25">
      <c r="A73" s="3" t="s">
        <v>185</v>
      </c>
      <c r="B73" s="34">
        <v>41464</v>
      </c>
      <c r="C73" s="35">
        <v>41488</v>
      </c>
      <c r="D73" s="35"/>
      <c r="E73" s="34">
        <v>41596</v>
      </c>
      <c r="F73" s="35">
        <v>41800</v>
      </c>
      <c r="G73" s="36" t="str">
        <f>+"24-MAY-2013"</f>
        <v>24-MAY-2013</v>
      </c>
      <c r="H73" s="63">
        <f t="shared" si="1"/>
        <v>577</v>
      </c>
      <c r="I73" s="3" t="str">
        <f>+""</f>
        <v/>
      </c>
      <c r="J73" s="38"/>
      <c r="K73" s="3"/>
      <c r="L73" s="35"/>
      <c r="M73" s="3" t="s">
        <v>11</v>
      </c>
      <c r="N73" s="3" t="s">
        <v>186</v>
      </c>
      <c r="O73" s="3" t="s">
        <v>15</v>
      </c>
      <c r="P73" s="3" t="s">
        <v>19</v>
      </c>
      <c r="Q73" s="3" t="s">
        <v>17</v>
      </c>
      <c r="R73" s="22" t="s">
        <v>79</v>
      </c>
    </row>
    <row r="74" spans="1:18" ht="84.95" customHeight="1" x14ac:dyDescent="0.25">
      <c r="A74" s="3" t="s">
        <v>183</v>
      </c>
      <c r="B74" s="34">
        <v>41464</v>
      </c>
      <c r="C74" s="35">
        <v>41486</v>
      </c>
      <c r="D74" s="35"/>
      <c r="E74" s="34" t="s">
        <v>539</v>
      </c>
      <c r="F74" s="35" t="s">
        <v>539</v>
      </c>
      <c r="G74" s="36" t="str">
        <f>+"31-MAY-2013"</f>
        <v>31-MAY-2013</v>
      </c>
      <c r="H74" s="63">
        <f t="shared" si="1"/>
        <v>570</v>
      </c>
      <c r="I74" s="3" t="str">
        <f>+""</f>
        <v/>
      </c>
      <c r="J74" s="38"/>
      <c r="K74" s="3"/>
      <c r="L74" s="35"/>
      <c r="M74" s="3" t="s">
        <v>11</v>
      </c>
      <c r="N74" s="3" t="s">
        <v>184</v>
      </c>
      <c r="O74" s="3" t="s">
        <v>15</v>
      </c>
      <c r="P74" s="3" t="s">
        <v>16</v>
      </c>
      <c r="Q74" s="3" t="s">
        <v>23</v>
      </c>
      <c r="R74" s="22" t="s">
        <v>79</v>
      </c>
    </row>
    <row r="75" spans="1:18" ht="84.95" customHeight="1" x14ac:dyDescent="0.25">
      <c r="A75" s="3" t="s">
        <v>187</v>
      </c>
      <c r="B75" s="34">
        <v>41509</v>
      </c>
      <c r="C75" s="35">
        <v>41520</v>
      </c>
      <c r="D75" s="35"/>
      <c r="E75" s="34" t="s">
        <v>539</v>
      </c>
      <c r="F75" s="35">
        <v>41719</v>
      </c>
      <c r="G75" s="36" t="str">
        <f>+"13-JUN-2013"</f>
        <v>13-JUN-2013</v>
      </c>
      <c r="H75" s="63">
        <f t="shared" si="1"/>
        <v>557</v>
      </c>
      <c r="I75" s="3" t="str">
        <f>+""</f>
        <v/>
      </c>
      <c r="J75" s="38"/>
      <c r="K75" s="3"/>
      <c r="L75" s="35"/>
      <c r="M75" s="3" t="s">
        <v>11</v>
      </c>
      <c r="N75" s="3" t="s">
        <v>188</v>
      </c>
      <c r="O75" s="3" t="s">
        <v>15</v>
      </c>
      <c r="P75" s="3" t="s">
        <v>67</v>
      </c>
      <c r="Q75" s="3" t="s">
        <v>23</v>
      </c>
      <c r="R75" s="22" t="s">
        <v>189</v>
      </c>
    </row>
    <row r="76" spans="1:18" ht="127.5" customHeight="1" x14ac:dyDescent="0.25">
      <c r="A76" s="3" t="s">
        <v>442</v>
      </c>
      <c r="B76" s="34" t="s">
        <v>558</v>
      </c>
      <c r="C76" s="35" t="s">
        <v>539</v>
      </c>
      <c r="D76" s="35"/>
      <c r="E76" s="34">
        <v>41765</v>
      </c>
      <c r="F76" s="35" t="s">
        <v>539</v>
      </c>
      <c r="G76" s="36" t="str">
        <f>+"27-JUN-2013"</f>
        <v>27-JUN-2013</v>
      </c>
      <c r="H76" s="63">
        <f t="shared" si="1"/>
        <v>543</v>
      </c>
      <c r="I76" s="3" t="str">
        <f>+""</f>
        <v/>
      </c>
      <c r="J76" s="38"/>
      <c r="K76" s="3"/>
      <c r="L76" s="35"/>
      <c r="M76" s="3" t="s">
        <v>21</v>
      </c>
      <c r="N76" s="3" t="s">
        <v>443</v>
      </c>
      <c r="O76" s="3" t="s">
        <v>15</v>
      </c>
      <c r="P76" s="3" t="s">
        <v>98</v>
      </c>
      <c r="Q76" s="3" t="s">
        <v>23</v>
      </c>
      <c r="R76" s="22" t="s">
        <v>79</v>
      </c>
    </row>
    <row r="77" spans="1:18" ht="84.95" customHeight="1" x14ac:dyDescent="0.25">
      <c r="A77" s="3" t="s">
        <v>193</v>
      </c>
      <c r="B77" s="34" t="s">
        <v>539</v>
      </c>
      <c r="C77" s="35" t="s">
        <v>539</v>
      </c>
      <c r="D77" s="35"/>
      <c r="E77" s="34" t="s">
        <v>539</v>
      </c>
      <c r="F77" s="35" t="s">
        <v>539</v>
      </c>
      <c r="G77" s="36" t="str">
        <f>+"28-JUN-2013"</f>
        <v>28-JUN-2013</v>
      </c>
      <c r="H77" s="63">
        <f t="shared" si="1"/>
        <v>542</v>
      </c>
      <c r="I77" s="3" t="str">
        <f>+""</f>
        <v/>
      </c>
      <c r="J77" s="38"/>
      <c r="K77" s="3"/>
      <c r="L77" s="35"/>
      <c r="M77" s="3" t="s">
        <v>11</v>
      </c>
      <c r="N77" s="3" t="s">
        <v>194</v>
      </c>
      <c r="O77" s="3" t="s">
        <v>15</v>
      </c>
      <c r="P77" s="3" t="s">
        <v>16</v>
      </c>
      <c r="Q77" s="3" t="s">
        <v>38</v>
      </c>
      <c r="R77" s="22" t="s">
        <v>166</v>
      </c>
    </row>
    <row r="78" spans="1:18" ht="84.95" customHeight="1" x14ac:dyDescent="0.25">
      <c r="A78" s="3" t="s">
        <v>195</v>
      </c>
      <c r="B78" s="34">
        <v>41660</v>
      </c>
      <c r="C78" s="35">
        <v>41600</v>
      </c>
      <c r="D78" s="35"/>
      <c r="E78" s="34">
        <v>41809</v>
      </c>
      <c r="F78" s="35">
        <v>41811</v>
      </c>
      <c r="G78" s="36" t="str">
        <f>+"01-JUL-2013"</f>
        <v>01-JUL-2013</v>
      </c>
      <c r="H78" s="63">
        <f t="shared" si="1"/>
        <v>539</v>
      </c>
      <c r="I78" s="3" t="str">
        <f>+""</f>
        <v/>
      </c>
      <c r="J78" s="38"/>
      <c r="K78" s="3"/>
      <c r="L78" s="35"/>
      <c r="M78" s="3" t="s">
        <v>11</v>
      </c>
      <c r="N78" s="3" t="s">
        <v>196</v>
      </c>
      <c r="O78" s="3" t="s">
        <v>15</v>
      </c>
      <c r="P78" s="3" t="s">
        <v>19</v>
      </c>
      <c r="Q78" s="3" t="s">
        <v>38</v>
      </c>
      <c r="R78" s="22" t="s">
        <v>99</v>
      </c>
    </row>
    <row r="79" spans="1:18" ht="84.95" customHeight="1" x14ac:dyDescent="0.25">
      <c r="A79" s="3" t="s">
        <v>383</v>
      </c>
      <c r="B79" s="34">
        <v>41863</v>
      </c>
      <c r="C79" s="35" t="s">
        <v>539</v>
      </c>
      <c r="D79" s="35"/>
      <c r="E79" s="34">
        <v>42046</v>
      </c>
      <c r="F79" s="35" t="s">
        <v>539</v>
      </c>
      <c r="G79" s="36" t="str">
        <f>+"12-JUL-2013"</f>
        <v>12-JUL-2013</v>
      </c>
      <c r="H79" s="63">
        <f t="shared" si="1"/>
        <v>528</v>
      </c>
      <c r="I79" s="3" t="str">
        <f>+""</f>
        <v/>
      </c>
      <c r="J79" s="38"/>
      <c r="K79" s="3"/>
      <c r="L79" s="35"/>
      <c r="M79" s="3" t="s">
        <v>11</v>
      </c>
      <c r="N79" s="3" t="s">
        <v>384</v>
      </c>
      <c r="O79" s="3" t="s">
        <v>15</v>
      </c>
      <c r="P79" s="3" t="s">
        <v>27</v>
      </c>
      <c r="Q79" s="3" t="s">
        <v>17</v>
      </c>
      <c r="R79" s="22" t="s">
        <v>30</v>
      </c>
    </row>
    <row r="80" spans="1:18" s="56" customFormat="1" ht="84.95" customHeight="1" x14ac:dyDescent="0.25">
      <c r="A80" s="3" t="s">
        <v>385</v>
      </c>
      <c r="B80" s="34" t="s">
        <v>539</v>
      </c>
      <c r="C80" s="35" t="s">
        <v>539</v>
      </c>
      <c r="D80" s="35"/>
      <c r="E80" s="34" t="s">
        <v>539</v>
      </c>
      <c r="F80" s="35" t="s">
        <v>539</v>
      </c>
      <c r="G80" s="36" t="str">
        <f>+"05-AUG-2013"</f>
        <v>05-AUG-2013</v>
      </c>
      <c r="H80" s="63">
        <f t="shared" si="1"/>
        <v>504</v>
      </c>
      <c r="I80" s="3" t="str">
        <f>+""</f>
        <v/>
      </c>
      <c r="J80" s="38"/>
      <c r="K80" s="3"/>
      <c r="L80" s="35"/>
      <c r="M80" s="3" t="s">
        <v>11</v>
      </c>
      <c r="N80" s="3" t="s">
        <v>386</v>
      </c>
      <c r="O80" s="3" t="s">
        <v>15</v>
      </c>
      <c r="P80" s="3" t="s">
        <v>98</v>
      </c>
      <c r="Q80" s="3" t="s">
        <v>38</v>
      </c>
      <c r="R80" s="22" t="s">
        <v>108</v>
      </c>
    </row>
    <row r="81" spans="1:18" ht="84.95" customHeight="1" x14ac:dyDescent="0.25">
      <c r="A81" s="3" t="s">
        <v>198</v>
      </c>
      <c r="B81" s="34" t="s">
        <v>539</v>
      </c>
      <c r="C81" s="35" t="s">
        <v>539</v>
      </c>
      <c r="D81" s="35"/>
      <c r="E81" s="34" t="s">
        <v>539</v>
      </c>
      <c r="F81" s="35" t="s">
        <v>539</v>
      </c>
      <c r="G81" s="36" t="str">
        <f>+"13-AUG-2013"</f>
        <v>13-AUG-2013</v>
      </c>
      <c r="H81" s="63">
        <f t="shared" si="1"/>
        <v>496</v>
      </c>
      <c r="I81" s="3" t="str">
        <f>+""</f>
        <v/>
      </c>
      <c r="J81" s="38"/>
      <c r="K81" s="3"/>
      <c r="L81" s="35"/>
      <c r="M81" s="3" t="s">
        <v>21</v>
      </c>
      <c r="N81" s="3" t="s">
        <v>740</v>
      </c>
      <c r="O81" s="3" t="s">
        <v>15</v>
      </c>
      <c r="P81" s="3" t="s">
        <v>16</v>
      </c>
      <c r="Q81" s="3" t="s">
        <v>38</v>
      </c>
      <c r="R81" s="22" t="s">
        <v>688</v>
      </c>
    </row>
    <row r="82" spans="1:18" ht="84.95" customHeight="1" x14ac:dyDescent="0.25">
      <c r="A82" s="3" t="s">
        <v>200</v>
      </c>
      <c r="B82" s="34">
        <v>41625</v>
      </c>
      <c r="C82" s="35" t="s">
        <v>539</v>
      </c>
      <c r="D82" s="35"/>
      <c r="E82" s="34" t="s">
        <v>539</v>
      </c>
      <c r="F82" s="35" t="s">
        <v>539</v>
      </c>
      <c r="G82" s="36" t="str">
        <f>+"28-AUG-2013"</f>
        <v>28-AUG-2013</v>
      </c>
      <c r="H82" s="63">
        <f t="shared" si="1"/>
        <v>481</v>
      </c>
      <c r="I82" s="3" t="str">
        <f>+""</f>
        <v/>
      </c>
      <c r="J82" s="38"/>
      <c r="K82" s="3"/>
      <c r="L82" s="35"/>
      <c r="M82" s="3" t="s">
        <v>11</v>
      </c>
      <c r="N82" s="3" t="s">
        <v>201</v>
      </c>
      <c r="O82" s="3" t="s">
        <v>15</v>
      </c>
      <c r="P82" s="3" t="s">
        <v>16</v>
      </c>
      <c r="Q82" s="3" t="s">
        <v>23</v>
      </c>
      <c r="R82" s="22" t="s">
        <v>166</v>
      </c>
    </row>
    <row r="83" spans="1:18" ht="84.95" customHeight="1" x14ac:dyDescent="0.25">
      <c r="A83" s="3" t="s">
        <v>202</v>
      </c>
      <c r="B83" s="34">
        <v>41575</v>
      </c>
      <c r="C83" s="35">
        <v>41585</v>
      </c>
      <c r="D83" s="35"/>
      <c r="E83" s="34" t="s">
        <v>539</v>
      </c>
      <c r="F83" s="35">
        <v>41625</v>
      </c>
      <c r="G83" s="36" t="str">
        <f>+"30-AUG-2013"</f>
        <v>30-AUG-2013</v>
      </c>
      <c r="H83" s="63">
        <f t="shared" si="1"/>
        <v>479</v>
      </c>
      <c r="I83" s="3" t="str">
        <f>+""</f>
        <v/>
      </c>
      <c r="J83" s="38"/>
      <c r="K83" s="3"/>
      <c r="L83" s="35"/>
      <c r="M83" s="3" t="s">
        <v>11</v>
      </c>
      <c r="N83" s="3" t="s">
        <v>203</v>
      </c>
      <c r="O83" s="3" t="s">
        <v>15</v>
      </c>
      <c r="P83" s="3" t="s">
        <v>16</v>
      </c>
      <c r="Q83" s="3" t="s">
        <v>38</v>
      </c>
      <c r="R83" s="22" t="s">
        <v>206</v>
      </c>
    </row>
    <row r="84" spans="1:18" ht="84.95" customHeight="1" x14ac:dyDescent="0.25">
      <c r="A84" s="3" t="s">
        <v>204</v>
      </c>
      <c r="B84" s="34">
        <v>41575</v>
      </c>
      <c r="C84" s="35">
        <v>41585</v>
      </c>
      <c r="D84" s="35"/>
      <c r="E84" s="34" t="s">
        <v>539</v>
      </c>
      <c r="F84" s="35">
        <v>41625</v>
      </c>
      <c r="G84" s="36" t="str">
        <f>+"30-AUG-2013"</f>
        <v>30-AUG-2013</v>
      </c>
      <c r="H84" s="63">
        <f t="shared" si="1"/>
        <v>479</v>
      </c>
      <c r="I84" s="3" t="str">
        <f>+""</f>
        <v/>
      </c>
      <c r="J84" s="38"/>
      <c r="K84" s="3"/>
      <c r="L84" s="35"/>
      <c r="M84" s="3" t="s">
        <v>11</v>
      </c>
      <c r="N84" s="3" t="s">
        <v>205</v>
      </c>
      <c r="O84" s="3" t="s">
        <v>15</v>
      </c>
      <c r="P84" s="3" t="s">
        <v>16</v>
      </c>
      <c r="Q84" s="3" t="s">
        <v>38</v>
      </c>
      <c r="R84" s="22" t="s">
        <v>206</v>
      </c>
    </row>
    <row r="85" spans="1:18" ht="84.95" customHeight="1" x14ac:dyDescent="0.25">
      <c r="A85" s="3" t="s">
        <v>207</v>
      </c>
      <c r="B85" s="34">
        <v>41575</v>
      </c>
      <c r="C85" s="35">
        <v>41585</v>
      </c>
      <c r="D85" s="35"/>
      <c r="E85" s="34" t="s">
        <v>539</v>
      </c>
      <c r="F85" s="35">
        <v>41625</v>
      </c>
      <c r="G85" s="36" t="str">
        <f>+"03-SEP-2013"</f>
        <v>03-SEP-2013</v>
      </c>
      <c r="H85" s="63">
        <f t="shared" si="1"/>
        <v>475</v>
      </c>
      <c r="I85" s="3" t="str">
        <f>+""</f>
        <v/>
      </c>
      <c r="J85" s="38"/>
      <c r="K85" s="3"/>
      <c r="L85" s="35"/>
      <c r="M85" s="3" t="s">
        <v>11</v>
      </c>
      <c r="N85" s="3" t="s">
        <v>208</v>
      </c>
      <c r="O85" s="3" t="s">
        <v>15</v>
      </c>
      <c r="P85" s="3" t="s">
        <v>16</v>
      </c>
      <c r="Q85" s="3" t="s">
        <v>38</v>
      </c>
      <c r="R85" s="22" t="s">
        <v>206</v>
      </c>
    </row>
    <row r="86" spans="1:18" ht="84.95" customHeight="1" x14ac:dyDescent="0.25">
      <c r="A86" s="3" t="s">
        <v>209</v>
      </c>
      <c r="B86" s="34">
        <v>41575</v>
      </c>
      <c r="C86" s="35">
        <v>41585</v>
      </c>
      <c r="D86" s="35"/>
      <c r="E86" s="34" t="s">
        <v>539</v>
      </c>
      <c r="F86" s="35">
        <v>41625</v>
      </c>
      <c r="G86" s="36" t="str">
        <f>+"03-SEP-2013"</f>
        <v>03-SEP-2013</v>
      </c>
      <c r="H86" s="63">
        <f t="shared" si="1"/>
        <v>475</v>
      </c>
      <c r="I86" s="3" t="str">
        <f>+""</f>
        <v/>
      </c>
      <c r="J86" s="38"/>
      <c r="K86" s="3"/>
      <c r="L86" s="35"/>
      <c r="M86" s="3" t="s">
        <v>11</v>
      </c>
      <c r="N86" s="3" t="s">
        <v>210</v>
      </c>
      <c r="O86" s="3" t="s">
        <v>15</v>
      </c>
      <c r="P86" s="3" t="s">
        <v>16</v>
      </c>
      <c r="Q86" s="3" t="s">
        <v>38</v>
      </c>
      <c r="R86" s="22" t="s">
        <v>206</v>
      </c>
    </row>
    <row r="87" spans="1:18" ht="84.95" customHeight="1" x14ac:dyDescent="0.25">
      <c r="A87" s="3" t="s">
        <v>211</v>
      </c>
      <c r="B87" s="34">
        <v>41575</v>
      </c>
      <c r="C87" s="35">
        <v>41585</v>
      </c>
      <c r="D87" s="35"/>
      <c r="E87" s="34" t="s">
        <v>539</v>
      </c>
      <c r="F87" s="35">
        <v>41625</v>
      </c>
      <c r="G87" s="36" t="str">
        <f>+"04-SEP-2013"</f>
        <v>04-SEP-2013</v>
      </c>
      <c r="H87" s="63">
        <f t="shared" si="1"/>
        <v>474</v>
      </c>
      <c r="I87" s="3" t="str">
        <f>+""</f>
        <v/>
      </c>
      <c r="J87" s="38"/>
      <c r="K87" s="3"/>
      <c r="L87" s="35"/>
      <c r="M87" s="3" t="s">
        <v>11</v>
      </c>
      <c r="N87" s="3" t="s">
        <v>212</v>
      </c>
      <c r="O87" s="3" t="s">
        <v>15</v>
      </c>
      <c r="P87" s="3" t="s">
        <v>16</v>
      </c>
      <c r="Q87" s="3" t="s">
        <v>38</v>
      </c>
      <c r="R87" s="22" t="s">
        <v>206</v>
      </c>
    </row>
    <row r="88" spans="1:18" ht="84.95" customHeight="1" x14ac:dyDescent="0.25">
      <c r="A88" s="3" t="s">
        <v>213</v>
      </c>
      <c r="B88" s="34">
        <v>41611</v>
      </c>
      <c r="C88" s="35">
        <v>41705</v>
      </c>
      <c r="D88" s="35"/>
      <c r="E88" s="34">
        <v>41800</v>
      </c>
      <c r="F88" s="35">
        <v>41857</v>
      </c>
      <c r="G88" s="36" t="str">
        <f>+"16-SEP-2013"</f>
        <v>16-SEP-2013</v>
      </c>
      <c r="H88" s="63">
        <f t="shared" si="1"/>
        <v>462</v>
      </c>
      <c r="I88" s="3" t="str">
        <f>+""</f>
        <v/>
      </c>
      <c r="J88" s="38"/>
      <c r="K88" s="3"/>
      <c r="L88" s="35"/>
      <c r="M88" s="3" t="s">
        <v>11</v>
      </c>
      <c r="N88" s="3" t="s">
        <v>214</v>
      </c>
      <c r="O88" s="3" t="s">
        <v>15</v>
      </c>
      <c r="P88" s="3" t="s">
        <v>67</v>
      </c>
      <c r="Q88" s="3" t="s">
        <v>38</v>
      </c>
      <c r="R88" s="22" t="s">
        <v>65</v>
      </c>
    </row>
    <row r="89" spans="1:18" ht="84.95" customHeight="1" x14ac:dyDescent="0.25">
      <c r="A89" s="3" t="s">
        <v>444</v>
      </c>
      <c r="B89" s="34">
        <v>41626</v>
      </c>
      <c r="C89" s="35">
        <v>41669</v>
      </c>
      <c r="D89" s="35"/>
      <c r="E89" s="34">
        <v>41816</v>
      </c>
      <c r="F89" s="35">
        <v>41891</v>
      </c>
      <c r="G89" s="36" t="str">
        <f>+"19-SEP-2013"</f>
        <v>19-SEP-2013</v>
      </c>
      <c r="H89" s="63">
        <f t="shared" si="1"/>
        <v>459</v>
      </c>
      <c r="I89" s="3" t="str">
        <f>+""</f>
        <v/>
      </c>
      <c r="J89" s="38"/>
      <c r="K89" s="3"/>
      <c r="L89" s="35"/>
      <c r="M89" s="3" t="s">
        <v>11</v>
      </c>
      <c r="N89" s="3" t="s">
        <v>445</v>
      </c>
      <c r="O89" s="3" t="s">
        <v>15</v>
      </c>
      <c r="P89" s="3" t="s">
        <v>52</v>
      </c>
      <c r="Q89" s="3" t="s">
        <v>43</v>
      </c>
      <c r="R89" s="22" t="s">
        <v>108</v>
      </c>
    </row>
    <row r="90" spans="1:18" ht="84.95" customHeight="1" x14ac:dyDescent="0.25">
      <c r="A90" s="3" t="s">
        <v>512</v>
      </c>
      <c r="B90" s="34">
        <v>41571</v>
      </c>
      <c r="C90" s="35">
        <v>41592</v>
      </c>
      <c r="D90" s="35"/>
      <c r="E90" s="34">
        <v>41803</v>
      </c>
      <c r="F90" s="35">
        <v>41890</v>
      </c>
      <c r="G90" s="36" t="str">
        <f>+"19-SEP-2013"</f>
        <v>19-SEP-2013</v>
      </c>
      <c r="H90" s="63">
        <f t="shared" si="1"/>
        <v>459</v>
      </c>
      <c r="I90" s="3" t="str">
        <f>+""</f>
        <v/>
      </c>
      <c r="J90" s="38"/>
      <c r="K90" s="3"/>
      <c r="L90" s="35"/>
      <c r="M90" s="3" t="s">
        <v>11</v>
      </c>
      <c r="N90" s="3" t="s">
        <v>513</v>
      </c>
      <c r="O90" s="3" t="s">
        <v>15</v>
      </c>
      <c r="P90" s="3" t="s">
        <v>16</v>
      </c>
      <c r="Q90" s="3" t="s">
        <v>14</v>
      </c>
      <c r="R90" s="22" t="s">
        <v>73</v>
      </c>
    </row>
    <row r="91" spans="1:18" ht="84.95" customHeight="1" x14ac:dyDescent="0.25">
      <c r="A91" s="3" t="s">
        <v>224</v>
      </c>
      <c r="B91" s="34">
        <v>41618</v>
      </c>
      <c r="C91" s="35">
        <v>41688</v>
      </c>
      <c r="D91" s="35"/>
      <c r="E91" s="34" t="s">
        <v>539</v>
      </c>
      <c r="F91" s="35" t="s">
        <v>539</v>
      </c>
      <c r="G91" s="36" t="str">
        <f>+"20-SEP-2013"</f>
        <v>20-SEP-2013</v>
      </c>
      <c r="H91" s="63">
        <f t="shared" si="1"/>
        <v>458</v>
      </c>
      <c r="I91" s="3" t="str">
        <f>+""</f>
        <v/>
      </c>
      <c r="J91" s="38"/>
      <c r="K91" s="3"/>
      <c r="L91" s="35"/>
      <c r="M91" s="3" t="s">
        <v>21</v>
      </c>
      <c r="N91" s="3" t="s">
        <v>666</v>
      </c>
      <c r="O91" s="3" t="s">
        <v>15</v>
      </c>
      <c r="P91" s="3" t="s">
        <v>19</v>
      </c>
      <c r="Q91" s="3" t="s">
        <v>17</v>
      </c>
      <c r="R91" s="22" t="s">
        <v>18</v>
      </c>
    </row>
    <row r="92" spans="1:18" ht="84.95" customHeight="1" x14ac:dyDescent="0.25">
      <c r="A92" s="3" t="s">
        <v>219</v>
      </c>
      <c r="B92" s="34" t="s">
        <v>539</v>
      </c>
      <c r="C92" s="35" t="s">
        <v>539</v>
      </c>
      <c r="D92" s="35"/>
      <c r="E92" s="34" t="s">
        <v>539</v>
      </c>
      <c r="F92" s="35" t="s">
        <v>539</v>
      </c>
      <c r="G92" s="36" t="str">
        <f>+"23-SEP-2013"</f>
        <v>23-SEP-2013</v>
      </c>
      <c r="H92" s="63">
        <f t="shared" si="1"/>
        <v>455</v>
      </c>
      <c r="I92" s="3" t="str">
        <f>+""</f>
        <v/>
      </c>
      <c r="J92" s="38"/>
      <c r="K92" s="3"/>
      <c r="L92" s="35"/>
      <c r="M92" s="3" t="s">
        <v>21</v>
      </c>
      <c r="N92" s="3" t="s">
        <v>220</v>
      </c>
      <c r="O92" s="3" t="s">
        <v>15</v>
      </c>
      <c r="P92" s="3" t="s">
        <v>27</v>
      </c>
      <c r="Q92" s="3" t="s">
        <v>38</v>
      </c>
      <c r="R92" s="22" t="s">
        <v>53</v>
      </c>
    </row>
    <row r="93" spans="1:18" ht="84.95" customHeight="1" x14ac:dyDescent="0.25">
      <c r="A93" s="3" t="s">
        <v>221</v>
      </c>
      <c r="B93" s="34" t="s">
        <v>539</v>
      </c>
      <c r="C93" s="35" t="s">
        <v>539</v>
      </c>
      <c r="D93" s="35"/>
      <c r="E93" s="34" t="s">
        <v>539</v>
      </c>
      <c r="F93" s="35" t="s">
        <v>539</v>
      </c>
      <c r="G93" s="36" t="str">
        <f>+"23-SEP-2013"</f>
        <v>23-SEP-2013</v>
      </c>
      <c r="H93" s="63">
        <f t="shared" si="1"/>
        <v>455</v>
      </c>
      <c r="I93" s="3" t="str">
        <f>+""</f>
        <v/>
      </c>
      <c r="J93" s="38"/>
      <c r="K93" s="3"/>
      <c r="L93" s="35"/>
      <c r="M93" s="3" t="s">
        <v>21</v>
      </c>
      <c r="N93" s="3" t="s">
        <v>222</v>
      </c>
      <c r="O93" s="3" t="s">
        <v>15</v>
      </c>
      <c r="P93" s="3" t="s">
        <v>98</v>
      </c>
      <c r="Q93" s="3" t="s">
        <v>38</v>
      </c>
      <c r="R93" s="22" t="s">
        <v>223</v>
      </c>
    </row>
    <row r="94" spans="1:18" ht="84.95" customHeight="1" x14ac:dyDescent="0.25">
      <c r="A94" s="3" t="s">
        <v>215</v>
      </c>
      <c r="B94" s="34" t="s">
        <v>539</v>
      </c>
      <c r="C94" s="35" t="s">
        <v>539</v>
      </c>
      <c r="D94" s="35"/>
      <c r="E94" s="34" t="s">
        <v>539</v>
      </c>
      <c r="F94" s="35" t="s">
        <v>539</v>
      </c>
      <c r="G94" s="36" t="str">
        <f>+"25-SEP-2013"</f>
        <v>25-SEP-2013</v>
      </c>
      <c r="H94" s="63">
        <f t="shared" si="1"/>
        <v>453</v>
      </c>
      <c r="I94" s="3" t="str">
        <f>+""</f>
        <v/>
      </c>
      <c r="J94" s="38"/>
      <c r="K94" s="3"/>
      <c r="L94" s="35"/>
      <c r="M94" s="3" t="s">
        <v>11</v>
      </c>
      <c r="N94" s="3" t="s">
        <v>216</v>
      </c>
      <c r="O94" s="3" t="s">
        <v>15</v>
      </c>
      <c r="P94" s="3" t="s">
        <v>16</v>
      </c>
      <c r="Q94" s="3" t="s">
        <v>38</v>
      </c>
      <c r="R94" s="22" t="s">
        <v>166</v>
      </c>
    </row>
    <row r="95" spans="1:18" ht="84.95" customHeight="1" x14ac:dyDescent="0.25">
      <c r="A95" s="3" t="s">
        <v>217</v>
      </c>
      <c r="B95" s="34">
        <v>41708</v>
      </c>
      <c r="C95" s="35">
        <v>41799</v>
      </c>
      <c r="D95" s="35"/>
      <c r="E95" s="34">
        <v>41897</v>
      </c>
      <c r="F95" s="35" t="s">
        <v>539</v>
      </c>
      <c r="G95" s="36" t="str">
        <f>+"30-SEP-2013"</f>
        <v>30-SEP-2013</v>
      </c>
      <c r="H95" s="63">
        <f t="shared" si="1"/>
        <v>448</v>
      </c>
      <c r="I95" s="3" t="str">
        <f>+""</f>
        <v/>
      </c>
      <c r="J95" s="38"/>
      <c r="K95" s="3"/>
      <c r="L95" s="35"/>
      <c r="M95" s="3" t="s">
        <v>11</v>
      </c>
      <c r="N95" s="3" t="s">
        <v>218</v>
      </c>
      <c r="O95" s="3" t="s">
        <v>15</v>
      </c>
      <c r="P95" s="3" t="s">
        <v>16</v>
      </c>
      <c r="Q95" s="3" t="s">
        <v>38</v>
      </c>
      <c r="R95" s="22" t="s">
        <v>99</v>
      </c>
    </row>
    <row r="96" spans="1:18" ht="108.75" customHeight="1" x14ac:dyDescent="0.25">
      <c r="A96" s="3" t="s">
        <v>446</v>
      </c>
      <c r="B96" s="34">
        <v>41648</v>
      </c>
      <c r="C96" s="35">
        <v>41681</v>
      </c>
      <c r="D96" s="35"/>
      <c r="E96" s="34">
        <v>41913</v>
      </c>
      <c r="F96" s="35" t="s">
        <v>539</v>
      </c>
      <c r="G96" s="36" t="str">
        <f>+"03-OCT-2013"</f>
        <v>03-OCT-2013</v>
      </c>
      <c r="H96" s="63">
        <f t="shared" si="1"/>
        <v>445</v>
      </c>
      <c r="I96" s="3" t="str">
        <f>+""</f>
        <v/>
      </c>
      <c r="J96" s="38"/>
      <c r="K96" s="3"/>
      <c r="L96" s="35"/>
      <c r="M96" s="3" t="s">
        <v>11</v>
      </c>
      <c r="N96" s="3" t="s">
        <v>665</v>
      </c>
      <c r="O96" s="3" t="s">
        <v>15</v>
      </c>
      <c r="P96" s="3" t="s">
        <v>27</v>
      </c>
      <c r="Q96" s="3" t="s">
        <v>38</v>
      </c>
      <c r="R96" s="22" t="s">
        <v>163</v>
      </c>
    </row>
    <row r="97" spans="1:18" ht="84.95" customHeight="1" x14ac:dyDescent="0.25">
      <c r="A97" s="3" t="s">
        <v>225</v>
      </c>
      <c r="B97" s="34">
        <v>41703</v>
      </c>
      <c r="C97" s="35" t="s">
        <v>539</v>
      </c>
      <c r="D97" s="35"/>
      <c r="E97" s="34" t="s">
        <v>539</v>
      </c>
      <c r="F97" s="35" t="s">
        <v>539</v>
      </c>
      <c r="G97" s="36" t="str">
        <f>+"10-OCT-2013"</f>
        <v>10-OCT-2013</v>
      </c>
      <c r="H97" s="63">
        <f t="shared" si="1"/>
        <v>438</v>
      </c>
      <c r="I97" s="3" t="str">
        <f>+""</f>
        <v/>
      </c>
      <c r="J97" s="38"/>
      <c r="K97" s="3"/>
      <c r="L97" s="35"/>
      <c r="M97" s="3" t="s">
        <v>21</v>
      </c>
      <c r="N97" s="3" t="s">
        <v>226</v>
      </c>
      <c r="O97" s="3" t="s">
        <v>15</v>
      </c>
      <c r="P97" s="3" t="s">
        <v>19</v>
      </c>
      <c r="Q97" s="3" t="s">
        <v>38</v>
      </c>
      <c r="R97" s="22" t="s">
        <v>65</v>
      </c>
    </row>
    <row r="98" spans="1:18" ht="102" customHeight="1" x14ac:dyDescent="0.25">
      <c r="A98" s="3" t="s">
        <v>387</v>
      </c>
      <c r="B98" s="34">
        <v>41647</v>
      </c>
      <c r="C98" s="35">
        <v>41684</v>
      </c>
      <c r="D98" s="35"/>
      <c r="E98" s="34" t="s">
        <v>539</v>
      </c>
      <c r="F98" s="35" t="s">
        <v>539</v>
      </c>
      <c r="G98" s="36" t="str">
        <f>+"10-OCT-2013"</f>
        <v>10-OCT-2013</v>
      </c>
      <c r="H98" s="63">
        <f t="shared" si="1"/>
        <v>438</v>
      </c>
      <c r="I98" s="3" t="str">
        <f>+""</f>
        <v/>
      </c>
      <c r="J98" s="38"/>
      <c r="K98" s="3"/>
      <c r="L98" s="35"/>
      <c r="M98" s="3" t="s">
        <v>11</v>
      </c>
      <c r="N98" s="3" t="s">
        <v>388</v>
      </c>
      <c r="O98" s="3" t="s">
        <v>15</v>
      </c>
      <c r="P98" s="3" t="s">
        <v>98</v>
      </c>
      <c r="Q98" s="3" t="s">
        <v>38</v>
      </c>
      <c r="R98" s="22" t="s">
        <v>389</v>
      </c>
    </row>
    <row r="99" spans="1:18" ht="84.95" customHeight="1" x14ac:dyDescent="0.25">
      <c r="A99" s="3" t="s">
        <v>232</v>
      </c>
      <c r="B99" s="34" t="s">
        <v>539</v>
      </c>
      <c r="C99" s="35" t="s">
        <v>539</v>
      </c>
      <c r="D99" s="35"/>
      <c r="E99" s="34" t="s">
        <v>539</v>
      </c>
      <c r="F99" s="35" t="s">
        <v>539</v>
      </c>
      <c r="G99" s="36" t="str">
        <f>+"22-OCT-2013"</f>
        <v>22-OCT-2013</v>
      </c>
      <c r="H99" s="63">
        <f t="shared" si="1"/>
        <v>426</v>
      </c>
      <c r="I99" s="3" t="str">
        <f>+""</f>
        <v/>
      </c>
      <c r="J99" s="38"/>
      <c r="K99" s="3"/>
      <c r="L99" s="35"/>
      <c r="M99" s="3" t="s">
        <v>21</v>
      </c>
      <c r="N99" s="3" t="s">
        <v>233</v>
      </c>
      <c r="O99" s="3" t="s">
        <v>15</v>
      </c>
      <c r="P99" s="3" t="s">
        <v>27</v>
      </c>
      <c r="Q99" s="3" t="s">
        <v>38</v>
      </c>
      <c r="R99" s="22" t="s">
        <v>65</v>
      </c>
    </row>
    <row r="100" spans="1:18" ht="84.95" customHeight="1" x14ac:dyDescent="0.25">
      <c r="A100" s="3" t="s">
        <v>228</v>
      </c>
      <c r="B100" s="34" t="s">
        <v>539</v>
      </c>
      <c r="C100" s="35" t="s">
        <v>539</v>
      </c>
      <c r="D100" s="35"/>
      <c r="E100" s="34" t="s">
        <v>539</v>
      </c>
      <c r="F100" s="35" t="s">
        <v>539</v>
      </c>
      <c r="G100" s="36" t="str">
        <f>+"25-OCT-2013"</f>
        <v>25-OCT-2013</v>
      </c>
      <c r="H100" s="63">
        <f t="shared" si="1"/>
        <v>423</v>
      </c>
      <c r="I100" s="3" t="str">
        <f>+""</f>
        <v/>
      </c>
      <c r="J100" s="38"/>
      <c r="K100" s="3"/>
      <c r="L100" s="35"/>
      <c r="M100" s="3" t="s">
        <v>11</v>
      </c>
      <c r="N100" s="3" t="s">
        <v>229</v>
      </c>
      <c r="O100" s="3" t="s">
        <v>15</v>
      </c>
      <c r="P100" s="3" t="s">
        <v>16</v>
      </c>
      <c r="Q100" s="3" t="s">
        <v>14</v>
      </c>
      <c r="R100" s="22" t="s">
        <v>24</v>
      </c>
    </row>
    <row r="101" spans="1:18" ht="84.95" customHeight="1" x14ac:dyDescent="0.25">
      <c r="A101" s="3" t="s">
        <v>230</v>
      </c>
      <c r="B101" s="34" t="s">
        <v>539</v>
      </c>
      <c r="C101" s="35" t="s">
        <v>539</v>
      </c>
      <c r="D101" s="35"/>
      <c r="E101" s="34" t="s">
        <v>539</v>
      </c>
      <c r="F101" s="35" t="s">
        <v>539</v>
      </c>
      <c r="G101" s="36" t="str">
        <f>+"28-OCT-2013"</f>
        <v>28-OCT-2013</v>
      </c>
      <c r="H101" s="63">
        <f t="shared" si="1"/>
        <v>420</v>
      </c>
      <c r="I101" s="3" t="str">
        <f>+""</f>
        <v/>
      </c>
      <c r="J101" s="38"/>
      <c r="K101" s="3"/>
      <c r="L101" s="35"/>
      <c r="M101" s="3" t="s">
        <v>11</v>
      </c>
      <c r="N101" s="3" t="s">
        <v>231</v>
      </c>
      <c r="O101" s="3" t="s">
        <v>15</v>
      </c>
      <c r="P101" s="3" t="s">
        <v>16</v>
      </c>
      <c r="Q101" s="3" t="s">
        <v>38</v>
      </c>
      <c r="R101" s="22" t="s">
        <v>24</v>
      </c>
    </row>
    <row r="102" spans="1:18" ht="84.95" customHeight="1" x14ac:dyDescent="0.25">
      <c r="A102" s="3" t="s">
        <v>237</v>
      </c>
      <c r="B102" s="34" t="s">
        <v>539</v>
      </c>
      <c r="C102" s="35" t="s">
        <v>539</v>
      </c>
      <c r="D102" s="35"/>
      <c r="E102" s="34" t="s">
        <v>539</v>
      </c>
      <c r="F102" s="35" t="s">
        <v>539</v>
      </c>
      <c r="G102" s="36" t="str">
        <f>+"06-NOV-2013"</f>
        <v>06-NOV-2013</v>
      </c>
      <c r="H102" s="63">
        <f t="shared" si="1"/>
        <v>411</v>
      </c>
      <c r="I102" s="3" t="str">
        <f>+""</f>
        <v/>
      </c>
      <c r="J102" s="38"/>
      <c r="K102" s="3"/>
      <c r="L102" s="35"/>
      <c r="M102" s="3" t="s">
        <v>21</v>
      </c>
      <c r="N102" s="3" t="s">
        <v>238</v>
      </c>
      <c r="O102" s="3" t="s">
        <v>15</v>
      </c>
      <c r="P102" s="3" t="s">
        <v>27</v>
      </c>
      <c r="Q102" s="3" t="s">
        <v>23</v>
      </c>
      <c r="R102" s="22" t="s">
        <v>65</v>
      </c>
    </row>
    <row r="103" spans="1:18" ht="84.95" customHeight="1" x14ac:dyDescent="0.25">
      <c r="A103" s="3" t="s">
        <v>234</v>
      </c>
      <c r="B103" s="34">
        <v>41681</v>
      </c>
      <c r="C103" s="35">
        <v>41725</v>
      </c>
      <c r="D103" s="35"/>
      <c r="E103" s="34">
        <v>41940</v>
      </c>
      <c r="F103" s="35" t="s">
        <v>539</v>
      </c>
      <c r="G103" s="36" t="str">
        <f>+"12-NOV-2013"</f>
        <v>12-NOV-2013</v>
      </c>
      <c r="H103" s="63">
        <f t="shared" si="1"/>
        <v>405</v>
      </c>
      <c r="I103" s="3" t="str">
        <f>+""</f>
        <v/>
      </c>
      <c r="J103" s="38"/>
      <c r="K103" s="3"/>
      <c r="L103" s="35"/>
      <c r="M103" s="3" t="s">
        <v>11</v>
      </c>
      <c r="N103" s="3" t="s">
        <v>235</v>
      </c>
      <c r="O103" s="3" t="s">
        <v>15</v>
      </c>
      <c r="P103" s="3" t="s">
        <v>16</v>
      </c>
      <c r="Q103" s="3" t="s">
        <v>38</v>
      </c>
      <c r="R103" s="22" t="s">
        <v>236</v>
      </c>
    </row>
    <row r="104" spans="1:18" ht="84.95" customHeight="1" x14ac:dyDescent="0.25">
      <c r="A104" s="3" t="s">
        <v>390</v>
      </c>
      <c r="B104" s="34">
        <v>41652</v>
      </c>
      <c r="C104" s="35">
        <v>41787</v>
      </c>
      <c r="D104" s="35"/>
      <c r="E104" s="34">
        <v>41869</v>
      </c>
      <c r="F104" s="35">
        <v>41904</v>
      </c>
      <c r="G104" s="36" t="str">
        <f>+"12-NOV-2013"</f>
        <v>12-NOV-2013</v>
      </c>
      <c r="H104" s="63">
        <f t="shared" si="1"/>
        <v>405</v>
      </c>
      <c r="I104" s="3" t="str">
        <f>+""</f>
        <v/>
      </c>
      <c r="J104" s="38"/>
      <c r="K104" s="3"/>
      <c r="L104" s="35"/>
      <c r="M104" s="3" t="s">
        <v>11</v>
      </c>
      <c r="N104" s="3" t="s">
        <v>391</v>
      </c>
      <c r="O104" s="3" t="s">
        <v>15</v>
      </c>
      <c r="P104" s="3" t="s">
        <v>16</v>
      </c>
      <c r="Q104" s="3" t="s">
        <v>14</v>
      </c>
      <c r="R104" s="22" t="s">
        <v>146</v>
      </c>
    </row>
    <row r="105" spans="1:18" ht="84.95" customHeight="1" x14ac:dyDescent="0.25">
      <c r="A105" s="3" t="s">
        <v>514</v>
      </c>
      <c r="B105" s="34">
        <v>41619</v>
      </c>
      <c r="C105" s="35">
        <v>41661</v>
      </c>
      <c r="D105" s="35"/>
      <c r="E105" s="34" t="s">
        <v>539</v>
      </c>
      <c r="F105" s="35" t="s">
        <v>539</v>
      </c>
      <c r="G105" s="36" t="str">
        <f>+"14-NOV-2013"</f>
        <v>14-NOV-2013</v>
      </c>
      <c r="H105" s="63">
        <f t="shared" si="1"/>
        <v>403</v>
      </c>
      <c r="I105" s="3" t="str">
        <f>+""</f>
        <v/>
      </c>
      <c r="J105" s="38"/>
      <c r="K105" s="3"/>
      <c r="L105" s="35"/>
      <c r="M105" s="3" t="s">
        <v>21</v>
      </c>
      <c r="N105" s="3" t="s">
        <v>515</v>
      </c>
      <c r="O105" s="3" t="s">
        <v>15</v>
      </c>
      <c r="P105" s="3" t="s">
        <v>16</v>
      </c>
      <c r="Q105" s="3" t="s">
        <v>38</v>
      </c>
      <c r="R105" s="22" t="s">
        <v>122</v>
      </c>
    </row>
    <row r="106" spans="1:18" ht="84.95" customHeight="1" x14ac:dyDescent="0.25">
      <c r="A106" s="3" t="s">
        <v>516</v>
      </c>
      <c r="B106" s="34" t="s">
        <v>539</v>
      </c>
      <c r="C106" s="35">
        <v>41774</v>
      </c>
      <c r="D106" s="35"/>
      <c r="E106" s="34" t="s">
        <v>539</v>
      </c>
      <c r="F106" s="35" t="s">
        <v>539</v>
      </c>
      <c r="G106" s="36" t="str">
        <f>+"14-NOV-2013"</f>
        <v>14-NOV-2013</v>
      </c>
      <c r="H106" s="63">
        <f t="shared" si="1"/>
        <v>403</v>
      </c>
      <c r="I106" s="3" t="str">
        <f>+""</f>
        <v/>
      </c>
      <c r="J106" s="38"/>
      <c r="K106" s="3"/>
      <c r="L106" s="35"/>
      <c r="M106" s="3" t="s">
        <v>21</v>
      </c>
      <c r="N106" s="3" t="s">
        <v>517</v>
      </c>
      <c r="O106" s="3" t="s">
        <v>15</v>
      </c>
      <c r="P106" s="3" t="s">
        <v>16</v>
      </c>
      <c r="Q106" s="3" t="s">
        <v>14</v>
      </c>
      <c r="R106" s="22" t="s">
        <v>189</v>
      </c>
    </row>
    <row r="107" spans="1:18" ht="84.95" customHeight="1" x14ac:dyDescent="0.25">
      <c r="A107" s="3" t="s">
        <v>518</v>
      </c>
      <c r="B107" s="34">
        <v>41696</v>
      </c>
      <c r="C107" s="35">
        <v>41911</v>
      </c>
      <c r="D107" s="35"/>
      <c r="E107" s="34" t="s">
        <v>539</v>
      </c>
      <c r="F107" s="35" t="s">
        <v>539</v>
      </c>
      <c r="G107" s="36" t="str">
        <f>+"14-NOV-2013"</f>
        <v>14-NOV-2013</v>
      </c>
      <c r="H107" s="63">
        <f t="shared" si="1"/>
        <v>403</v>
      </c>
      <c r="I107" s="3" t="str">
        <f>+""</f>
        <v/>
      </c>
      <c r="J107" s="38"/>
      <c r="K107" s="3"/>
      <c r="L107" s="35"/>
      <c r="M107" s="3" t="s">
        <v>21</v>
      </c>
      <c r="N107" s="3" t="s">
        <v>519</v>
      </c>
      <c r="O107" s="3" t="s">
        <v>15</v>
      </c>
      <c r="P107" s="3" t="s">
        <v>16</v>
      </c>
      <c r="Q107" s="3" t="s">
        <v>38</v>
      </c>
      <c r="R107" s="22" t="s">
        <v>166</v>
      </c>
    </row>
    <row r="108" spans="1:18" ht="84.95" customHeight="1" x14ac:dyDescent="0.25">
      <c r="A108" s="3" t="s">
        <v>239</v>
      </c>
      <c r="B108" s="34">
        <v>41787</v>
      </c>
      <c r="C108" s="35">
        <v>41934</v>
      </c>
      <c r="D108" s="35"/>
      <c r="E108" s="34">
        <v>41988</v>
      </c>
      <c r="F108" s="35" t="s">
        <v>539</v>
      </c>
      <c r="G108" s="36" t="str">
        <f>+"02-DEC-2013"</f>
        <v>02-DEC-2013</v>
      </c>
      <c r="H108" s="63">
        <f t="shared" si="1"/>
        <v>385</v>
      </c>
      <c r="I108" s="3" t="str">
        <f>+""</f>
        <v/>
      </c>
      <c r="J108" s="38"/>
      <c r="K108" s="3"/>
      <c r="L108" s="35"/>
      <c r="M108" s="3" t="s">
        <v>21</v>
      </c>
      <c r="N108" s="3" t="s">
        <v>240</v>
      </c>
      <c r="O108" s="3" t="s">
        <v>15</v>
      </c>
      <c r="P108" s="3" t="s">
        <v>19</v>
      </c>
      <c r="Q108" s="3" t="s">
        <v>17</v>
      </c>
      <c r="R108" s="22" t="s">
        <v>30</v>
      </c>
    </row>
    <row r="109" spans="1:18" ht="84.95" customHeight="1" x14ac:dyDescent="0.25">
      <c r="A109" s="3" t="s">
        <v>243</v>
      </c>
      <c r="B109" s="34">
        <v>41878</v>
      </c>
      <c r="C109" s="35" t="s">
        <v>539</v>
      </c>
      <c r="D109" s="35"/>
      <c r="E109" s="34" t="s">
        <v>539</v>
      </c>
      <c r="F109" s="35" t="s">
        <v>539</v>
      </c>
      <c r="G109" s="36" t="str">
        <f>+"02-DEC-2013"</f>
        <v>02-DEC-2013</v>
      </c>
      <c r="H109" s="63">
        <f t="shared" si="1"/>
        <v>385</v>
      </c>
      <c r="I109" s="3" t="str">
        <f>+""</f>
        <v/>
      </c>
      <c r="J109" s="38"/>
      <c r="K109" s="3"/>
      <c r="L109" s="35"/>
      <c r="M109" s="3" t="s">
        <v>21</v>
      </c>
      <c r="N109" s="3" t="s">
        <v>244</v>
      </c>
      <c r="O109" s="3" t="s">
        <v>15</v>
      </c>
      <c r="P109" s="3" t="s">
        <v>27</v>
      </c>
      <c r="Q109" s="3" t="s">
        <v>43</v>
      </c>
      <c r="R109" s="22" t="s">
        <v>163</v>
      </c>
    </row>
    <row r="110" spans="1:18" ht="84.95" customHeight="1" x14ac:dyDescent="0.25">
      <c r="A110" s="3" t="s">
        <v>241</v>
      </c>
      <c r="B110" s="34">
        <v>41765</v>
      </c>
      <c r="C110" s="35" t="s">
        <v>539</v>
      </c>
      <c r="D110" s="35"/>
      <c r="E110" s="34" t="s">
        <v>539</v>
      </c>
      <c r="F110" s="35" t="s">
        <v>539</v>
      </c>
      <c r="G110" s="36" t="str">
        <f>+"04-DEC-2013"</f>
        <v>04-DEC-2013</v>
      </c>
      <c r="H110" s="63">
        <f t="shared" si="1"/>
        <v>383</v>
      </c>
      <c r="I110" s="3" t="str">
        <f>+""</f>
        <v/>
      </c>
      <c r="J110" s="38"/>
      <c r="K110" s="3"/>
      <c r="L110" s="35"/>
      <c r="M110" s="3" t="s">
        <v>21</v>
      </c>
      <c r="N110" s="3" t="s">
        <v>242</v>
      </c>
      <c r="O110" s="3" t="s">
        <v>15</v>
      </c>
      <c r="P110" s="3" t="s">
        <v>27</v>
      </c>
      <c r="Q110" s="3" t="s">
        <v>43</v>
      </c>
      <c r="R110" s="22" t="s">
        <v>53</v>
      </c>
    </row>
    <row r="111" spans="1:18" ht="84.95" customHeight="1" x14ac:dyDescent="0.25">
      <c r="A111" s="3" t="s">
        <v>392</v>
      </c>
      <c r="B111" s="34">
        <v>41759</v>
      </c>
      <c r="C111" s="35">
        <v>41822</v>
      </c>
      <c r="D111" s="35"/>
      <c r="E111" s="34">
        <v>41974</v>
      </c>
      <c r="F111" s="35">
        <v>41780</v>
      </c>
      <c r="G111" s="36" t="str">
        <f>+"06-DEC-2013"</f>
        <v>06-DEC-2013</v>
      </c>
      <c r="H111" s="63">
        <f t="shared" si="1"/>
        <v>381</v>
      </c>
      <c r="I111" s="3" t="str">
        <f>+""</f>
        <v/>
      </c>
      <c r="J111" s="38"/>
      <c r="K111" s="3"/>
      <c r="L111" s="35"/>
      <c r="M111" s="3" t="s">
        <v>11</v>
      </c>
      <c r="N111" s="3" t="s">
        <v>393</v>
      </c>
      <c r="O111" s="3" t="s">
        <v>15</v>
      </c>
      <c r="P111" s="3" t="s">
        <v>27</v>
      </c>
      <c r="Q111" s="3" t="s">
        <v>43</v>
      </c>
      <c r="R111" s="22" t="s">
        <v>589</v>
      </c>
    </row>
    <row r="112" spans="1:18" ht="84.95" customHeight="1" x14ac:dyDescent="0.25">
      <c r="A112" s="3" t="s">
        <v>245</v>
      </c>
      <c r="B112" s="34">
        <v>41932</v>
      </c>
      <c r="C112" s="35">
        <v>41746</v>
      </c>
      <c r="D112" s="35"/>
      <c r="E112" s="34">
        <v>41918</v>
      </c>
      <c r="F112" s="35" t="s">
        <v>539</v>
      </c>
      <c r="G112" s="36" t="str">
        <f>+"19-DEC-2013"</f>
        <v>19-DEC-2013</v>
      </c>
      <c r="H112" s="63">
        <f t="shared" si="1"/>
        <v>368</v>
      </c>
      <c r="I112" s="3" t="str">
        <f>+""</f>
        <v/>
      </c>
      <c r="J112" s="38"/>
      <c r="K112" s="3"/>
      <c r="L112" s="35"/>
      <c r="M112" s="3" t="s">
        <v>11</v>
      </c>
      <c r="N112" s="3" t="s">
        <v>246</v>
      </c>
      <c r="O112" s="3" t="s">
        <v>15</v>
      </c>
      <c r="P112" s="3" t="s">
        <v>67</v>
      </c>
      <c r="Q112" s="3" t="s">
        <v>38</v>
      </c>
      <c r="R112" s="22" t="s">
        <v>645</v>
      </c>
    </row>
    <row r="113" spans="1:18" ht="84.95" customHeight="1" x14ac:dyDescent="0.25">
      <c r="A113" s="3" t="s">
        <v>520</v>
      </c>
      <c r="B113" s="34">
        <v>41695</v>
      </c>
      <c r="C113" s="35">
        <v>41765</v>
      </c>
      <c r="D113" s="35"/>
      <c r="E113" s="34" t="s">
        <v>539</v>
      </c>
      <c r="F113" s="35" t="s">
        <v>539</v>
      </c>
      <c r="G113" s="36" t="str">
        <f>+"19-DEC-2013"</f>
        <v>19-DEC-2013</v>
      </c>
      <c r="H113" s="63">
        <f t="shared" si="1"/>
        <v>368</v>
      </c>
      <c r="I113" s="3" t="str">
        <f>+""</f>
        <v/>
      </c>
      <c r="J113" s="38"/>
      <c r="K113" s="3"/>
      <c r="L113" s="35"/>
      <c r="M113" s="3" t="s">
        <v>11</v>
      </c>
      <c r="N113" s="3" t="s">
        <v>494</v>
      </c>
      <c r="O113" s="3" t="s">
        <v>15</v>
      </c>
      <c r="P113" s="3" t="s">
        <v>16</v>
      </c>
      <c r="Q113" s="3" t="s">
        <v>43</v>
      </c>
      <c r="R113" s="22" t="s">
        <v>285</v>
      </c>
    </row>
    <row r="114" spans="1:18" ht="84.95" customHeight="1" x14ac:dyDescent="0.25">
      <c r="A114" s="3" t="s">
        <v>521</v>
      </c>
      <c r="B114" s="34">
        <v>41681</v>
      </c>
      <c r="C114" s="35">
        <v>41821</v>
      </c>
      <c r="D114" s="35"/>
      <c r="E114" s="34" t="s">
        <v>539</v>
      </c>
      <c r="F114" s="35" t="s">
        <v>539</v>
      </c>
      <c r="G114" s="36" t="str">
        <f>+"19-DEC-2013"</f>
        <v>19-DEC-2013</v>
      </c>
      <c r="H114" s="63">
        <f t="shared" si="1"/>
        <v>368</v>
      </c>
      <c r="I114" s="3" t="str">
        <f>+""</f>
        <v/>
      </c>
      <c r="J114" s="38"/>
      <c r="K114" s="3"/>
      <c r="L114" s="35"/>
      <c r="M114" s="3" t="s">
        <v>21</v>
      </c>
      <c r="N114" s="3" t="s">
        <v>522</v>
      </c>
      <c r="O114" s="3" t="s">
        <v>15</v>
      </c>
      <c r="P114" s="3" t="s">
        <v>19</v>
      </c>
      <c r="Q114" s="3" t="s">
        <v>17</v>
      </c>
      <c r="R114" s="22" t="s">
        <v>122</v>
      </c>
    </row>
    <row r="115" spans="1:18" ht="84.95" customHeight="1" x14ac:dyDescent="0.25">
      <c r="A115" s="3" t="s">
        <v>247</v>
      </c>
      <c r="B115" s="34">
        <v>41711</v>
      </c>
      <c r="C115" s="35">
        <v>41764</v>
      </c>
      <c r="D115" s="35"/>
      <c r="E115" s="34" t="s">
        <v>539</v>
      </c>
      <c r="F115" s="35">
        <v>41733</v>
      </c>
      <c r="G115" s="36" t="str">
        <f>+"20-DEC-2013"</f>
        <v>20-DEC-2013</v>
      </c>
      <c r="H115" s="63">
        <f t="shared" si="1"/>
        <v>367</v>
      </c>
      <c r="I115" s="3" t="str">
        <f>+""</f>
        <v/>
      </c>
      <c r="J115" s="38"/>
      <c r="K115" s="3"/>
      <c r="L115" s="35"/>
      <c r="M115" s="3" t="s">
        <v>11</v>
      </c>
      <c r="N115" s="3" t="s">
        <v>248</v>
      </c>
      <c r="O115" s="3" t="s">
        <v>15</v>
      </c>
      <c r="P115" s="3" t="s">
        <v>67</v>
      </c>
      <c r="Q115" s="3" t="s">
        <v>23</v>
      </c>
      <c r="R115" s="22" t="s">
        <v>18</v>
      </c>
    </row>
    <row r="116" spans="1:18" ht="84.95" customHeight="1" x14ac:dyDescent="0.25">
      <c r="A116" s="3" t="s">
        <v>249</v>
      </c>
      <c r="B116" s="34">
        <v>41932</v>
      </c>
      <c r="C116" s="35" t="s">
        <v>539</v>
      </c>
      <c r="D116" s="35"/>
      <c r="E116" s="34" t="s">
        <v>539</v>
      </c>
      <c r="F116" s="35" t="s">
        <v>539</v>
      </c>
      <c r="G116" s="36" t="str">
        <f>+"23-DEC-2013"</f>
        <v>23-DEC-2013</v>
      </c>
      <c r="H116" s="63">
        <f t="shared" si="1"/>
        <v>364</v>
      </c>
      <c r="I116" s="3" t="str">
        <f>+""</f>
        <v/>
      </c>
      <c r="J116" s="38"/>
      <c r="K116" s="3"/>
      <c r="L116" s="35"/>
      <c r="M116" s="3" t="s">
        <v>21</v>
      </c>
      <c r="N116" s="3" t="s">
        <v>667</v>
      </c>
      <c r="O116" s="3" t="s">
        <v>15</v>
      </c>
      <c r="P116" s="3" t="s">
        <v>52</v>
      </c>
      <c r="Q116" s="3" t="s">
        <v>14</v>
      </c>
      <c r="R116" s="22" t="s">
        <v>108</v>
      </c>
    </row>
    <row r="117" spans="1:18" ht="84.95" customHeight="1" x14ac:dyDescent="0.25">
      <c r="A117" s="3" t="s">
        <v>250</v>
      </c>
      <c r="B117" s="34">
        <v>41730</v>
      </c>
      <c r="C117" s="35">
        <v>41746</v>
      </c>
      <c r="D117" s="35"/>
      <c r="E117" s="34">
        <v>41807</v>
      </c>
      <c r="F117" s="35">
        <v>41855</v>
      </c>
      <c r="G117" s="36" t="str">
        <f>+"02-JAN-2014"</f>
        <v>02-JAN-2014</v>
      </c>
      <c r="H117" s="63">
        <f t="shared" si="1"/>
        <v>354</v>
      </c>
      <c r="I117" s="3" t="str">
        <f>+""</f>
        <v/>
      </c>
      <c r="J117" s="38"/>
      <c r="K117" s="3"/>
      <c r="L117" s="35"/>
      <c r="M117" s="3" t="s">
        <v>11</v>
      </c>
      <c r="N117" s="3" t="s">
        <v>671</v>
      </c>
      <c r="O117" s="3" t="s">
        <v>15</v>
      </c>
      <c r="P117" s="3" t="s">
        <v>19</v>
      </c>
      <c r="Q117" s="3" t="s">
        <v>38</v>
      </c>
      <c r="R117" s="22" t="s">
        <v>53</v>
      </c>
    </row>
    <row r="118" spans="1:18" ht="84.95" customHeight="1" x14ac:dyDescent="0.25">
      <c r="A118" s="3" t="s">
        <v>252</v>
      </c>
      <c r="B118" s="34">
        <v>41708</v>
      </c>
      <c r="C118" s="35">
        <v>41731</v>
      </c>
      <c r="D118" s="35"/>
      <c r="E118" s="34">
        <v>41757</v>
      </c>
      <c r="F118" s="35">
        <v>41775</v>
      </c>
      <c r="G118" s="36" t="str">
        <f>+"10-JAN-2014"</f>
        <v>10-JAN-2014</v>
      </c>
      <c r="H118" s="63">
        <f t="shared" si="1"/>
        <v>346</v>
      </c>
      <c r="I118" s="3" t="str">
        <f>+""</f>
        <v/>
      </c>
      <c r="J118" s="38"/>
      <c r="K118" s="3"/>
      <c r="L118" s="35"/>
      <c r="M118" s="3" t="s">
        <v>11</v>
      </c>
      <c r="N118" s="3" t="s">
        <v>774</v>
      </c>
      <c r="O118" s="3" t="s">
        <v>15</v>
      </c>
      <c r="P118" s="3" t="s">
        <v>16</v>
      </c>
      <c r="Q118" s="3" t="s">
        <v>14</v>
      </c>
      <c r="R118" s="22" t="s">
        <v>623</v>
      </c>
    </row>
    <row r="119" spans="1:18" ht="84.95" customHeight="1" x14ac:dyDescent="0.25">
      <c r="A119" s="3" t="s">
        <v>394</v>
      </c>
      <c r="B119" s="34">
        <v>41792</v>
      </c>
      <c r="C119" s="35" t="s">
        <v>539</v>
      </c>
      <c r="D119" s="35"/>
      <c r="E119" s="34" t="s">
        <v>539</v>
      </c>
      <c r="F119" s="35" t="s">
        <v>539</v>
      </c>
      <c r="G119" s="36" t="str">
        <f>+"10-JAN-2014"</f>
        <v>10-JAN-2014</v>
      </c>
      <c r="H119" s="63">
        <f t="shared" si="1"/>
        <v>346</v>
      </c>
      <c r="I119" s="3" t="str">
        <f>+""</f>
        <v/>
      </c>
      <c r="J119" s="38"/>
      <c r="K119" s="3"/>
      <c r="L119" s="35"/>
      <c r="M119" s="3" t="s">
        <v>11</v>
      </c>
      <c r="N119" s="3" t="s">
        <v>395</v>
      </c>
      <c r="O119" s="3" t="s">
        <v>15</v>
      </c>
      <c r="P119" s="3" t="s">
        <v>67</v>
      </c>
      <c r="Q119" s="3" t="s">
        <v>23</v>
      </c>
      <c r="R119" s="22" t="s">
        <v>35</v>
      </c>
    </row>
    <row r="120" spans="1:18" ht="102" customHeight="1" x14ac:dyDescent="0.25">
      <c r="A120" s="3" t="s">
        <v>447</v>
      </c>
      <c r="B120" s="34">
        <v>41746</v>
      </c>
      <c r="C120" s="35">
        <v>41802</v>
      </c>
      <c r="D120" s="35"/>
      <c r="E120" s="34">
        <v>41842</v>
      </c>
      <c r="F120" s="35">
        <v>41908</v>
      </c>
      <c r="G120" s="36" t="str">
        <f>+"16-JAN-2014"</f>
        <v>16-JAN-2014</v>
      </c>
      <c r="H120" s="63">
        <f t="shared" si="1"/>
        <v>340</v>
      </c>
      <c r="I120" s="3" t="str">
        <f>+""</f>
        <v/>
      </c>
      <c r="J120" s="38"/>
      <c r="K120" s="3"/>
      <c r="L120" s="35"/>
      <c r="M120" s="3" t="s">
        <v>11</v>
      </c>
      <c r="N120" s="3" t="s">
        <v>670</v>
      </c>
      <c r="O120" s="3" t="s">
        <v>15</v>
      </c>
      <c r="P120" s="3" t="s">
        <v>52</v>
      </c>
      <c r="Q120" s="3" t="s">
        <v>38</v>
      </c>
      <c r="R120" s="22" t="s">
        <v>227</v>
      </c>
    </row>
    <row r="121" spans="1:18" s="56" customFormat="1" ht="84.95" customHeight="1" x14ac:dyDescent="0.25">
      <c r="A121" s="3" t="s">
        <v>254</v>
      </c>
      <c r="B121" s="34">
        <v>41744</v>
      </c>
      <c r="C121" s="35">
        <v>41773</v>
      </c>
      <c r="D121" s="35"/>
      <c r="E121" s="34">
        <v>41836</v>
      </c>
      <c r="F121" s="35" t="s">
        <v>539</v>
      </c>
      <c r="G121" s="36" t="str">
        <f>+"17-JAN-2014"</f>
        <v>17-JAN-2014</v>
      </c>
      <c r="H121" s="63">
        <f t="shared" si="1"/>
        <v>339</v>
      </c>
      <c r="I121" s="3" t="str">
        <f>+""</f>
        <v/>
      </c>
      <c r="J121" s="38"/>
      <c r="K121" s="3"/>
      <c r="L121" s="35"/>
      <c r="M121" s="3" t="s">
        <v>21</v>
      </c>
      <c r="N121" s="3" t="s">
        <v>718</v>
      </c>
      <c r="O121" s="3" t="s">
        <v>15</v>
      </c>
      <c r="P121" s="3" t="s">
        <v>19</v>
      </c>
      <c r="Q121" s="3" t="s">
        <v>17</v>
      </c>
      <c r="R121" s="22" t="s">
        <v>79</v>
      </c>
    </row>
    <row r="122" spans="1:18" ht="84.95" customHeight="1" x14ac:dyDescent="0.25">
      <c r="A122" s="3" t="s">
        <v>255</v>
      </c>
      <c r="B122" s="34">
        <v>41905</v>
      </c>
      <c r="C122" s="35" t="s">
        <v>539</v>
      </c>
      <c r="D122" s="35"/>
      <c r="E122" s="34" t="s">
        <v>539</v>
      </c>
      <c r="F122" s="35" t="s">
        <v>539</v>
      </c>
      <c r="G122" s="36" t="str">
        <f>+"27-JAN-2014"</f>
        <v>27-JAN-2014</v>
      </c>
      <c r="H122" s="63">
        <f t="shared" si="1"/>
        <v>329</v>
      </c>
      <c r="I122" s="3" t="str">
        <f>+""</f>
        <v/>
      </c>
      <c r="J122" s="38"/>
      <c r="K122" s="3"/>
      <c r="L122" s="35"/>
      <c r="M122" s="3" t="s">
        <v>21</v>
      </c>
      <c r="N122" s="3" t="s">
        <v>256</v>
      </c>
      <c r="O122" s="3" t="s">
        <v>15</v>
      </c>
      <c r="P122" s="3" t="s">
        <v>27</v>
      </c>
      <c r="Q122" s="3" t="s">
        <v>43</v>
      </c>
      <c r="R122" s="22" t="s">
        <v>30</v>
      </c>
    </row>
    <row r="123" spans="1:18" ht="84.95" customHeight="1" x14ac:dyDescent="0.25">
      <c r="A123" s="3" t="s">
        <v>259</v>
      </c>
      <c r="B123" s="34">
        <v>41877</v>
      </c>
      <c r="C123" s="35" t="s">
        <v>539</v>
      </c>
      <c r="D123" s="35"/>
      <c r="E123" s="34" t="s">
        <v>539</v>
      </c>
      <c r="F123" s="35" t="s">
        <v>539</v>
      </c>
      <c r="G123" s="36" t="str">
        <f>+"30-JAN-2014"</f>
        <v>30-JAN-2014</v>
      </c>
      <c r="H123" s="63">
        <f t="shared" si="1"/>
        <v>326</v>
      </c>
      <c r="I123" s="3" t="str">
        <f>+""</f>
        <v/>
      </c>
      <c r="J123" s="38"/>
      <c r="K123" s="3"/>
      <c r="L123" s="35"/>
      <c r="M123" s="3" t="s">
        <v>21</v>
      </c>
      <c r="N123" s="3" t="s">
        <v>260</v>
      </c>
      <c r="O123" s="3" t="s">
        <v>15</v>
      </c>
      <c r="P123" s="3" t="s">
        <v>27</v>
      </c>
      <c r="Q123" s="3" t="s">
        <v>43</v>
      </c>
      <c r="R123" s="22" t="s">
        <v>163</v>
      </c>
    </row>
    <row r="124" spans="1:18" ht="84.95" customHeight="1" x14ac:dyDescent="0.25">
      <c r="A124" s="3" t="s">
        <v>257</v>
      </c>
      <c r="B124" s="34">
        <v>41731</v>
      </c>
      <c r="C124" s="35">
        <v>41774</v>
      </c>
      <c r="D124" s="35"/>
      <c r="E124" s="34" t="s">
        <v>539</v>
      </c>
      <c r="F124" s="35" t="s">
        <v>539</v>
      </c>
      <c r="G124" s="36" t="str">
        <f>+"31-JAN-2014"</f>
        <v>31-JAN-2014</v>
      </c>
      <c r="H124" s="63">
        <f t="shared" si="1"/>
        <v>325</v>
      </c>
      <c r="I124" s="3" t="str">
        <f>+""</f>
        <v/>
      </c>
      <c r="J124" s="38"/>
      <c r="K124" s="3"/>
      <c r="L124" s="35"/>
      <c r="M124" s="3" t="s">
        <v>11</v>
      </c>
      <c r="N124" s="3" t="s">
        <v>258</v>
      </c>
      <c r="O124" s="3" t="s">
        <v>15</v>
      </c>
      <c r="P124" s="3" t="s">
        <v>16</v>
      </c>
      <c r="Q124" s="3" t="s">
        <v>23</v>
      </c>
      <c r="R124" s="22" t="s">
        <v>49</v>
      </c>
    </row>
    <row r="125" spans="1:18" ht="84.95" customHeight="1" x14ac:dyDescent="0.25">
      <c r="A125" s="3" t="s">
        <v>261</v>
      </c>
      <c r="B125" s="34">
        <v>41878</v>
      </c>
      <c r="C125" s="35" t="s">
        <v>539</v>
      </c>
      <c r="D125" s="35"/>
      <c r="E125" s="34" t="s">
        <v>539</v>
      </c>
      <c r="F125" s="35" t="s">
        <v>539</v>
      </c>
      <c r="G125" s="36" t="str">
        <f>+"31-JAN-2014"</f>
        <v>31-JAN-2014</v>
      </c>
      <c r="H125" s="63">
        <f t="shared" si="1"/>
        <v>325</v>
      </c>
      <c r="I125" s="3" t="str">
        <f>+""</f>
        <v/>
      </c>
      <c r="J125" s="38"/>
      <c r="K125" s="3"/>
      <c r="L125" s="35"/>
      <c r="M125" s="3" t="s">
        <v>21</v>
      </c>
      <c r="N125" s="3" t="s">
        <v>262</v>
      </c>
      <c r="O125" s="3" t="s">
        <v>15</v>
      </c>
      <c r="P125" s="3" t="s">
        <v>27</v>
      </c>
      <c r="Q125" s="3" t="s">
        <v>43</v>
      </c>
      <c r="R125" s="22" t="s">
        <v>163</v>
      </c>
    </row>
    <row r="126" spans="1:18" ht="84.95" customHeight="1" x14ac:dyDescent="0.25">
      <c r="A126" s="3" t="s">
        <v>523</v>
      </c>
      <c r="B126" s="34">
        <v>41746</v>
      </c>
      <c r="C126" s="35">
        <v>41779</v>
      </c>
      <c r="D126" s="35"/>
      <c r="E126" s="34" t="s">
        <v>539</v>
      </c>
      <c r="F126" s="35" t="s">
        <v>539</v>
      </c>
      <c r="G126" s="36" t="str">
        <f>+"05-FEB-2014"</f>
        <v>05-FEB-2014</v>
      </c>
      <c r="H126" s="63">
        <f t="shared" si="1"/>
        <v>320</v>
      </c>
      <c r="I126" s="3" t="str">
        <f>+""</f>
        <v/>
      </c>
      <c r="J126" s="38"/>
      <c r="K126" s="3"/>
      <c r="L126" s="35"/>
      <c r="M126" s="3" t="s">
        <v>11</v>
      </c>
      <c r="N126" s="3" t="s">
        <v>668</v>
      </c>
      <c r="O126" s="3" t="s">
        <v>15</v>
      </c>
      <c r="P126" s="3" t="s">
        <v>16</v>
      </c>
      <c r="Q126" s="3" t="s">
        <v>38</v>
      </c>
      <c r="R126" s="22" t="s">
        <v>524</v>
      </c>
    </row>
    <row r="127" spans="1:18" ht="84.95" customHeight="1" x14ac:dyDescent="0.25">
      <c r="A127" s="3" t="s">
        <v>398</v>
      </c>
      <c r="B127" s="34">
        <v>41828</v>
      </c>
      <c r="C127" s="35" t="s">
        <v>539</v>
      </c>
      <c r="D127" s="35"/>
      <c r="E127" s="34" t="s">
        <v>539</v>
      </c>
      <c r="F127" s="35" t="s">
        <v>539</v>
      </c>
      <c r="G127" s="36" t="str">
        <f>+"18-FEB-2014"</f>
        <v>18-FEB-2014</v>
      </c>
      <c r="H127" s="63">
        <f t="shared" si="1"/>
        <v>307</v>
      </c>
      <c r="I127" s="3" t="str">
        <f>+""</f>
        <v/>
      </c>
      <c r="J127" s="38"/>
      <c r="K127" s="3"/>
      <c r="L127" s="35"/>
      <c r="M127" s="3" t="s">
        <v>11</v>
      </c>
      <c r="N127" s="3" t="s">
        <v>399</v>
      </c>
      <c r="O127" s="3" t="s">
        <v>15</v>
      </c>
      <c r="P127" s="3" t="s">
        <v>27</v>
      </c>
      <c r="Q127" s="3" t="s">
        <v>23</v>
      </c>
      <c r="R127" s="22" t="s">
        <v>400</v>
      </c>
    </row>
    <row r="128" spans="1:18" ht="111.75" customHeight="1" x14ac:dyDescent="0.25">
      <c r="A128" s="3" t="s">
        <v>401</v>
      </c>
      <c r="B128" s="34">
        <v>41814</v>
      </c>
      <c r="C128" s="35" t="s">
        <v>539</v>
      </c>
      <c r="D128" s="35"/>
      <c r="E128" s="34" t="s">
        <v>539</v>
      </c>
      <c r="F128" s="35" t="s">
        <v>539</v>
      </c>
      <c r="G128" s="36" t="str">
        <f>+"25-FEB-2014"</f>
        <v>25-FEB-2014</v>
      </c>
      <c r="H128" s="63">
        <f t="shared" si="1"/>
        <v>300</v>
      </c>
      <c r="I128" s="3" t="str">
        <f>+""</f>
        <v/>
      </c>
      <c r="J128" s="38"/>
      <c r="K128" s="3"/>
      <c r="L128" s="35"/>
      <c r="M128" s="3" t="s">
        <v>11</v>
      </c>
      <c r="N128" s="3" t="s">
        <v>402</v>
      </c>
      <c r="O128" s="3" t="s">
        <v>15</v>
      </c>
      <c r="P128" s="3" t="s">
        <v>19</v>
      </c>
      <c r="Q128" s="3" t="s">
        <v>17</v>
      </c>
      <c r="R128" s="22" t="s">
        <v>403</v>
      </c>
    </row>
    <row r="129" spans="1:18" ht="84.95" customHeight="1" x14ac:dyDescent="0.25">
      <c r="A129" s="3" t="s">
        <v>264</v>
      </c>
      <c r="B129" s="34">
        <v>41778</v>
      </c>
      <c r="C129" s="35">
        <v>41794</v>
      </c>
      <c r="D129" s="35"/>
      <c r="E129" s="34" t="s">
        <v>539</v>
      </c>
      <c r="F129" s="35" t="s">
        <v>539</v>
      </c>
      <c r="G129" s="36" t="str">
        <f>+"28-FEB-2014"</f>
        <v>28-FEB-2014</v>
      </c>
      <c r="H129" s="63">
        <f t="shared" si="1"/>
        <v>297</v>
      </c>
      <c r="I129" s="3" t="str">
        <f>+""</f>
        <v/>
      </c>
      <c r="J129" s="38"/>
      <c r="K129" s="3"/>
      <c r="L129" s="35"/>
      <c r="M129" s="3" t="s">
        <v>11</v>
      </c>
      <c r="N129" s="3" t="s">
        <v>265</v>
      </c>
      <c r="O129" s="3" t="s">
        <v>15</v>
      </c>
      <c r="P129" s="3" t="s">
        <v>16</v>
      </c>
      <c r="Q129" s="3" t="s">
        <v>23</v>
      </c>
      <c r="R129" s="22" t="s">
        <v>49</v>
      </c>
    </row>
    <row r="130" spans="1:18" ht="84.95" customHeight="1" x14ac:dyDescent="0.25">
      <c r="A130" s="3" t="s">
        <v>270</v>
      </c>
      <c r="B130" s="34" t="s">
        <v>539</v>
      </c>
      <c r="C130" s="35" t="s">
        <v>539</v>
      </c>
      <c r="D130" s="35"/>
      <c r="E130" s="34" t="s">
        <v>539</v>
      </c>
      <c r="F130" s="35" t="s">
        <v>539</v>
      </c>
      <c r="G130" s="36" t="str">
        <f>+"05-MAR-2014"</f>
        <v>05-MAR-2014</v>
      </c>
      <c r="H130" s="63">
        <f t="shared" si="1"/>
        <v>292</v>
      </c>
      <c r="I130" s="3" t="str">
        <f>+""</f>
        <v/>
      </c>
      <c r="J130" s="38"/>
      <c r="K130" s="3"/>
      <c r="L130" s="35"/>
      <c r="M130" s="3" t="s">
        <v>21</v>
      </c>
      <c r="N130" s="3" t="s">
        <v>271</v>
      </c>
      <c r="O130" s="3" t="s">
        <v>15</v>
      </c>
      <c r="P130" s="3" t="s">
        <v>27</v>
      </c>
      <c r="Q130" s="3" t="s">
        <v>43</v>
      </c>
      <c r="R130" s="22" t="s">
        <v>53</v>
      </c>
    </row>
    <row r="131" spans="1:18" ht="112.5" customHeight="1" x14ac:dyDescent="0.25">
      <c r="A131" s="3" t="s">
        <v>268</v>
      </c>
      <c r="B131" s="34" t="s">
        <v>539</v>
      </c>
      <c r="C131" s="35" t="s">
        <v>539</v>
      </c>
      <c r="D131" s="35"/>
      <c r="E131" s="34" t="s">
        <v>539</v>
      </c>
      <c r="F131" s="35" t="s">
        <v>539</v>
      </c>
      <c r="G131" s="36" t="str">
        <f>+"10-MAR-2014"</f>
        <v>10-MAR-2014</v>
      </c>
      <c r="H131" s="63">
        <f t="shared" ref="H131:H194" si="2">DATE(2014, 12, 22) - G131</f>
        <v>287</v>
      </c>
      <c r="I131" s="3" t="str">
        <f>+""</f>
        <v/>
      </c>
      <c r="J131" s="38"/>
      <c r="K131" s="3"/>
      <c r="L131" s="35"/>
      <c r="M131" s="3" t="s">
        <v>21</v>
      </c>
      <c r="N131" s="3" t="s">
        <v>269</v>
      </c>
      <c r="O131" s="3" t="s">
        <v>15</v>
      </c>
      <c r="P131" s="3" t="s">
        <v>27</v>
      </c>
      <c r="Q131" s="3" t="s">
        <v>38</v>
      </c>
      <c r="R131" s="22" t="s">
        <v>66</v>
      </c>
    </row>
    <row r="132" spans="1:18" s="56" customFormat="1" ht="102" customHeight="1" x14ac:dyDescent="0.25">
      <c r="A132" s="3" t="s">
        <v>525</v>
      </c>
      <c r="B132" s="34" t="s">
        <v>539</v>
      </c>
      <c r="C132" s="35" t="s">
        <v>539</v>
      </c>
      <c r="D132" s="35"/>
      <c r="E132" s="34" t="s">
        <v>539</v>
      </c>
      <c r="F132" s="35" t="s">
        <v>539</v>
      </c>
      <c r="G132" s="36" t="str">
        <f>+"13-MAR-2014"</f>
        <v>13-MAR-2014</v>
      </c>
      <c r="H132" s="63">
        <f t="shared" si="2"/>
        <v>284</v>
      </c>
      <c r="I132" s="3" t="str">
        <f>+""</f>
        <v/>
      </c>
      <c r="J132" s="38"/>
      <c r="K132" s="3"/>
      <c r="L132" s="35"/>
      <c r="M132" s="3" t="s">
        <v>11</v>
      </c>
      <c r="N132" s="3" t="s">
        <v>526</v>
      </c>
      <c r="O132" s="3" t="s">
        <v>15</v>
      </c>
      <c r="P132" s="3" t="s">
        <v>67</v>
      </c>
      <c r="Q132" s="3" t="s">
        <v>38</v>
      </c>
      <c r="R132" s="22" t="s">
        <v>65</v>
      </c>
    </row>
    <row r="133" spans="1:18" ht="84.95" customHeight="1" x14ac:dyDescent="0.25">
      <c r="A133" s="3" t="s">
        <v>527</v>
      </c>
      <c r="B133" s="34">
        <v>41758</v>
      </c>
      <c r="C133" s="35">
        <v>41827</v>
      </c>
      <c r="D133" s="35"/>
      <c r="E133" s="34" t="s">
        <v>539</v>
      </c>
      <c r="F133" s="35" t="s">
        <v>539</v>
      </c>
      <c r="G133" s="36" t="str">
        <f>+"13-MAR-2014"</f>
        <v>13-MAR-2014</v>
      </c>
      <c r="H133" s="63">
        <f t="shared" si="2"/>
        <v>284</v>
      </c>
      <c r="I133" s="3" t="str">
        <f>+""</f>
        <v/>
      </c>
      <c r="J133" s="38"/>
      <c r="K133" s="3"/>
      <c r="L133" s="35"/>
      <c r="M133" s="3" t="s">
        <v>21</v>
      </c>
      <c r="N133" s="3" t="s">
        <v>528</v>
      </c>
      <c r="O133" s="3" t="s">
        <v>15</v>
      </c>
      <c r="P133" s="3" t="s">
        <v>67</v>
      </c>
      <c r="Q133" s="3" t="s">
        <v>38</v>
      </c>
      <c r="R133" s="22" t="s">
        <v>65</v>
      </c>
    </row>
    <row r="134" spans="1:18" ht="84.95" customHeight="1" x14ac:dyDescent="0.25">
      <c r="A134" s="3" t="s">
        <v>266</v>
      </c>
      <c r="B134" s="34">
        <v>41843</v>
      </c>
      <c r="C134" s="35">
        <v>41915</v>
      </c>
      <c r="D134" s="35"/>
      <c r="E134" s="34">
        <v>41990</v>
      </c>
      <c r="F134" s="35" t="s">
        <v>539</v>
      </c>
      <c r="G134" s="36" t="str">
        <f>+"14-MAR-2014"</f>
        <v>14-MAR-2014</v>
      </c>
      <c r="H134" s="63">
        <f t="shared" si="2"/>
        <v>283</v>
      </c>
      <c r="I134" s="3" t="str">
        <f>+""</f>
        <v/>
      </c>
      <c r="J134" s="38"/>
      <c r="K134" s="3"/>
      <c r="L134" s="35"/>
      <c r="M134" s="3" t="s">
        <v>11</v>
      </c>
      <c r="N134" s="3" t="s">
        <v>267</v>
      </c>
      <c r="O134" s="3" t="s">
        <v>15</v>
      </c>
      <c r="P134" s="3" t="s">
        <v>27</v>
      </c>
      <c r="Q134" s="3" t="s">
        <v>38</v>
      </c>
      <c r="R134" s="22" t="s">
        <v>30</v>
      </c>
    </row>
    <row r="135" spans="1:18" ht="84.95" customHeight="1" x14ac:dyDescent="0.25">
      <c r="A135" s="3" t="s">
        <v>272</v>
      </c>
      <c r="B135" s="34">
        <v>41829</v>
      </c>
      <c r="C135" s="35">
        <v>41844</v>
      </c>
      <c r="D135" s="35"/>
      <c r="E135" s="34" t="s">
        <v>539</v>
      </c>
      <c r="F135" s="35" t="s">
        <v>539</v>
      </c>
      <c r="G135" s="36" t="str">
        <f>+"24-MAR-2014"</f>
        <v>24-MAR-2014</v>
      </c>
      <c r="H135" s="63">
        <f t="shared" si="2"/>
        <v>273</v>
      </c>
      <c r="I135" s="3" t="str">
        <f>+""</f>
        <v/>
      </c>
      <c r="J135" s="38"/>
      <c r="K135" s="3"/>
      <c r="L135" s="35"/>
      <c r="M135" s="3" t="s">
        <v>11</v>
      </c>
      <c r="N135" s="3" t="s">
        <v>273</v>
      </c>
      <c r="O135" s="3" t="s">
        <v>15</v>
      </c>
      <c r="P135" s="3" t="s">
        <v>16</v>
      </c>
      <c r="Q135" s="3" t="s">
        <v>38</v>
      </c>
      <c r="R135" s="22" t="s">
        <v>274</v>
      </c>
    </row>
    <row r="136" spans="1:18" ht="84.95" customHeight="1" x14ac:dyDescent="0.25">
      <c r="A136" s="52" t="s">
        <v>677</v>
      </c>
      <c r="B136" s="35" t="s">
        <v>539</v>
      </c>
      <c r="C136" s="35" t="s">
        <v>539</v>
      </c>
      <c r="D136" s="35"/>
      <c r="E136" s="35" t="s">
        <v>539</v>
      </c>
      <c r="F136" s="35" t="s">
        <v>539</v>
      </c>
      <c r="G136" s="50" t="str">
        <f>+"24-MAR-2014"</f>
        <v>24-MAR-2014</v>
      </c>
      <c r="H136" s="63">
        <f t="shared" si="2"/>
        <v>273</v>
      </c>
      <c r="I136" s="3"/>
      <c r="J136" s="38"/>
      <c r="K136" s="3"/>
      <c r="L136" s="35"/>
      <c r="M136" s="3" t="s">
        <v>11</v>
      </c>
      <c r="N136" s="3" t="s">
        <v>683</v>
      </c>
      <c r="O136" s="3" t="s">
        <v>15</v>
      </c>
      <c r="P136" s="3" t="s">
        <v>19</v>
      </c>
      <c r="Q136" s="3" t="s">
        <v>43</v>
      </c>
      <c r="R136" s="22" t="s">
        <v>682</v>
      </c>
    </row>
    <row r="137" spans="1:18" s="56" customFormat="1" ht="84.95" customHeight="1" x14ac:dyDescent="0.25">
      <c r="A137" s="3" t="s">
        <v>529</v>
      </c>
      <c r="B137" s="34" t="s">
        <v>539</v>
      </c>
      <c r="C137" s="35" t="s">
        <v>539</v>
      </c>
      <c r="D137" s="35"/>
      <c r="E137" s="34" t="s">
        <v>539</v>
      </c>
      <c r="F137" s="35" t="s">
        <v>539</v>
      </c>
      <c r="G137" s="36" t="str">
        <f>+"27-MAR-2014"</f>
        <v>27-MAR-2014</v>
      </c>
      <c r="H137" s="63">
        <f t="shared" si="2"/>
        <v>270</v>
      </c>
      <c r="I137" s="3" t="str">
        <f>+""</f>
        <v/>
      </c>
      <c r="J137" s="38"/>
      <c r="K137" s="3"/>
      <c r="L137" s="35"/>
      <c r="M137" s="3" t="s">
        <v>21</v>
      </c>
      <c r="N137" s="3" t="s">
        <v>530</v>
      </c>
      <c r="O137" s="3" t="s">
        <v>15</v>
      </c>
      <c r="P137" s="3" t="s">
        <v>16</v>
      </c>
      <c r="Q137" s="3" t="s">
        <v>38</v>
      </c>
      <c r="R137" s="22" t="s">
        <v>119</v>
      </c>
    </row>
    <row r="138" spans="1:18" ht="118.5" customHeight="1" x14ac:dyDescent="0.25">
      <c r="A138" s="3" t="s">
        <v>275</v>
      </c>
      <c r="B138" s="34">
        <v>41778</v>
      </c>
      <c r="C138" s="35">
        <v>41789</v>
      </c>
      <c r="D138" s="35"/>
      <c r="E138" s="34">
        <v>42038</v>
      </c>
      <c r="F138" s="35" t="s">
        <v>539</v>
      </c>
      <c r="G138" s="36" t="str">
        <f>+"01-APR-2014"</f>
        <v>01-APR-2014</v>
      </c>
      <c r="H138" s="63">
        <f t="shared" si="2"/>
        <v>265</v>
      </c>
      <c r="I138" s="3" t="str">
        <f>+""</f>
        <v/>
      </c>
      <c r="J138" s="38"/>
      <c r="K138" s="3"/>
      <c r="L138" s="35"/>
      <c r="M138" s="3" t="s">
        <v>11</v>
      </c>
      <c r="N138" s="3" t="s">
        <v>276</v>
      </c>
      <c r="O138" s="3" t="s">
        <v>15</v>
      </c>
      <c r="P138" s="3" t="s">
        <v>16</v>
      </c>
      <c r="Q138" s="3" t="s">
        <v>23</v>
      </c>
      <c r="R138" s="22" t="s">
        <v>79</v>
      </c>
    </row>
    <row r="139" spans="1:18" ht="84.95" customHeight="1" x14ac:dyDescent="0.25">
      <c r="A139" s="3" t="s">
        <v>288</v>
      </c>
      <c r="B139" s="34">
        <v>41814</v>
      </c>
      <c r="C139" s="35" t="s">
        <v>539</v>
      </c>
      <c r="D139" s="35"/>
      <c r="E139" s="34" t="s">
        <v>539</v>
      </c>
      <c r="F139" s="35" t="s">
        <v>539</v>
      </c>
      <c r="G139" s="36" t="str">
        <f>+"04-APR-2014"</f>
        <v>04-APR-2014</v>
      </c>
      <c r="H139" s="63">
        <f t="shared" si="2"/>
        <v>262</v>
      </c>
      <c r="I139" s="3" t="str">
        <f>+""</f>
        <v/>
      </c>
      <c r="J139" s="38"/>
      <c r="K139" s="3"/>
      <c r="L139" s="35"/>
      <c r="M139" s="3" t="s">
        <v>11</v>
      </c>
      <c r="N139" s="3" t="s">
        <v>289</v>
      </c>
      <c r="O139" s="3" t="s">
        <v>15</v>
      </c>
      <c r="P139" s="3" t="s">
        <v>27</v>
      </c>
      <c r="Q139" s="3" t="s">
        <v>43</v>
      </c>
      <c r="R139" s="22" t="s">
        <v>66</v>
      </c>
    </row>
    <row r="140" spans="1:18" ht="84.95" customHeight="1" x14ac:dyDescent="0.25">
      <c r="A140" s="3" t="s">
        <v>277</v>
      </c>
      <c r="B140" s="34" t="s">
        <v>539</v>
      </c>
      <c r="C140" s="35" t="s">
        <v>539</v>
      </c>
      <c r="D140" s="35"/>
      <c r="E140" s="34" t="s">
        <v>539</v>
      </c>
      <c r="F140" s="35" t="s">
        <v>539</v>
      </c>
      <c r="G140" s="36" t="str">
        <f>+"07-APR-2014"</f>
        <v>07-APR-2014</v>
      </c>
      <c r="H140" s="63">
        <f t="shared" si="2"/>
        <v>259</v>
      </c>
      <c r="I140" s="3" t="str">
        <f>+""</f>
        <v/>
      </c>
      <c r="J140" s="38"/>
      <c r="K140" s="3"/>
      <c r="L140" s="35"/>
      <c r="M140" s="3" t="s">
        <v>11</v>
      </c>
      <c r="N140" s="3" t="s">
        <v>278</v>
      </c>
      <c r="O140" s="3" t="s">
        <v>15</v>
      </c>
      <c r="P140" s="3" t="s">
        <v>16</v>
      </c>
      <c r="Q140" s="3" t="s">
        <v>43</v>
      </c>
      <c r="R140" s="22" t="s">
        <v>24</v>
      </c>
    </row>
    <row r="141" spans="1:18" ht="84.95" customHeight="1" x14ac:dyDescent="0.25">
      <c r="A141" s="3" t="s">
        <v>279</v>
      </c>
      <c r="B141" s="34">
        <v>41822</v>
      </c>
      <c r="C141" s="35">
        <v>41865</v>
      </c>
      <c r="D141" s="35"/>
      <c r="E141" s="34">
        <v>41990</v>
      </c>
      <c r="F141" s="35" t="s">
        <v>539</v>
      </c>
      <c r="G141" s="36" t="str">
        <f>+"11-APR-2014"</f>
        <v>11-APR-2014</v>
      </c>
      <c r="H141" s="63">
        <f t="shared" si="2"/>
        <v>255</v>
      </c>
      <c r="I141" s="3" t="str">
        <f>+""</f>
        <v/>
      </c>
      <c r="J141" s="38"/>
      <c r="K141" s="3"/>
      <c r="L141" s="35"/>
      <c r="M141" s="3" t="s">
        <v>11</v>
      </c>
      <c r="N141" s="3" t="s">
        <v>280</v>
      </c>
      <c r="O141" s="3" t="s">
        <v>15</v>
      </c>
      <c r="P141" s="3" t="s">
        <v>27</v>
      </c>
      <c r="Q141" s="3" t="s">
        <v>38</v>
      </c>
      <c r="R141" s="22" t="s">
        <v>35</v>
      </c>
    </row>
    <row r="142" spans="1:18" ht="84.95" customHeight="1" x14ac:dyDescent="0.25">
      <c r="A142" s="3" t="s">
        <v>281</v>
      </c>
      <c r="B142" s="34">
        <v>41864</v>
      </c>
      <c r="C142" s="35">
        <v>41911</v>
      </c>
      <c r="D142" s="35"/>
      <c r="E142" s="34" t="s">
        <v>539</v>
      </c>
      <c r="F142" s="35" t="s">
        <v>539</v>
      </c>
      <c r="G142" s="36" t="str">
        <f>+"11-APR-2014"</f>
        <v>11-APR-2014</v>
      </c>
      <c r="H142" s="63">
        <f t="shared" si="2"/>
        <v>255</v>
      </c>
      <c r="I142" s="3" t="str">
        <f>+""</f>
        <v/>
      </c>
      <c r="J142" s="38"/>
      <c r="K142" s="3"/>
      <c r="L142" s="35"/>
      <c r="M142" s="3" t="s">
        <v>11</v>
      </c>
      <c r="N142" s="3" t="s">
        <v>282</v>
      </c>
      <c r="O142" s="3" t="s">
        <v>15</v>
      </c>
      <c r="P142" s="3" t="s">
        <v>16</v>
      </c>
      <c r="Q142" s="3" t="s">
        <v>38</v>
      </c>
      <c r="R142" s="22" t="s">
        <v>166</v>
      </c>
    </row>
    <row r="143" spans="1:18" ht="84.95" customHeight="1" x14ac:dyDescent="0.25">
      <c r="A143" s="3" t="s">
        <v>283</v>
      </c>
      <c r="B143" s="34">
        <v>41801</v>
      </c>
      <c r="C143" s="35">
        <v>41817</v>
      </c>
      <c r="D143" s="35"/>
      <c r="E143" s="34" t="s">
        <v>539</v>
      </c>
      <c r="F143" s="35" t="s">
        <v>539</v>
      </c>
      <c r="G143" s="36" t="str">
        <f>+"15-APR-2014"</f>
        <v>15-APR-2014</v>
      </c>
      <c r="H143" s="63">
        <f t="shared" si="2"/>
        <v>251</v>
      </c>
      <c r="I143" s="3" t="str">
        <f>+""</f>
        <v/>
      </c>
      <c r="J143" s="38"/>
      <c r="K143" s="3"/>
      <c r="L143" s="35"/>
      <c r="M143" s="3" t="s">
        <v>11</v>
      </c>
      <c r="N143" s="3" t="s">
        <v>284</v>
      </c>
      <c r="O143" s="3" t="s">
        <v>15</v>
      </c>
      <c r="P143" s="3" t="s">
        <v>16</v>
      </c>
      <c r="Q143" s="3" t="s">
        <v>23</v>
      </c>
      <c r="R143" s="22" t="s">
        <v>79</v>
      </c>
    </row>
    <row r="144" spans="1:18" ht="84.95" customHeight="1" x14ac:dyDescent="0.25">
      <c r="A144" s="3" t="s">
        <v>286</v>
      </c>
      <c r="B144" s="34">
        <v>41961</v>
      </c>
      <c r="C144" s="35">
        <v>41968</v>
      </c>
      <c r="D144" s="35"/>
      <c r="E144" s="34">
        <v>42082</v>
      </c>
      <c r="F144" s="35" t="s">
        <v>539</v>
      </c>
      <c r="G144" s="36" t="str">
        <f>+"15-APR-2014"</f>
        <v>15-APR-2014</v>
      </c>
      <c r="H144" s="63">
        <f t="shared" si="2"/>
        <v>251</v>
      </c>
      <c r="I144" s="3" t="str">
        <f>+""</f>
        <v/>
      </c>
      <c r="J144" s="38"/>
      <c r="K144" s="3"/>
      <c r="L144" s="35"/>
      <c r="M144" s="3" t="s">
        <v>11</v>
      </c>
      <c r="N144" s="3" t="s">
        <v>287</v>
      </c>
      <c r="O144" s="3" t="s">
        <v>15</v>
      </c>
      <c r="P144" s="3" t="s">
        <v>16</v>
      </c>
      <c r="Q144" s="3" t="s">
        <v>23</v>
      </c>
      <c r="R144" s="22" t="s">
        <v>79</v>
      </c>
    </row>
    <row r="145" spans="1:18" ht="84.95" customHeight="1" x14ac:dyDescent="0.25">
      <c r="A145" s="3" t="s">
        <v>292</v>
      </c>
      <c r="B145" s="34">
        <v>41821</v>
      </c>
      <c r="C145" s="35" t="s">
        <v>539</v>
      </c>
      <c r="D145" s="35"/>
      <c r="E145" s="34" t="s">
        <v>539</v>
      </c>
      <c r="F145" s="35" t="s">
        <v>539</v>
      </c>
      <c r="G145" s="36" t="str">
        <f>+"22-APR-2014"</f>
        <v>22-APR-2014</v>
      </c>
      <c r="H145" s="63">
        <f t="shared" si="2"/>
        <v>244</v>
      </c>
      <c r="I145" s="3" t="str">
        <f>+""</f>
        <v/>
      </c>
      <c r="J145" s="38"/>
      <c r="K145" s="3"/>
      <c r="L145" s="35"/>
      <c r="M145" s="3" t="s">
        <v>11</v>
      </c>
      <c r="N145" s="3" t="s">
        <v>293</v>
      </c>
      <c r="O145" s="3" t="s">
        <v>15</v>
      </c>
      <c r="P145" s="3" t="s">
        <v>19</v>
      </c>
      <c r="Q145" s="3" t="s">
        <v>23</v>
      </c>
      <c r="R145" s="22" t="s">
        <v>66</v>
      </c>
    </row>
    <row r="146" spans="1:18" ht="84.95" customHeight="1" x14ac:dyDescent="0.25">
      <c r="A146" s="3" t="s">
        <v>294</v>
      </c>
      <c r="B146" s="34" t="s">
        <v>539</v>
      </c>
      <c r="C146" s="35" t="s">
        <v>539</v>
      </c>
      <c r="D146" s="35"/>
      <c r="E146" s="34" t="s">
        <v>539</v>
      </c>
      <c r="F146" s="35" t="s">
        <v>539</v>
      </c>
      <c r="G146" s="36" t="str">
        <f>+"23-APR-2014"</f>
        <v>23-APR-2014</v>
      </c>
      <c r="H146" s="63">
        <f t="shared" si="2"/>
        <v>243</v>
      </c>
      <c r="I146" s="3" t="str">
        <f>+""</f>
        <v/>
      </c>
      <c r="J146" s="38"/>
      <c r="K146" s="3"/>
      <c r="L146" s="35"/>
      <c r="M146" s="3" t="s">
        <v>21</v>
      </c>
      <c r="N146" s="3" t="s">
        <v>295</v>
      </c>
      <c r="O146" s="3" t="s">
        <v>15</v>
      </c>
      <c r="P146" s="3" t="s">
        <v>27</v>
      </c>
      <c r="Q146" s="3" t="s">
        <v>43</v>
      </c>
      <c r="R146" s="22" t="s">
        <v>53</v>
      </c>
    </row>
    <row r="147" spans="1:18" ht="84.95" customHeight="1" x14ac:dyDescent="0.25">
      <c r="A147" s="3" t="s">
        <v>406</v>
      </c>
      <c r="B147" s="34">
        <v>41852</v>
      </c>
      <c r="C147" s="35" t="s">
        <v>539</v>
      </c>
      <c r="D147" s="35"/>
      <c r="E147" s="34" t="s">
        <v>539</v>
      </c>
      <c r="F147" s="35" t="s">
        <v>539</v>
      </c>
      <c r="G147" s="36" t="str">
        <f>+"25-APR-2014"</f>
        <v>25-APR-2014</v>
      </c>
      <c r="H147" s="63">
        <f t="shared" si="2"/>
        <v>241</v>
      </c>
      <c r="I147" s="3" t="str">
        <f>+""</f>
        <v/>
      </c>
      <c r="J147" s="38"/>
      <c r="K147" s="3"/>
      <c r="L147" s="35"/>
      <c r="M147" s="3" t="s">
        <v>11</v>
      </c>
      <c r="N147" s="3" t="s">
        <v>407</v>
      </c>
      <c r="O147" s="3" t="s">
        <v>15</v>
      </c>
      <c r="P147" s="3" t="s">
        <v>16</v>
      </c>
      <c r="Q147" s="3" t="s">
        <v>23</v>
      </c>
      <c r="R147" s="22" t="s">
        <v>30</v>
      </c>
    </row>
    <row r="148" spans="1:18" s="56" customFormat="1" ht="84.95" customHeight="1" x14ac:dyDescent="0.25">
      <c r="A148" s="3" t="s">
        <v>408</v>
      </c>
      <c r="B148" s="34" t="s">
        <v>539</v>
      </c>
      <c r="C148" s="35" t="s">
        <v>539</v>
      </c>
      <c r="D148" s="35"/>
      <c r="E148" s="34" t="s">
        <v>539</v>
      </c>
      <c r="F148" s="35" t="s">
        <v>539</v>
      </c>
      <c r="G148" s="36" t="str">
        <f>+"25-APR-2014"</f>
        <v>25-APR-2014</v>
      </c>
      <c r="H148" s="63">
        <f t="shared" si="2"/>
        <v>241</v>
      </c>
      <c r="I148" s="3" t="str">
        <f>+""</f>
        <v/>
      </c>
      <c r="J148" s="38"/>
      <c r="K148" s="3"/>
      <c r="L148" s="35"/>
      <c r="M148" s="3"/>
      <c r="N148" s="3" t="s">
        <v>409</v>
      </c>
      <c r="O148" s="3" t="s">
        <v>15</v>
      </c>
      <c r="P148" s="3" t="s">
        <v>16</v>
      </c>
      <c r="Q148" s="3" t="s">
        <v>43</v>
      </c>
      <c r="R148" s="22" t="s">
        <v>66</v>
      </c>
    </row>
    <row r="149" spans="1:18" ht="84.95" customHeight="1" x14ac:dyDescent="0.25">
      <c r="A149" s="3" t="s">
        <v>290</v>
      </c>
      <c r="B149" s="34">
        <v>41813</v>
      </c>
      <c r="C149" s="35">
        <v>41848</v>
      </c>
      <c r="D149" s="35"/>
      <c r="E149" s="34" t="s">
        <v>539</v>
      </c>
      <c r="F149" s="35" t="s">
        <v>539</v>
      </c>
      <c r="G149" s="36" t="str">
        <f>+"29-APR-2014"</f>
        <v>29-APR-2014</v>
      </c>
      <c r="H149" s="63">
        <f t="shared" si="2"/>
        <v>237</v>
      </c>
      <c r="I149" s="3" t="str">
        <f>+""</f>
        <v/>
      </c>
      <c r="J149" s="38"/>
      <c r="K149" s="3"/>
      <c r="L149" s="35"/>
      <c r="M149" s="3" t="s">
        <v>21</v>
      </c>
      <c r="N149" s="3" t="s">
        <v>291</v>
      </c>
      <c r="O149" s="3" t="s">
        <v>15</v>
      </c>
      <c r="P149" s="3" t="s">
        <v>16</v>
      </c>
      <c r="Q149" s="3" t="s">
        <v>43</v>
      </c>
      <c r="R149" s="22" t="s">
        <v>285</v>
      </c>
    </row>
    <row r="150" spans="1:18" ht="107.25" customHeight="1" x14ac:dyDescent="0.25">
      <c r="A150" s="3" t="s">
        <v>296</v>
      </c>
      <c r="B150" s="34">
        <v>41934</v>
      </c>
      <c r="C150" s="35" t="s">
        <v>539</v>
      </c>
      <c r="D150" s="35"/>
      <c r="E150" s="34">
        <v>41992</v>
      </c>
      <c r="F150" s="35" t="s">
        <v>539</v>
      </c>
      <c r="G150" s="36" t="str">
        <f>+"30-APR-2014"</f>
        <v>30-APR-2014</v>
      </c>
      <c r="H150" s="63">
        <f t="shared" si="2"/>
        <v>236</v>
      </c>
      <c r="I150" s="3" t="str">
        <f>+""</f>
        <v/>
      </c>
      <c r="J150" s="38"/>
      <c r="K150" s="3"/>
      <c r="L150" s="35"/>
      <c r="M150" s="3" t="s">
        <v>21</v>
      </c>
      <c r="N150" s="3" t="s">
        <v>297</v>
      </c>
      <c r="O150" s="3" t="s">
        <v>15</v>
      </c>
      <c r="P150" s="3" t="s">
        <v>16</v>
      </c>
      <c r="Q150" s="3" t="s">
        <v>43</v>
      </c>
      <c r="R150" s="22" t="s">
        <v>119</v>
      </c>
    </row>
    <row r="151" spans="1:18" ht="84.95" customHeight="1" x14ac:dyDescent="0.25">
      <c r="A151" s="3" t="s">
        <v>300</v>
      </c>
      <c r="B151" s="34">
        <v>41813</v>
      </c>
      <c r="C151" s="35">
        <v>41848</v>
      </c>
      <c r="D151" s="35"/>
      <c r="E151" s="34" t="s">
        <v>539</v>
      </c>
      <c r="F151" s="35" t="s">
        <v>539</v>
      </c>
      <c r="G151" s="36" t="str">
        <f>+"01-MAY-2014"</f>
        <v>01-MAY-2014</v>
      </c>
      <c r="H151" s="63">
        <f t="shared" si="2"/>
        <v>235</v>
      </c>
      <c r="I151" s="3" t="str">
        <f>+""</f>
        <v/>
      </c>
      <c r="J151" s="38"/>
      <c r="K151" s="3"/>
      <c r="L151" s="35"/>
      <c r="M151" s="3" t="s">
        <v>21</v>
      </c>
      <c r="N151" s="3" t="s">
        <v>301</v>
      </c>
      <c r="O151" s="3" t="s">
        <v>15</v>
      </c>
      <c r="P151" s="3" t="s">
        <v>16</v>
      </c>
      <c r="Q151" s="3" t="s">
        <v>43</v>
      </c>
      <c r="R151" s="22" t="s">
        <v>285</v>
      </c>
    </row>
    <row r="152" spans="1:18" ht="84.95" customHeight="1" x14ac:dyDescent="0.25">
      <c r="A152" s="3" t="s">
        <v>302</v>
      </c>
      <c r="B152" s="34">
        <v>41813</v>
      </c>
      <c r="C152" s="35">
        <v>41848</v>
      </c>
      <c r="D152" s="35"/>
      <c r="E152" s="34" t="s">
        <v>539</v>
      </c>
      <c r="F152" s="35" t="s">
        <v>539</v>
      </c>
      <c r="G152" s="36" t="str">
        <f>+"01-MAY-2014"</f>
        <v>01-MAY-2014</v>
      </c>
      <c r="H152" s="63">
        <f t="shared" si="2"/>
        <v>235</v>
      </c>
      <c r="I152" s="3" t="str">
        <f>+""</f>
        <v/>
      </c>
      <c r="J152" s="38"/>
      <c r="K152" s="3"/>
      <c r="L152" s="35"/>
      <c r="M152" s="3" t="s">
        <v>21</v>
      </c>
      <c r="N152" s="3" t="s">
        <v>303</v>
      </c>
      <c r="O152" s="3" t="s">
        <v>15</v>
      </c>
      <c r="P152" s="3" t="s">
        <v>16</v>
      </c>
      <c r="Q152" s="3" t="s">
        <v>43</v>
      </c>
      <c r="R152" s="22" t="s">
        <v>285</v>
      </c>
    </row>
    <row r="153" spans="1:18" ht="84.95" customHeight="1" x14ac:dyDescent="0.25">
      <c r="A153" s="3" t="s">
        <v>304</v>
      </c>
      <c r="B153" s="34">
        <v>41813</v>
      </c>
      <c r="C153" s="35">
        <v>41848</v>
      </c>
      <c r="D153" s="35"/>
      <c r="E153" s="34" t="s">
        <v>539</v>
      </c>
      <c r="F153" s="35" t="s">
        <v>539</v>
      </c>
      <c r="G153" s="36" t="str">
        <f>+"01-MAY-2014"</f>
        <v>01-MAY-2014</v>
      </c>
      <c r="H153" s="63">
        <f t="shared" si="2"/>
        <v>235</v>
      </c>
      <c r="I153" s="3" t="str">
        <f>+""</f>
        <v/>
      </c>
      <c r="J153" s="38"/>
      <c r="K153" s="3"/>
      <c r="L153" s="35"/>
      <c r="M153" s="3" t="s">
        <v>21</v>
      </c>
      <c r="N153" s="3" t="s">
        <v>305</v>
      </c>
      <c r="O153" s="3" t="s">
        <v>15</v>
      </c>
      <c r="P153" s="3" t="s">
        <v>16</v>
      </c>
      <c r="Q153" s="3" t="s">
        <v>43</v>
      </c>
      <c r="R153" s="22" t="s">
        <v>285</v>
      </c>
    </row>
    <row r="154" spans="1:18" ht="84.95" customHeight="1" x14ac:dyDescent="0.25">
      <c r="A154" s="3" t="s">
        <v>531</v>
      </c>
      <c r="B154" s="34">
        <v>41857</v>
      </c>
      <c r="C154" s="35" t="s">
        <v>539</v>
      </c>
      <c r="D154" s="35"/>
      <c r="E154" s="34" t="s">
        <v>539</v>
      </c>
      <c r="F154" s="35" t="s">
        <v>539</v>
      </c>
      <c r="G154" s="36" t="str">
        <f>+"01-MAY-2014"</f>
        <v>01-MAY-2014</v>
      </c>
      <c r="H154" s="63">
        <f t="shared" si="2"/>
        <v>235</v>
      </c>
      <c r="I154" s="3" t="str">
        <f>+""</f>
        <v/>
      </c>
      <c r="J154" s="38"/>
      <c r="K154" s="3"/>
      <c r="L154" s="35"/>
      <c r="M154" s="3" t="s">
        <v>21</v>
      </c>
      <c r="N154" s="3" t="s">
        <v>532</v>
      </c>
      <c r="O154" s="3" t="s">
        <v>15</v>
      </c>
      <c r="P154" s="3" t="s">
        <v>27</v>
      </c>
      <c r="Q154" s="3" t="s">
        <v>14</v>
      </c>
      <c r="R154" s="22" t="s">
        <v>455</v>
      </c>
    </row>
    <row r="155" spans="1:18" ht="84.95" customHeight="1" x14ac:dyDescent="0.25">
      <c r="A155" s="3" t="s">
        <v>298</v>
      </c>
      <c r="B155" s="34" t="s">
        <v>539</v>
      </c>
      <c r="C155" s="35" t="s">
        <v>539</v>
      </c>
      <c r="D155" s="35"/>
      <c r="E155" s="34" t="s">
        <v>539</v>
      </c>
      <c r="F155" s="35" t="s">
        <v>539</v>
      </c>
      <c r="G155" s="36" t="str">
        <f>+"02-MAY-2014"</f>
        <v>02-MAY-2014</v>
      </c>
      <c r="H155" s="63">
        <f t="shared" si="2"/>
        <v>234</v>
      </c>
      <c r="I155" s="3" t="str">
        <f>+""</f>
        <v/>
      </c>
      <c r="J155" s="38"/>
      <c r="K155" s="3"/>
      <c r="L155" s="35"/>
      <c r="M155" s="3" t="s">
        <v>21</v>
      </c>
      <c r="N155" s="3" t="s">
        <v>299</v>
      </c>
      <c r="O155" s="3" t="s">
        <v>15</v>
      </c>
      <c r="P155" s="3" t="s">
        <v>27</v>
      </c>
      <c r="Q155" s="3" t="s">
        <v>38</v>
      </c>
      <c r="R155" s="22" t="s">
        <v>163</v>
      </c>
    </row>
    <row r="156" spans="1:18" ht="84.95" customHeight="1" x14ac:dyDescent="0.25">
      <c r="A156" s="3" t="s">
        <v>416</v>
      </c>
      <c r="B156" s="34">
        <v>41866</v>
      </c>
      <c r="C156" s="35">
        <v>41932</v>
      </c>
      <c r="D156" s="35"/>
      <c r="E156" s="34">
        <v>41991</v>
      </c>
      <c r="F156" s="35" t="s">
        <v>539</v>
      </c>
      <c r="G156" s="36" t="str">
        <f>+"02-MAY-2014"</f>
        <v>02-MAY-2014</v>
      </c>
      <c r="H156" s="63">
        <f t="shared" si="2"/>
        <v>234</v>
      </c>
      <c r="I156" s="3" t="str">
        <f>+""</f>
        <v/>
      </c>
      <c r="J156" s="38"/>
      <c r="K156" s="3"/>
      <c r="L156" s="35"/>
      <c r="M156" s="3" t="s">
        <v>11</v>
      </c>
      <c r="N156" s="3" t="s">
        <v>417</v>
      </c>
      <c r="O156" s="3" t="s">
        <v>15</v>
      </c>
      <c r="P156" s="3" t="s">
        <v>44</v>
      </c>
      <c r="Q156" s="3" t="s">
        <v>43</v>
      </c>
      <c r="R156" s="22" t="s">
        <v>60</v>
      </c>
    </row>
    <row r="157" spans="1:18" ht="84.95" customHeight="1" x14ac:dyDescent="0.25">
      <c r="A157" s="3" t="s">
        <v>410</v>
      </c>
      <c r="B157" s="34">
        <v>41863</v>
      </c>
      <c r="C157" s="35" t="s">
        <v>539</v>
      </c>
      <c r="D157" s="35"/>
      <c r="E157" s="34">
        <v>42046</v>
      </c>
      <c r="F157" s="35" t="s">
        <v>539</v>
      </c>
      <c r="G157" s="36" t="str">
        <f>+"15-MAY-2014"</f>
        <v>15-MAY-2014</v>
      </c>
      <c r="H157" s="63">
        <f t="shared" si="2"/>
        <v>221</v>
      </c>
      <c r="I157" s="3" t="str">
        <f>+""</f>
        <v/>
      </c>
      <c r="J157" s="38"/>
      <c r="K157" s="3"/>
      <c r="L157" s="35"/>
      <c r="M157" s="3" t="s">
        <v>11</v>
      </c>
      <c r="N157" s="3" t="s">
        <v>411</v>
      </c>
      <c r="O157" s="3" t="s">
        <v>15</v>
      </c>
      <c r="P157" s="3" t="s">
        <v>27</v>
      </c>
      <c r="Q157" s="3" t="s">
        <v>17</v>
      </c>
      <c r="R157" s="22" t="s">
        <v>30</v>
      </c>
    </row>
    <row r="158" spans="1:18" ht="84.95" customHeight="1" x14ac:dyDescent="0.25">
      <c r="A158" s="3" t="s">
        <v>412</v>
      </c>
      <c r="B158" s="34" t="s">
        <v>539</v>
      </c>
      <c r="C158" s="35" t="s">
        <v>539</v>
      </c>
      <c r="D158" s="35"/>
      <c r="E158" s="34" t="s">
        <v>539</v>
      </c>
      <c r="F158" s="35" t="s">
        <v>539</v>
      </c>
      <c r="G158" s="36" t="str">
        <f>+"15-MAY-2014"</f>
        <v>15-MAY-2014</v>
      </c>
      <c r="H158" s="63">
        <f t="shared" si="2"/>
        <v>221</v>
      </c>
      <c r="I158" s="3" t="str">
        <f>+""</f>
        <v/>
      </c>
      <c r="J158" s="38"/>
      <c r="K158" s="3"/>
      <c r="L158" s="35"/>
      <c r="M158" s="3"/>
      <c r="N158" s="3" t="s">
        <v>413</v>
      </c>
      <c r="O158" s="3" t="s">
        <v>15</v>
      </c>
      <c r="P158" s="3" t="s">
        <v>16</v>
      </c>
      <c r="Q158" s="3" t="s">
        <v>23</v>
      </c>
      <c r="R158" s="22" t="s">
        <v>66</v>
      </c>
    </row>
    <row r="159" spans="1:18" ht="84.95" customHeight="1" x14ac:dyDescent="0.25">
      <c r="A159" s="3" t="s">
        <v>449</v>
      </c>
      <c r="B159" s="34" t="s">
        <v>539</v>
      </c>
      <c r="C159" s="35" t="s">
        <v>539</v>
      </c>
      <c r="D159" s="35"/>
      <c r="E159" s="34" t="s">
        <v>539</v>
      </c>
      <c r="F159" s="35" t="s">
        <v>539</v>
      </c>
      <c r="G159" s="36" t="str">
        <f>+"15-MAY-2014"</f>
        <v>15-MAY-2014</v>
      </c>
      <c r="H159" s="63">
        <f t="shared" si="2"/>
        <v>221</v>
      </c>
      <c r="I159" s="3" t="str">
        <f>+""</f>
        <v/>
      </c>
      <c r="J159" s="38"/>
      <c r="K159" s="3"/>
      <c r="L159" s="35"/>
      <c r="M159" s="3" t="s">
        <v>21</v>
      </c>
      <c r="N159" s="3" t="s">
        <v>450</v>
      </c>
      <c r="O159" s="3" t="s">
        <v>15</v>
      </c>
      <c r="P159" s="3" t="s">
        <v>27</v>
      </c>
      <c r="Q159" s="3" t="s">
        <v>17</v>
      </c>
      <c r="R159" s="22" t="s">
        <v>79</v>
      </c>
    </row>
    <row r="160" spans="1:18" ht="84.95" customHeight="1" x14ac:dyDescent="0.25">
      <c r="A160" s="3" t="s">
        <v>533</v>
      </c>
      <c r="B160" s="34">
        <v>41864</v>
      </c>
      <c r="C160" s="35">
        <v>41908</v>
      </c>
      <c r="D160" s="35"/>
      <c r="E160" s="34" t="s">
        <v>539</v>
      </c>
      <c r="F160" s="35" t="s">
        <v>539</v>
      </c>
      <c r="G160" s="36" t="str">
        <f>+"15-MAY-2014"</f>
        <v>15-MAY-2014</v>
      </c>
      <c r="H160" s="63">
        <f t="shared" si="2"/>
        <v>221</v>
      </c>
      <c r="I160" s="3" t="str">
        <f>+""</f>
        <v/>
      </c>
      <c r="J160" s="38"/>
      <c r="K160" s="3"/>
      <c r="L160" s="35"/>
      <c r="M160" s="3" t="s">
        <v>21</v>
      </c>
      <c r="N160" s="3" t="s">
        <v>534</v>
      </c>
      <c r="O160" s="3" t="s">
        <v>15</v>
      </c>
      <c r="P160" s="3" t="s">
        <v>44</v>
      </c>
      <c r="Q160" s="3" t="s">
        <v>43</v>
      </c>
      <c r="R160" s="22" t="s">
        <v>163</v>
      </c>
    </row>
    <row r="161" spans="1:18" ht="84.95" customHeight="1" x14ac:dyDescent="0.25">
      <c r="A161" s="3" t="s">
        <v>414</v>
      </c>
      <c r="B161" s="34">
        <v>41892</v>
      </c>
      <c r="C161" s="35">
        <v>41906</v>
      </c>
      <c r="D161" s="35"/>
      <c r="E161" s="34">
        <v>42011</v>
      </c>
      <c r="F161" s="35" t="s">
        <v>539</v>
      </c>
      <c r="G161" s="36" t="str">
        <f>+"16-MAY-2014"</f>
        <v>16-MAY-2014</v>
      </c>
      <c r="H161" s="63">
        <f t="shared" si="2"/>
        <v>220</v>
      </c>
      <c r="I161" s="3" t="str">
        <f>+""</f>
        <v/>
      </c>
      <c r="J161" s="38"/>
      <c r="K161" s="3"/>
      <c r="L161" s="35"/>
      <c r="M161" s="3" t="s">
        <v>11</v>
      </c>
      <c r="N161" s="3" t="s">
        <v>741</v>
      </c>
      <c r="O161" s="3" t="s">
        <v>15</v>
      </c>
      <c r="P161" s="3" t="s">
        <v>16</v>
      </c>
      <c r="Q161" s="3" t="s">
        <v>38</v>
      </c>
      <c r="R161" s="22" t="s">
        <v>625</v>
      </c>
    </row>
    <row r="162" spans="1:18" ht="84.95" customHeight="1" x14ac:dyDescent="0.25">
      <c r="A162" s="3" t="s">
        <v>306</v>
      </c>
      <c r="B162" s="34">
        <v>41912</v>
      </c>
      <c r="C162" s="35" t="s">
        <v>539</v>
      </c>
      <c r="D162" s="35"/>
      <c r="E162" s="34" t="s">
        <v>539</v>
      </c>
      <c r="F162" s="35" t="s">
        <v>539</v>
      </c>
      <c r="G162" s="36" t="str">
        <f>+"27-MAY-2014"</f>
        <v>27-MAY-2014</v>
      </c>
      <c r="H162" s="63">
        <f t="shared" si="2"/>
        <v>209</v>
      </c>
      <c r="I162" s="3" t="str">
        <f>+""</f>
        <v/>
      </c>
      <c r="J162" s="38"/>
      <c r="K162" s="3"/>
      <c r="L162" s="35"/>
      <c r="M162" s="3" t="s">
        <v>11</v>
      </c>
      <c r="N162" s="3" t="s">
        <v>307</v>
      </c>
      <c r="O162" s="3" t="s">
        <v>15</v>
      </c>
      <c r="P162" s="3" t="s">
        <v>16</v>
      </c>
      <c r="Q162" s="3" t="s">
        <v>23</v>
      </c>
      <c r="R162" s="22" t="s">
        <v>80</v>
      </c>
    </row>
    <row r="163" spans="1:18" ht="84.95" customHeight="1" x14ac:dyDescent="0.25">
      <c r="A163" s="3" t="s">
        <v>308</v>
      </c>
      <c r="B163" s="34">
        <v>41887</v>
      </c>
      <c r="C163" s="35" t="s">
        <v>539</v>
      </c>
      <c r="D163" s="35"/>
      <c r="E163" s="34">
        <v>41893</v>
      </c>
      <c r="F163" s="35">
        <v>41911</v>
      </c>
      <c r="G163" s="36" t="str">
        <f>+"30-MAY-2014"</f>
        <v>30-MAY-2014</v>
      </c>
      <c r="H163" s="63">
        <f t="shared" si="2"/>
        <v>206</v>
      </c>
      <c r="I163" s="3" t="str">
        <f>+""</f>
        <v/>
      </c>
      <c r="J163" s="38"/>
      <c r="K163" s="3"/>
      <c r="L163" s="35"/>
      <c r="M163" s="3" t="s">
        <v>11</v>
      </c>
      <c r="N163" s="3" t="s">
        <v>309</v>
      </c>
      <c r="O163" s="3" t="s">
        <v>15</v>
      </c>
      <c r="P163" s="3" t="s">
        <v>16</v>
      </c>
      <c r="Q163" s="3" t="s">
        <v>23</v>
      </c>
      <c r="R163" s="22" t="s">
        <v>53</v>
      </c>
    </row>
    <row r="164" spans="1:18" ht="84.95" customHeight="1" x14ac:dyDescent="0.25">
      <c r="A164" s="3" t="s">
        <v>310</v>
      </c>
      <c r="B164" s="34">
        <v>41848</v>
      </c>
      <c r="C164" s="35">
        <v>41855</v>
      </c>
      <c r="D164" s="35"/>
      <c r="E164" s="34">
        <v>41989</v>
      </c>
      <c r="F164" s="35" t="s">
        <v>539</v>
      </c>
      <c r="G164" s="36" t="str">
        <f>+"30-MAY-2014"</f>
        <v>30-MAY-2014</v>
      </c>
      <c r="H164" s="63">
        <f t="shared" si="2"/>
        <v>206</v>
      </c>
      <c r="I164" s="3" t="str">
        <f>+""</f>
        <v/>
      </c>
      <c r="J164" s="38"/>
      <c r="K164" s="3"/>
      <c r="L164" s="35"/>
      <c r="M164" s="3" t="s">
        <v>11</v>
      </c>
      <c r="N164" s="3" t="s">
        <v>311</v>
      </c>
      <c r="O164" s="3" t="s">
        <v>15</v>
      </c>
      <c r="P164" s="3" t="s">
        <v>16</v>
      </c>
      <c r="Q164" s="3" t="s">
        <v>23</v>
      </c>
      <c r="R164" s="22" t="s">
        <v>79</v>
      </c>
    </row>
    <row r="165" spans="1:18" ht="84.95" customHeight="1" x14ac:dyDescent="0.25">
      <c r="A165" s="3" t="s">
        <v>313</v>
      </c>
      <c r="B165" s="34">
        <v>41850</v>
      </c>
      <c r="C165" s="35">
        <v>41865</v>
      </c>
      <c r="D165" s="35"/>
      <c r="E165" s="34" t="s">
        <v>539</v>
      </c>
      <c r="F165" s="35" t="s">
        <v>539</v>
      </c>
      <c r="G165" s="36" t="str">
        <f>+"02-JUN-2014"</f>
        <v>02-JUN-2014</v>
      </c>
      <c r="H165" s="63">
        <f t="shared" si="2"/>
        <v>203</v>
      </c>
      <c r="I165" s="3" t="str">
        <f>+""</f>
        <v/>
      </c>
      <c r="J165" s="38"/>
      <c r="K165" s="3"/>
      <c r="L165" s="35"/>
      <c r="M165" s="3" t="s">
        <v>11</v>
      </c>
      <c r="N165" s="3" t="s">
        <v>314</v>
      </c>
      <c r="O165" s="3" t="s">
        <v>15</v>
      </c>
      <c r="P165" s="3" t="s">
        <v>16</v>
      </c>
      <c r="Q165" s="3" t="s">
        <v>14</v>
      </c>
      <c r="R165" s="22" t="s">
        <v>73</v>
      </c>
    </row>
    <row r="166" spans="1:18" ht="84.95" customHeight="1" x14ac:dyDescent="0.25">
      <c r="A166" s="3" t="s">
        <v>315</v>
      </c>
      <c r="B166" s="34">
        <v>41850</v>
      </c>
      <c r="C166" s="35">
        <v>41865</v>
      </c>
      <c r="D166" s="35"/>
      <c r="E166" s="34" t="s">
        <v>539</v>
      </c>
      <c r="F166" s="35" t="s">
        <v>539</v>
      </c>
      <c r="G166" s="36" t="str">
        <f>+"02-JUN-2014"</f>
        <v>02-JUN-2014</v>
      </c>
      <c r="H166" s="63">
        <f t="shared" si="2"/>
        <v>203</v>
      </c>
      <c r="I166" s="3" t="str">
        <f>+""</f>
        <v/>
      </c>
      <c r="J166" s="38"/>
      <c r="K166" s="3"/>
      <c r="L166" s="35"/>
      <c r="M166" s="3" t="s">
        <v>11</v>
      </c>
      <c r="N166" s="3" t="s">
        <v>316</v>
      </c>
      <c r="O166" s="3" t="s">
        <v>15</v>
      </c>
      <c r="P166" s="3" t="s">
        <v>16</v>
      </c>
      <c r="Q166" s="3" t="s">
        <v>14</v>
      </c>
      <c r="R166" s="22" t="s">
        <v>73</v>
      </c>
    </row>
    <row r="167" spans="1:18" s="57" customFormat="1" ht="84.95" customHeight="1" x14ac:dyDescent="0.25">
      <c r="A167" s="3" t="s">
        <v>317</v>
      </c>
      <c r="B167" s="34">
        <v>41850</v>
      </c>
      <c r="C167" s="35">
        <v>41865</v>
      </c>
      <c r="D167" s="35"/>
      <c r="E167" s="34" t="s">
        <v>539</v>
      </c>
      <c r="F167" s="35" t="s">
        <v>539</v>
      </c>
      <c r="G167" s="36" t="str">
        <f>+"02-JUN-2014"</f>
        <v>02-JUN-2014</v>
      </c>
      <c r="H167" s="63">
        <f t="shared" si="2"/>
        <v>203</v>
      </c>
      <c r="I167" s="3" t="str">
        <f>+""</f>
        <v/>
      </c>
      <c r="J167" s="38"/>
      <c r="K167" s="3"/>
      <c r="L167" s="35"/>
      <c r="M167" s="3" t="s">
        <v>11</v>
      </c>
      <c r="N167" s="3" t="s">
        <v>318</v>
      </c>
      <c r="O167" s="3" t="s">
        <v>15</v>
      </c>
      <c r="P167" s="3" t="s">
        <v>16</v>
      </c>
      <c r="Q167" s="3" t="s">
        <v>14</v>
      </c>
      <c r="R167" s="22" t="s">
        <v>73</v>
      </c>
    </row>
    <row r="168" spans="1:18" s="44" customFormat="1" ht="84.95" customHeight="1" x14ac:dyDescent="0.25">
      <c r="A168" s="3" t="s">
        <v>319</v>
      </c>
      <c r="B168" s="34" t="s">
        <v>539</v>
      </c>
      <c r="C168" s="35" t="s">
        <v>539</v>
      </c>
      <c r="D168" s="35"/>
      <c r="E168" s="34" t="s">
        <v>539</v>
      </c>
      <c r="F168" s="35" t="s">
        <v>539</v>
      </c>
      <c r="G168" s="36" t="str">
        <f>+"09-JUN-2014"</f>
        <v>09-JUN-2014</v>
      </c>
      <c r="H168" s="63">
        <f t="shared" si="2"/>
        <v>196</v>
      </c>
      <c r="I168" s="3" t="str">
        <f>+""</f>
        <v/>
      </c>
      <c r="J168" s="38"/>
      <c r="K168" s="3"/>
      <c r="L168" s="35"/>
      <c r="M168" s="3" t="s">
        <v>21</v>
      </c>
      <c r="N168" s="3" t="s">
        <v>320</v>
      </c>
      <c r="O168" s="3" t="s">
        <v>15</v>
      </c>
      <c r="P168" s="3" t="s">
        <v>52</v>
      </c>
      <c r="Q168" s="3" t="s">
        <v>23</v>
      </c>
      <c r="R168" s="22" t="s">
        <v>119</v>
      </c>
    </row>
    <row r="169" spans="1:18" s="44" customFormat="1" ht="84.95" customHeight="1" x14ac:dyDescent="0.25">
      <c r="A169" s="3" t="s">
        <v>323</v>
      </c>
      <c r="B169" s="34">
        <v>41906</v>
      </c>
      <c r="C169" s="35">
        <v>41927</v>
      </c>
      <c r="D169" s="35"/>
      <c r="E169" s="34" t="s">
        <v>539</v>
      </c>
      <c r="F169" s="35" t="s">
        <v>539</v>
      </c>
      <c r="G169" s="36" t="str">
        <f>+"11-JUN-2014"</f>
        <v>11-JUN-2014</v>
      </c>
      <c r="H169" s="63">
        <f t="shared" si="2"/>
        <v>194</v>
      </c>
      <c r="I169" s="3" t="str">
        <f>+""</f>
        <v/>
      </c>
      <c r="J169" s="38"/>
      <c r="K169" s="3"/>
      <c r="L169" s="35"/>
      <c r="M169" s="3" t="s">
        <v>11</v>
      </c>
      <c r="N169" s="3" t="s">
        <v>324</v>
      </c>
      <c r="O169" s="3" t="s">
        <v>15</v>
      </c>
      <c r="P169" s="3" t="s">
        <v>16</v>
      </c>
      <c r="Q169" s="3" t="s">
        <v>23</v>
      </c>
      <c r="R169" s="22" t="s">
        <v>30</v>
      </c>
    </row>
    <row r="170" spans="1:18" s="44" customFormat="1" ht="84.95" customHeight="1" x14ac:dyDescent="0.25">
      <c r="A170" s="3" t="s">
        <v>325</v>
      </c>
      <c r="B170" s="34">
        <v>41891</v>
      </c>
      <c r="C170" s="35">
        <v>41901</v>
      </c>
      <c r="D170" s="35"/>
      <c r="E170" s="34">
        <v>41947</v>
      </c>
      <c r="F170" s="35" t="s">
        <v>539</v>
      </c>
      <c r="G170" s="36" t="str">
        <f>+"11-JUN-2014"</f>
        <v>11-JUN-2014</v>
      </c>
      <c r="H170" s="63">
        <f t="shared" si="2"/>
        <v>194</v>
      </c>
      <c r="I170" s="3" t="str">
        <f>+""</f>
        <v/>
      </c>
      <c r="J170" s="38"/>
      <c r="K170" s="3"/>
      <c r="L170" s="35"/>
      <c r="M170" s="3" t="s">
        <v>11</v>
      </c>
      <c r="N170" s="3" t="s">
        <v>326</v>
      </c>
      <c r="O170" s="3" t="s">
        <v>15</v>
      </c>
      <c r="P170" s="3" t="s">
        <v>16</v>
      </c>
      <c r="Q170" s="3" t="s">
        <v>23</v>
      </c>
      <c r="R170" s="22" t="s">
        <v>30</v>
      </c>
    </row>
    <row r="171" spans="1:18" ht="84.95" customHeight="1" x14ac:dyDescent="0.25">
      <c r="A171" s="3" t="s">
        <v>543</v>
      </c>
      <c r="B171" s="34" t="s">
        <v>539</v>
      </c>
      <c r="C171" s="35" t="s">
        <v>539</v>
      </c>
      <c r="D171" s="35"/>
      <c r="E171" s="34" t="s">
        <v>539</v>
      </c>
      <c r="F171" s="35" t="s">
        <v>539</v>
      </c>
      <c r="G171" s="3" t="str">
        <f>+"12-JUN-2014"</f>
        <v>12-JUN-2014</v>
      </c>
      <c r="H171" s="63">
        <f t="shared" si="2"/>
        <v>193</v>
      </c>
      <c r="I171" s="3"/>
      <c r="J171" s="38"/>
      <c r="K171" s="3"/>
      <c r="L171" s="35"/>
      <c r="M171" s="3" t="s">
        <v>21</v>
      </c>
      <c r="N171" s="3" t="s">
        <v>548</v>
      </c>
      <c r="O171" s="3" t="s">
        <v>15</v>
      </c>
      <c r="P171" s="3" t="s">
        <v>27</v>
      </c>
      <c r="Q171" s="3" t="s">
        <v>38</v>
      </c>
      <c r="R171" s="22" t="s">
        <v>312</v>
      </c>
    </row>
    <row r="172" spans="1:18" ht="84.95" customHeight="1" x14ac:dyDescent="0.25">
      <c r="A172" s="3" t="s">
        <v>321</v>
      </c>
      <c r="B172" s="34" t="s">
        <v>539</v>
      </c>
      <c r="C172" s="35" t="s">
        <v>539</v>
      </c>
      <c r="D172" s="35"/>
      <c r="E172" s="34" t="s">
        <v>539</v>
      </c>
      <c r="F172" s="35" t="s">
        <v>539</v>
      </c>
      <c r="G172" s="36" t="str">
        <f>+"13-JUN-2014"</f>
        <v>13-JUN-2014</v>
      </c>
      <c r="H172" s="63">
        <f t="shared" si="2"/>
        <v>192</v>
      </c>
      <c r="I172" s="3" t="str">
        <f>+""</f>
        <v/>
      </c>
      <c r="J172" s="38"/>
      <c r="K172" s="3"/>
      <c r="L172" s="35"/>
      <c r="M172" s="3" t="s">
        <v>11</v>
      </c>
      <c r="N172" s="3" t="s">
        <v>322</v>
      </c>
      <c r="O172" s="3" t="s">
        <v>15</v>
      </c>
      <c r="P172" s="3" t="s">
        <v>67</v>
      </c>
      <c r="Q172" s="3" t="s">
        <v>23</v>
      </c>
      <c r="R172" s="22" t="s">
        <v>688</v>
      </c>
    </row>
    <row r="173" spans="1:18" ht="84.95" customHeight="1" x14ac:dyDescent="0.25">
      <c r="A173" s="3" t="s">
        <v>605</v>
      </c>
      <c r="B173" s="34">
        <v>41929</v>
      </c>
      <c r="C173" s="35" t="s">
        <v>539</v>
      </c>
      <c r="D173" s="35"/>
      <c r="E173" s="34" t="s">
        <v>539</v>
      </c>
      <c r="F173" s="35" t="s">
        <v>539</v>
      </c>
      <c r="G173" s="3" t="str">
        <f>+"13-JUN-2014"</f>
        <v>13-JUN-2014</v>
      </c>
      <c r="H173" s="63">
        <f t="shared" si="2"/>
        <v>192</v>
      </c>
      <c r="I173" s="3"/>
      <c r="J173" s="38"/>
      <c r="K173" s="3"/>
      <c r="L173" s="35"/>
      <c r="M173" s="3" t="s">
        <v>21</v>
      </c>
      <c r="N173" s="3" t="s">
        <v>628</v>
      </c>
      <c r="O173" s="3" t="s">
        <v>15</v>
      </c>
      <c r="P173" s="3" t="s">
        <v>52</v>
      </c>
      <c r="Q173" s="3" t="s">
        <v>43</v>
      </c>
      <c r="R173" s="22" t="s">
        <v>108</v>
      </c>
    </row>
    <row r="174" spans="1:18" ht="84.95" customHeight="1" x14ac:dyDescent="0.25">
      <c r="A174" s="3" t="s">
        <v>327</v>
      </c>
      <c r="B174" s="34" t="s">
        <v>539</v>
      </c>
      <c r="C174" s="35" t="s">
        <v>539</v>
      </c>
      <c r="D174" s="35"/>
      <c r="E174" s="34" t="s">
        <v>539</v>
      </c>
      <c r="F174" s="35" t="s">
        <v>539</v>
      </c>
      <c r="G174" s="36" t="str">
        <f>+"17-JUN-2014"</f>
        <v>17-JUN-2014</v>
      </c>
      <c r="H174" s="63">
        <f t="shared" si="2"/>
        <v>188</v>
      </c>
      <c r="I174" s="3" t="str">
        <f>+""</f>
        <v/>
      </c>
      <c r="J174" s="38"/>
      <c r="K174" s="3"/>
      <c r="L174" s="35"/>
      <c r="M174" s="3" t="s">
        <v>21</v>
      </c>
      <c r="N174" s="3" t="s">
        <v>328</v>
      </c>
      <c r="O174" s="3" t="s">
        <v>15</v>
      </c>
      <c r="P174" s="3" t="s">
        <v>27</v>
      </c>
      <c r="Q174" s="3" t="s">
        <v>38</v>
      </c>
      <c r="R174" s="22" t="s">
        <v>35</v>
      </c>
    </row>
    <row r="175" spans="1:18" s="56" customFormat="1" ht="84.95" customHeight="1" x14ac:dyDescent="0.25">
      <c r="A175" s="3" t="s">
        <v>329</v>
      </c>
      <c r="B175" s="34">
        <v>41899</v>
      </c>
      <c r="C175" s="35">
        <v>41908</v>
      </c>
      <c r="D175" s="35"/>
      <c r="E175" s="34">
        <v>42198</v>
      </c>
      <c r="F175" s="35" t="s">
        <v>539</v>
      </c>
      <c r="G175" s="36" t="str">
        <f>+"20-JUN-2014"</f>
        <v>20-JUN-2014</v>
      </c>
      <c r="H175" s="63">
        <f t="shared" si="2"/>
        <v>185</v>
      </c>
      <c r="I175" s="3" t="str">
        <f>+""</f>
        <v/>
      </c>
      <c r="J175" s="38"/>
      <c r="K175" s="3"/>
      <c r="L175" s="35"/>
      <c r="M175" s="3" t="s">
        <v>11</v>
      </c>
      <c r="N175" s="3" t="s">
        <v>330</v>
      </c>
      <c r="O175" s="3" t="s">
        <v>15</v>
      </c>
      <c r="P175" s="3" t="s">
        <v>16</v>
      </c>
      <c r="Q175" s="3" t="s">
        <v>23</v>
      </c>
      <c r="R175" s="22" t="s">
        <v>49</v>
      </c>
    </row>
    <row r="176" spans="1:18" ht="84.95" customHeight="1" x14ac:dyDescent="0.25">
      <c r="A176" s="3" t="s">
        <v>418</v>
      </c>
      <c r="B176" s="34" t="s">
        <v>539</v>
      </c>
      <c r="C176" s="35" t="s">
        <v>539</v>
      </c>
      <c r="D176" s="35"/>
      <c r="E176" s="34" t="s">
        <v>539</v>
      </c>
      <c r="F176" s="35" t="s">
        <v>539</v>
      </c>
      <c r="G176" s="36" t="str">
        <f>+"23-JUN-2014"</f>
        <v>23-JUN-2014</v>
      </c>
      <c r="H176" s="63">
        <f t="shared" si="2"/>
        <v>182</v>
      </c>
      <c r="I176" s="3" t="str">
        <f>+""</f>
        <v/>
      </c>
      <c r="J176" s="38"/>
      <c r="K176" s="3"/>
      <c r="L176" s="35"/>
      <c r="M176" s="3"/>
      <c r="N176" s="3" t="s">
        <v>419</v>
      </c>
      <c r="O176" s="3" t="s">
        <v>15</v>
      </c>
      <c r="P176" s="3" t="s">
        <v>19</v>
      </c>
      <c r="Q176" s="3" t="s">
        <v>38</v>
      </c>
      <c r="R176" s="22" t="s">
        <v>49</v>
      </c>
    </row>
    <row r="177" spans="1:18" ht="84.95" customHeight="1" x14ac:dyDescent="0.25">
      <c r="A177" s="3" t="s">
        <v>331</v>
      </c>
      <c r="B177" s="34" t="s">
        <v>539</v>
      </c>
      <c r="C177" s="35" t="s">
        <v>539</v>
      </c>
      <c r="D177" s="35"/>
      <c r="E177" s="34" t="s">
        <v>539</v>
      </c>
      <c r="F177" s="35" t="s">
        <v>539</v>
      </c>
      <c r="G177" s="36" t="str">
        <f>+"24-JUN-2014"</f>
        <v>24-JUN-2014</v>
      </c>
      <c r="H177" s="63">
        <f t="shared" si="2"/>
        <v>181</v>
      </c>
      <c r="I177" s="3" t="str">
        <f>+""</f>
        <v/>
      </c>
      <c r="J177" s="38"/>
      <c r="K177" s="3"/>
      <c r="L177" s="35"/>
      <c r="M177" s="3" t="s">
        <v>21</v>
      </c>
      <c r="N177" s="3" t="s">
        <v>332</v>
      </c>
      <c r="O177" s="3" t="s">
        <v>15</v>
      </c>
      <c r="P177" s="3" t="s">
        <v>44</v>
      </c>
      <c r="Q177" s="3" t="s">
        <v>38</v>
      </c>
      <c r="R177" s="22" t="s">
        <v>312</v>
      </c>
    </row>
    <row r="178" spans="1:18" ht="84.95" customHeight="1" x14ac:dyDescent="0.25">
      <c r="A178" s="3" t="s">
        <v>451</v>
      </c>
      <c r="B178" s="34">
        <v>41932</v>
      </c>
      <c r="C178" s="35" t="s">
        <v>539</v>
      </c>
      <c r="D178" s="35"/>
      <c r="E178" s="34" t="s">
        <v>539</v>
      </c>
      <c r="F178" s="35" t="s">
        <v>539</v>
      </c>
      <c r="G178" s="36" t="str">
        <f>+"26-JUN-2014"</f>
        <v>26-JUN-2014</v>
      </c>
      <c r="H178" s="63">
        <f t="shared" si="2"/>
        <v>179</v>
      </c>
      <c r="I178" s="3" t="str">
        <f>+""</f>
        <v/>
      </c>
      <c r="J178" s="38"/>
      <c r="K178" s="3"/>
      <c r="L178" s="35"/>
      <c r="M178" s="3" t="s">
        <v>11</v>
      </c>
      <c r="N178" s="3" t="s">
        <v>452</v>
      </c>
      <c r="O178" s="3" t="s">
        <v>15</v>
      </c>
      <c r="P178" s="3" t="s">
        <v>67</v>
      </c>
      <c r="Q178" s="3" t="s">
        <v>38</v>
      </c>
      <c r="R178" s="22" t="s">
        <v>74</v>
      </c>
    </row>
    <row r="179" spans="1:18" s="56" customFormat="1" ht="84.95" customHeight="1" x14ac:dyDescent="0.25">
      <c r="A179" s="3" t="s">
        <v>333</v>
      </c>
      <c r="B179" s="34">
        <v>41870</v>
      </c>
      <c r="C179" s="35" t="s">
        <v>539</v>
      </c>
      <c r="D179" s="35"/>
      <c r="E179" s="34">
        <v>41981</v>
      </c>
      <c r="F179" s="35" t="s">
        <v>539</v>
      </c>
      <c r="G179" s="36" t="str">
        <f>+"27-JUN-2014"</f>
        <v>27-JUN-2014</v>
      </c>
      <c r="H179" s="63">
        <f t="shared" si="2"/>
        <v>178</v>
      </c>
      <c r="I179" s="3" t="str">
        <f>+""</f>
        <v/>
      </c>
      <c r="J179" s="38"/>
      <c r="K179" s="3"/>
      <c r="L179" s="35"/>
      <c r="M179" s="3" t="s">
        <v>11</v>
      </c>
      <c r="N179" s="3" t="s">
        <v>334</v>
      </c>
      <c r="O179" s="3" t="s">
        <v>15</v>
      </c>
      <c r="P179" s="3" t="s">
        <v>67</v>
      </c>
      <c r="Q179" s="3" t="s">
        <v>38</v>
      </c>
      <c r="R179" s="22" t="s">
        <v>108</v>
      </c>
    </row>
    <row r="180" spans="1:18" ht="84.95" customHeight="1" x14ac:dyDescent="0.25">
      <c r="A180" s="3" t="s">
        <v>535</v>
      </c>
      <c r="B180" s="34">
        <v>41942</v>
      </c>
      <c r="C180" s="35" t="s">
        <v>539</v>
      </c>
      <c r="D180" s="35"/>
      <c r="E180" s="34" t="s">
        <v>539</v>
      </c>
      <c r="F180" s="35" t="s">
        <v>539</v>
      </c>
      <c r="G180" s="36" t="str">
        <f>+"10-JUL-2014"</f>
        <v>10-JUL-2014</v>
      </c>
      <c r="H180" s="63">
        <f t="shared" si="2"/>
        <v>165</v>
      </c>
      <c r="I180" s="3" t="str">
        <f>+""</f>
        <v/>
      </c>
      <c r="J180" s="38"/>
      <c r="K180" s="3"/>
      <c r="L180" s="35"/>
      <c r="M180" s="3" t="s">
        <v>21</v>
      </c>
      <c r="N180" s="3" t="s">
        <v>536</v>
      </c>
      <c r="O180" s="3" t="s">
        <v>15</v>
      </c>
      <c r="P180" s="3" t="s">
        <v>16</v>
      </c>
      <c r="Q180" s="3" t="s">
        <v>43</v>
      </c>
      <c r="R180" s="22" t="s">
        <v>537</v>
      </c>
    </row>
    <row r="181" spans="1:18" ht="84.95" customHeight="1" x14ac:dyDescent="0.25">
      <c r="A181" s="3" t="s">
        <v>544</v>
      </c>
      <c r="B181" s="34">
        <v>41906</v>
      </c>
      <c r="C181" s="35" t="s">
        <v>539</v>
      </c>
      <c r="D181" s="35"/>
      <c r="E181" s="34" t="s">
        <v>539</v>
      </c>
      <c r="F181" s="35" t="s">
        <v>539</v>
      </c>
      <c r="G181" s="3" t="str">
        <f>+"11-JUL-2014"</f>
        <v>11-JUL-2014</v>
      </c>
      <c r="H181" s="63">
        <f t="shared" si="2"/>
        <v>164</v>
      </c>
      <c r="I181" s="3"/>
      <c r="J181" s="38"/>
      <c r="K181" s="3"/>
      <c r="L181" s="35"/>
      <c r="M181" s="3" t="s">
        <v>21</v>
      </c>
      <c r="N181" s="3" t="s">
        <v>549</v>
      </c>
      <c r="O181" s="3" t="s">
        <v>15</v>
      </c>
      <c r="P181" s="3" t="s">
        <v>19</v>
      </c>
      <c r="Q181" s="3" t="s">
        <v>38</v>
      </c>
      <c r="R181" s="22" t="s">
        <v>312</v>
      </c>
    </row>
    <row r="182" spans="1:18" ht="84.95" customHeight="1" x14ac:dyDescent="0.25">
      <c r="A182" s="3" t="s">
        <v>545</v>
      </c>
      <c r="B182" s="34">
        <v>41884</v>
      </c>
      <c r="C182" s="35">
        <v>41906</v>
      </c>
      <c r="D182" s="35"/>
      <c r="E182" s="34" t="s">
        <v>539</v>
      </c>
      <c r="F182" s="35" t="s">
        <v>539</v>
      </c>
      <c r="G182" s="3" t="str">
        <f>+"15-JUL-2014"</f>
        <v>15-JUL-2014</v>
      </c>
      <c r="H182" s="63">
        <f t="shared" si="2"/>
        <v>160</v>
      </c>
      <c r="I182" s="3"/>
      <c r="J182" s="38"/>
      <c r="K182" s="3"/>
      <c r="L182" s="35"/>
      <c r="M182" s="3" t="s">
        <v>11</v>
      </c>
      <c r="N182" s="3" t="s">
        <v>550</v>
      </c>
      <c r="O182" s="3" t="s">
        <v>15</v>
      </c>
      <c r="P182" s="3" t="s">
        <v>19</v>
      </c>
      <c r="Q182" s="3" t="s">
        <v>43</v>
      </c>
      <c r="R182" s="22" t="s">
        <v>551</v>
      </c>
    </row>
    <row r="183" spans="1:18" ht="84.95" customHeight="1" x14ac:dyDescent="0.25">
      <c r="A183" s="3" t="s">
        <v>420</v>
      </c>
      <c r="B183" s="34" t="s">
        <v>539</v>
      </c>
      <c r="C183" s="35" t="s">
        <v>539</v>
      </c>
      <c r="D183" s="35"/>
      <c r="E183" s="34" t="s">
        <v>539</v>
      </c>
      <c r="F183" s="35" t="s">
        <v>539</v>
      </c>
      <c r="G183" s="36" t="str">
        <f>+"17-JUL-2014"</f>
        <v>17-JUL-2014</v>
      </c>
      <c r="H183" s="63">
        <f t="shared" si="2"/>
        <v>158</v>
      </c>
      <c r="I183" s="3" t="str">
        <f>+""</f>
        <v/>
      </c>
      <c r="J183" s="38"/>
      <c r="K183" s="3"/>
      <c r="L183" s="35"/>
      <c r="M183" s="3" t="s">
        <v>11</v>
      </c>
      <c r="N183" s="3" t="s">
        <v>421</v>
      </c>
      <c r="O183" s="3" t="s">
        <v>15</v>
      </c>
      <c r="P183" s="3" t="s">
        <v>27</v>
      </c>
      <c r="Q183" s="3" t="s">
        <v>23</v>
      </c>
      <c r="R183" s="22" t="s">
        <v>146</v>
      </c>
    </row>
    <row r="184" spans="1:18" ht="104.25" customHeight="1" x14ac:dyDescent="0.25">
      <c r="A184" s="3" t="s">
        <v>553</v>
      </c>
      <c r="B184" s="34" t="s">
        <v>539</v>
      </c>
      <c r="C184" s="35" t="s">
        <v>539</v>
      </c>
      <c r="D184" s="35"/>
      <c r="E184" s="34" t="s">
        <v>539</v>
      </c>
      <c r="F184" s="35" t="s">
        <v>539</v>
      </c>
      <c r="G184" s="35">
        <v>41838</v>
      </c>
      <c r="H184" s="63">
        <f t="shared" si="2"/>
        <v>157</v>
      </c>
      <c r="I184" s="3"/>
      <c r="J184" s="38"/>
      <c r="K184" s="3"/>
      <c r="L184" s="35"/>
      <c r="M184" s="3" t="s">
        <v>21</v>
      </c>
      <c r="N184" s="3" t="s">
        <v>742</v>
      </c>
      <c r="O184" s="3" t="s">
        <v>15</v>
      </c>
      <c r="P184" s="3" t="s">
        <v>27</v>
      </c>
      <c r="Q184" s="3" t="s">
        <v>43</v>
      </c>
      <c r="R184" s="22" t="s">
        <v>73</v>
      </c>
    </row>
    <row r="185" spans="1:18" ht="105.75" customHeight="1" x14ac:dyDescent="0.25">
      <c r="A185" s="3" t="s">
        <v>422</v>
      </c>
      <c r="B185" s="34" t="s">
        <v>539</v>
      </c>
      <c r="C185" s="35" t="s">
        <v>539</v>
      </c>
      <c r="D185" s="35"/>
      <c r="E185" s="34" t="s">
        <v>539</v>
      </c>
      <c r="F185" s="35" t="s">
        <v>539</v>
      </c>
      <c r="G185" s="36" t="str">
        <f>+"18-JUL-2014"</f>
        <v>18-JUL-2014</v>
      </c>
      <c r="H185" s="63">
        <f t="shared" si="2"/>
        <v>157</v>
      </c>
      <c r="I185" s="3" t="str">
        <f>+""</f>
        <v/>
      </c>
      <c r="J185" s="38"/>
      <c r="K185" s="3"/>
      <c r="L185" s="35"/>
      <c r="M185" s="3" t="s">
        <v>11</v>
      </c>
      <c r="N185" s="3" t="s">
        <v>423</v>
      </c>
      <c r="O185" s="3" t="s">
        <v>15</v>
      </c>
      <c r="P185" s="3" t="s">
        <v>19</v>
      </c>
      <c r="Q185" s="3" t="s">
        <v>23</v>
      </c>
      <c r="R185" s="22" t="s">
        <v>80</v>
      </c>
    </row>
    <row r="186" spans="1:18" ht="107.25" customHeight="1" x14ac:dyDescent="0.25">
      <c r="A186" s="3" t="s">
        <v>546</v>
      </c>
      <c r="B186" s="34" t="s">
        <v>539</v>
      </c>
      <c r="C186" s="35" t="s">
        <v>539</v>
      </c>
      <c r="D186" s="35"/>
      <c r="E186" s="34" t="s">
        <v>539</v>
      </c>
      <c r="F186" s="35" t="s">
        <v>539</v>
      </c>
      <c r="G186" s="3" t="str">
        <f>+"22-JUL-2014"</f>
        <v>22-JUL-2014</v>
      </c>
      <c r="H186" s="63">
        <f t="shared" si="2"/>
        <v>153</v>
      </c>
      <c r="I186" s="3"/>
      <c r="J186" s="38"/>
      <c r="K186" s="3"/>
      <c r="L186" s="35"/>
      <c r="M186" s="3" t="s">
        <v>21</v>
      </c>
      <c r="N186" s="3" t="s">
        <v>743</v>
      </c>
      <c r="O186" s="3" t="s">
        <v>15</v>
      </c>
      <c r="P186" s="3" t="s">
        <v>67</v>
      </c>
      <c r="Q186" s="3" t="s">
        <v>38</v>
      </c>
      <c r="R186" s="22" t="s">
        <v>312</v>
      </c>
    </row>
    <row r="187" spans="1:18" ht="84.95" customHeight="1" x14ac:dyDescent="0.25">
      <c r="A187" s="3" t="s">
        <v>547</v>
      </c>
      <c r="B187" s="34">
        <v>41898</v>
      </c>
      <c r="C187" s="35">
        <v>41908</v>
      </c>
      <c r="D187" s="35"/>
      <c r="E187" s="34">
        <v>41974</v>
      </c>
      <c r="F187" s="35" t="s">
        <v>539</v>
      </c>
      <c r="G187" s="3" t="str">
        <f>+"01-AUG-2014"</f>
        <v>01-AUG-2014</v>
      </c>
      <c r="H187" s="63">
        <f t="shared" si="2"/>
        <v>143</v>
      </c>
      <c r="I187" s="3"/>
      <c r="J187" s="38"/>
      <c r="K187" s="3"/>
      <c r="L187" s="35"/>
      <c r="M187" s="3" t="s">
        <v>11</v>
      </c>
      <c r="N187" s="3" t="s">
        <v>744</v>
      </c>
      <c r="O187" s="3" t="s">
        <v>15</v>
      </c>
      <c r="P187" s="3" t="s">
        <v>16</v>
      </c>
      <c r="Q187" s="3" t="s">
        <v>23</v>
      </c>
      <c r="R187" s="22" t="s">
        <v>552</v>
      </c>
    </row>
    <row r="188" spans="1:18" ht="84.95" customHeight="1" x14ac:dyDescent="0.25">
      <c r="A188" s="3" t="s">
        <v>554</v>
      </c>
      <c r="B188" s="34" t="s">
        <v>539</v>
      </c>
      <c r="C188" s="35">
        <v>41919</v>
      </c>
      <c r="D188" s="35"/>
      <c r="E188" s="34" t="s">
        <v>539</v>
      </c>
      <c r="F188" s="35" t="s">
        <v>539</v>
      </c>
      <c r="G188" s="35">
        <v>41852</v>
      </c>
      <c r="H188" s="63">
        <f t="shared" si="2"/>
        <v>143</v>
      </c>
      <c r="I188" s="3"/>
      <c r="J188" s="38"/>
      <c r="K188" s="3"/>
      <c r="L188" s="35"/>
      <c r="M188" s="3" t="s">
        <v>11</v>
      </c>
      <c r="N188" s="3" t="s">
        <v>745</v>
      </c>
      <c r="O188" s="3" t="s">
        <v>15</v>
      </c>
      <c r="P188" s="3" t="s">
        <v>16</v>
      </c>
      <c r="Q188" s="3" t="s">
        <v>14</v>
      </c>
      <c r="R188" s="22" t="s">
        <v>146</v>
      </c>
    </row>
    <row r="189" spans="1:18" ht="84.95" customHeight="1" x14ac:dyDescent="0.25">
      <c r="A189" s="3" t="s">
        <v>607</v>
      </c>
      <c r="B189" s="34" t="s">
        <v>539</v>
      </c>
      <c r="C189" s="34" t="s">
        <v>539</v>
      </c>
      <c r="D189" s="34"/>
      <c r="E189" s="34" t="s">
        <v>539</v>
      </c>
      <c r="F189" s="34" t="s">
        <v>539</v>
      </c>
      <c r="G189" s="3" t="str">
        <f>+"04-AUG-2014"</f>
        <v>04-AUG-2014</v>
      </c>
      <c r="H189" s="63">
        <f t="shared" si="2"/>
        <v>140</v>
      </c>
      <c r="I189" s="3"/>
      <c r="J189" s="38"/>
      <c r="K189" s="3"/>
      <c r="L189" s="35"/>
      <c r="M189" s="3" t="s">
        <v>11</v>
      </c>
      <c r="N189" s="3" t="s">
        <v>630</v>
      </c>
      <c r="O189" s="3" t="s">
        <v>15</v>
      </c>
      <c r="P189" s="3" t="s">
        <v>16</v>
      </c>
      <c r="Q189" s="3" t="s">
        <v>23</v>
      </c>
      <c r="R189" s="22" t="s">
        <v>18</v>
      </c>
    </row>
    <row r="190" spans="1:18" s="56" customFormat="1" ht="84.95" customHeight="1" x14ac:dyDescent="0.25">
      <c r="A190" s="3" t="s">
        <v>572</v>
      </c>
      <c r="B190" s="34" t="s">
        <v>539</v>
      </c>
      <c r="C190" s="35" t="s">
        <v>539</v>
      </c>
      <c r="D190" s="35"/>
      <c r="E190" s="34" t="s">
        <v>539</v>
      </c>
      <c r="F190" s="35" t="s">
        <v>539</v>
      </c>
      <c r="G190" s="39">
        <v>41857</v>
      </c>
      <c r="H190" s="63">
        <f t="shared" si="2"/>
        <v>138</v>
      </c>
      <c r="I190" s="3"/>
      <c r="J190" s="38"/>
      <c r="K190" s="3"/>
      <c r="L190" s="35"/>
      <c r="M190" s="3" t="s">
        <v>11</v>
      </c>
      <c r="N190" s="3" t="s">
        <v>746</v>
      </c>
      <c r="O190" s="3" t="s">
        <v>15</v>
      </c>
      <c r="P190" s="3" t="s">
        <v>13</v>
      </c>
      <c r="Q190" s="3" t="s">
        <v>14</v>
      </c>
      <c r="R190" s="22" t="s">
        <v>573</v>
      </c>
    </row>
    <row r="191" spans="1:18" ht="84.95" customHeight="1" x14ac:dyDescent="0.25">
      <c r="A191" s="3" t="s">
        <v>608</v>
      </c>
      <c r="B191" s="34" t="s">
        <v>539</v>
      </c>
      <c r="C191" s="35" t="s">
        <v>539</v>
      </c>
      <c r="D191" s="35"/>
      <c r="E191" s="34" t="s">
        <v>539</v>
      </c>
      <c r="F191" s="35" t="s">
        <v>539</v>
      </c>
      <c r="G191" s="3" t="str">
        <f>+"06-AUG-2014"</f>
        <v>06-AUG-2014</v>
      </c>
      <c r="H191" s="63">
        <f t="shared" si="2"/>
        <v>138</v>
      </c>
      <c r="I191" s="3"/>
      <c r="J191" s="38"/>
      <c r="K191" s="3"/>
      <c r="L191" s="35"/>
      <c r="M191" s="3" t="s">
        <v>11</v>
      </c>
      <c r="N191" s="3" t="s">
        <v>631</v>
      </c>
      <c r="O191" s="3" t="s">
        <v>15</v>
      </c>
      <c r="P191" s="3" t="s">
        <v>19</v>
      </c>
      <c r="Q191" s="3" t="s">
        <v>23</v>
      </c>
      <c r="R191" s="22" t="s">
        <v>79</v>
      </c>
    </row>
    <row r="192" spans="1:18" s="56" customFormat="1" ht="84.95" customHeight="1" x14ac:dyDescent="0.25">
      <c r="A192" s="3" t="s">
        <v>555</v>
      </c>
      <c r="B192" s="34">
        <v>41946</v>
      </c>
      <c r="C192" s="35">
        <v>41960</v>
      </c>
      <c r="D192" s="35"/>
      <c r="E192" s="34" t="s">
        <v>539</v>
      </c>
      <c r="F192" s="35" t="s">
        <v>539</v>
      </c>
      <c r="G192" s="35">
        <v>41859</v>
      </c>
      <c r="H192" s="63">
        <f t="shared" si="2"/>
        <v>136</v>
      </c>
      <c r="I192" s="3"/>
      <c r="J192" s="38"/>
      <c r="K192" s="3"/>
      <c r="L192" s="35"/>
      <c r="M192" s="3" t="s">
        <v>11</v>
      </c>
      <c r="N192" s="3" t="s">
        <v>747</v>
      </c>
      <c r="O192" s="3" t="s">
        <v>15</v>
      </c>
      <c r="P192" s="3" t="s">
        <v>67</v>
      </c>
      <c r="Q192" s="3" t="s">
        <v>38</v>
      </c>
      <c r="R192" s="22" t="s">
        <v>263</v>
      </c>
    </row>
    <row r="193" spans="1:18" ht="84.95" customHeight="1" x14ac:dyDescent="0.25">
      <c r="A193" s="3" t="s">
        <v>609</v>
      </c>
      <c r="B193" s="34" t="s">
        <v>539</v>
      </c>
      <c r="C193" s="35" t="s">
        <v>539</v>
      </c>
      <c r="D193" s="35"/>
      <c r="E193" s="34" t="s">
        <v>539</v>
      </c>
      <c r="F193" s="35" t="s">
        <v>539</v>
      </c>
      <c r="G193" s="3" t="str">
        <f>+"13-AUG-2014"</f>
        <v>13-AUG-2014</v>
      </c>
      <c r="H193" s="63">
        <f t="shared" si="2"/>
        <v>131</v>
      </c>
      <c r="I193" s="3"/>
      <c r="J193" s="38"/>
      <c r="K193" s="3"/>
      <c r="L193" s="35"/>
      <c r="M193" s="3"/>
      <c r="N193" s="3" t="s">
        <v>632</v>
      </c>
      <c r="O193" s="3" t="s">
        <v>15</v>
      </c>
      <c r="P193" s="3" t="s">
        <v>27</v>
      </c>
      <c r="Q193" s="3" t="s">
        <v>43</v>
      </c>
      <c r="R193" s="22" t="s">
        <v>119</v>
      </c>
    </row>
    <row r="194" spans="1:18" ht="110.25" customHeight="1" x14ac:dyDescent="0.25">
      <c r="A194" s="3" t="s">
        <v>615</v>
      </c>
      <c r="B194" s="34" t="s">
        <v>539</v>
      </c>
      <c r="C194" s="35" t="s">
        <v>539</v>
      </c>
      <c r="D194" s="35"/>
      <c r="E194" s="34" t="s">
        <v>539</v>
      </c>
      <c r="F194" s="35" t="s">
        <v>539</v>
      </c>
      <c r="G194" s="3" t="str">
        <f>+"14-AUG-2014"</f>
        <v>14-AUG-2014</v>
      </c>
      <c r="H194" s="63">
        <f t="shared" si="2"/>
        <v>130</v>
      </c>
      <c r="I194" s="3"/>
      <c r="J194" s="38"/>
      <c r="K194" s="3"/>
      <c r="L194" s="35"/>
      <c r="M194" s="3" t="s">
        <v>11</v>
      </c>
      <c r="N194" s="3" t="s">
        <v>637</v>
      </c>
      <c r="O194" s="3" t="s">
        <v>15</v>
      </c>
      <c r="P194" s="3" t="s">
        <v>27</v>
      </c>
      <c r="Q194" s="3" t="s">
        <v>23</v>
      </c>
      <c r="R194" s="22" t="s">
        <v>163</v>
      </c>
    </row>
    <row r="195" spans="1:18" ht="84.95" customHeight="1" x14ac:dyDescent="0.25">
      <c r="A195" s="3" t="s">
        <v>618</v>
      </c>
      <c r="B195" s="34">
        <v>41955</v>
      </c>
      <c r="C195" s="35">
        <v>41962</v>
      </c>
      <c r="D195" s="35"/>
      <c r="E195" s="34" t="s">
        <v>539</v>
      </c>
      <c r="F195" s="35" t="s">
        <v>539</v>
      </c>
      <c r="G195" s="52" t="str">
        <f>+"14-AUG-2014"</f>
        <v>14-AUG-2014</v>
      </c>
      <c r="H195" s="63">
        <f t="shared" ref="H195:H243" si="3">DATE(2014, 12, 22) - G195</f>
        <v>130</v>
      </c>
      <c r="I195" s="3"/>
      <c r="J195" s="38"/>
      <c r="K195" s="3"/>
      <c r="L195" s="35"/>
      <c r="M195" s="52" t="s">
        <v>21</v>
      </c>
      <c r="N195" s="3" t="s">
        <v>643</v>
      </c>
      <c r="O195" s="52" t="s">
        <v>15</v>
      </c>
      <c r="P195" s="52" t="s">
        <v>16</v>
      </c>
      <c r="Q195" s="3" t="s">
        <v>14</v>
      </c>
      <c r="R195" s="55" t="s">
        <v>455</v>
      </c>
    </row>
    <row r="196" spans="1:18" ht="84.95" customHeight="1" x14ac:dyDescent="0.25">
      <c r="A196" s="3" t="s">
        <v>619</v>
      </c>
      <c r="B196" s="35" t="s">
        <v>539</v>
      </c>
      <c r="C196" s="35" t="s">
        <v>539</v>
      </c>
      <c r="D196" s="35"/>
      <c r="E196" s="35" t="s">
        <v>539</v>
      </c>
      <c r="F196" s="35" t="s">
        <v>539</v>
      </c>
      <c r="G196" s="3" t="str">
        <f>+"14-AUG-2014"</f>
        <v>14-AUG-2014</v>
      </c>
      <c r="H196" s="63">
        <f t="shared" si="3"/>
        <v>130</v>
      </c>
      <c r="I196" s="3"/>
      <c r="J196" s="38"/>
      <c r="K196" s="3"/>
      <c r="L196" s="35"/>
      <c r="M196" s="3" t="s">
        <v>21</v>
      </c>
      <c r="N196" s="3" t="s">
        <v>640</v>
      </c>
      <c r="O196" s="3" t="s">
        <v>15</v>
      </c>
      <c r="P196" s="3" t="s">
        <v>16</v>
      </c>
      <c r="Q196" s="3" t="s">
        <v>43</v>
      </c>
      <c r="R196" s="22" t="s">
        <v>285</v>
      </c>
    </row>
    <row r="197" spans="1:18" ht="84.95" customHeight="1" x14ac:dyDescent="0.25">
      <c r="A197" s="3" t="s">
        <v>606</v>
      </c>
      <c r="B197" s="35">
        <v>41948</v>
      </c>
      <c r="C197" s="35" t="s">
        <v>539</v>
      </c>
      <c r="D197" s="35"/>
      <c r="E197" s="35" t="s">
        <v>539</v>
      </c>
      <c r="F197" s="35" t="s">
        <v>539</v>
      </c>
      <c r="G197" s="3" t="str">
        <f>+"25-AUG-2014"</f>
        <v>25-AUG-2014</v>
      </c>
      <c r="H197" s="63">
        <f t="shared" si="3"/>
        <v>119</v>
      </c>
      <c r="I197" s="3"/>
      <c r="J197" s="38"/>
      <c r="K197" s="3"/>
      <c r="L197" s="35"/>
      <c r="M197" s="3" t="s">
        <v>21</v>
      </c>
      <c r="N197" s="3" t="s">
        <v>629</v>
      </c>
      <c r="O197" s="3" t="s">
        <v>15</v>
      </c>
      <c r="P197" s="3" t="s">
        <v>27</v>
      </c>
      <c r="Q197" s="3" t="s">
        <v>38</v>
      </c>
      <c r="R197" s="22" t="s">
        <v>197</v>
      </c>
    </row>
    <row r="198" spans="1:18" ht="84.95" customHeight="1" x14ac:dyDescent="0.25">
      <c r="A198" s="3" t="s">
        <v>610</v>
      </c>
      <c r="B198" s="34" t="s">
        <v>539</v>
      </c>
      <c r="C198" s="34" t="s">
        <v>539</v>
      </c>
      <c r="D198" s="34"/>
      <c r="E198" s="34" t="s">
        <v>539</v>
      </c>
      <c r="F198" s="34" t="s">
        <v>539</v>
      </c>
      <c r="G198" s="3" t="str">
        <f>+"25-AUG-2014"</f>
        <v>25-AUG-2014</v>
      </c>
      <c r="H198" s="63">
        <f t="shared" si="3"/>
        <v>119</v>
      </c>
      <c r="I198" s="3"/>
      <c r="J198" s="38"/>
      <c r="K198" s="3"/>
      <c r="L198" s="35"/>
      <c r="M198" s="3"/>
      <c r="N198" s="3" t="s">
        <v>633</v>
      </c>
      <c r="O198" s="3" t="s">
        <v>15</v>
      </c>
      <c r="P198" s="3" t="s">
        <v>67</v>
      </c>
      <c r="Q198" s="3" t="s">
        <v>43</v>
      </c>
      <c r="R198" s="22" t="s">
        <v>35</v>
      </c>
    </row>
    <row r="199" spans="1:18" ht="84.95" customHeight="1" x14ac:dyDescent="0.25">
      <c r="A199" s="3" t="s">
        <v>616</v>
      </c>
      <c r="B199" s="34" t="s">
        <v>539</v>
      </c>
      <c r="C199" s="34" t="s">
        <v>539</v>
      </c>
      <c r="D199" s="34"/>
      <c r="E199" s="34" t="s">
        <v>539</v>
      </c>
      <c r="F199" s="34" t="s">
        <v>539</v>
      </c>
      <c r="G199" s="3" t="str">
        <f>+"28-AUG-2014"</f>
        <v>28-AUG-2014</v>
      </c>
      <c r="H199" s="63">
        <f t="shared" si="3"/>
        <v>116</v>
      </c>
      <c r="I199" s="3"/>
      <c r="J199" s="38"/>
      <c r="K199" s="3"/>
      <c r="L199" s="35"/>
      <c r="M199" s="3" t="s">
        <v>11</v>
      </c>
      <c r="N199" s="3" t="s">
        <v>638</v>
      </c>
      <c r="O199" s="3" t="s">
        <v>15</v>
      </c>
      <c r="P199" s="3" t="s">
        <v>52</v>
      </c>
      <c r="Q199" s="3" t="s">
        <v>43</v>
      </c>
      <c r="R199" s="22" t="s">
        <v>119</v>
      </c>
    </row>
    <row r="200" spans="1:18" ht="84.95" customHeight="1" x14ac:dyDescent="0.25">
      <c r="A200" s="3" t="s">
        <v>590</v>
      </c>
      <c r="B200" s="34">
        <v>41906</v>
      </c>
      <c r="C200" s="35">
        <v>41962</v>
      </c>
      <c r="D200" s="35"/>
      <c r="E200" s="34" t="s">
        <v>539</v>
      </c>
      <c r="F200" s="35" t="s">
        <v>539</v>
      </c>
      <c r="G200" s="35">
        <v>41879</v>
      </c>
      <c r="H200" s="63">
        <f t="shared" si="3"/>
        <v>116</v>
      </c>
      <c r="I200" s="3"/>
      <c r="J200" s="38"/>
      <c r="K200" s="3"/>
      <c r="L200" s="35"/>
      <c r="M200" s="3" t="s">
        <v>11</v>
      </c>
      <c r="N200" s="3" t="s">
        <v>591</v>
      </c>
      <c r="O200" s="3" t="s">
        <v>15</v>
      </c>
      <c r="P200" s="3" t="s">
        <v>16</v>
      </c>
      <c r="Q200" s="3" t="s">
        <v>43</v>
      </c>
      <c r="R200" s="22" t="s">
        <v>592</v>
      </c>
    </row>
    <row r="201" spans="1:18" ht="84.95" customHeight="1" x14ac:dyDescent="0.25">
      <c r="A201" s="3" t="s">
        <v>620</v>
      </c>
      <c r="B201" s="34">
        <v>41962</v>
      </c>
      <c r="C201" s="35" t="s">
        <v>539</v>
      </c>
      <c r="D201" s="35"/>
      <c r="E201" s="34" t="s">
        <v>539</v>
      </c>
      <c r="F201" s="35" t="s">
        <v>539</v>
      </c>
      <c r="G201" s="3" t="str">
        <f>+"28-AUG-2014"</f>
        <v>28-AUG-2014</v>
      </c>
      <c r="H201" s="63">
        <f t="shared" si="3"/>
        <v>116</v>
      </c>
      <c r="I201" s="3"/>
      <c r="J201" s="38"/>
      <c r="K201" s="3"/>
      <c r="L201" s="35"/>
      <c r="M201" s="3" t="s">
        <v>21</v>
      </c>
      <c r="N201" s="3" t="s">
        <v>641</v>
      </c>
      <c r="O201" s="3" t="s">
        <v>15</v>
      </c>
      <c r="P201" s="3" t="s">
        <v>44</v>
      </c>
      <c r="Q201" s="3" t="s">
        <v>23</v>
      </c>
      <c r="R201" s="22" t="s">
        <v>35</v>
      </c>
    </row>
    <row r="202" spans="1:18" s="56" customFormat="1" ht="84.95" customHeight="1" x14ac:dyDescent="0.25">
      <c r="A202" s="3" t="s">
        <v>585</v>
      </c>
      <c r="B202" s="34">
        <v>41964</v>
      </c>
      <c r="C202" s="35" t="s">
        <v>539</v>
      </c>
      <c r="D202" s="35"/>
      <c r="E202" s="34" t="s">
        <v>539</v>
      </c>
      <c r="F202" s="35" t="s">
        <v>539</v>
      </c>
      <c r="G202" s="35">
        <v>41885</v>
      </c>
      <c r="H202" s="63">
        <f t="shared" si="3"/>
        <v>110</v>
      </c>
      <c r="I202" s="3"/>
      <c r="J202" s="38"/>
      <c r="K202" s="3"/>
      <c r="L202" s="35"/>
      <c r="M202" s="3" t="s">
        <v>21</v>
      </c>
      <c r="N202" s="3" t="s">
        <v>586</v>
      </c>
      <c r="O202" s="3" t="s">
        <v>15</v>
      </c>
      <c r="P202" s="3" t="s">
        <v>19</v>
      </c>
      <c r="Q202" s="3" t="s">
        <v>43</v>
      </c>
      <c r="R202" s="22" t="s">
        <v>732</v>
      </c>
    </row>
    <row r="203" spans="1:18" ht="120.75" customHeight="1" x14ac:dyDescent="0.25">
      <c r="A203" s="3" t="s">
        <v>574</v>
      </c>
      <c r="B203" s="34">
        <v>41982</v>
      </c>
      <c r="C203" s="35" t="s">
        <v>539</v>
      </c>
      <c r="D203" s="35"/>
      <c r="E203" s="34" t="s">
        <v>539</v>
      </c>
      <c r="F203" s="35" t="s">
        <v>539</v>
      </c>
      <c r="G203" s="35" t="str">
        <f>+"09-SEP-2014"</f>
        <v>09-SEP-2014</v>
      </c>
      <c r="H203" s="63">
        <f t="shared" si="3"/>
        <v>104</v>
      </c>
      <c r="I203" s="3"/>
      <c r="J203" s="38"/>
      <c r="K203" s="3"/>
      <c r="L203" s="35"/>
      <c r="M203" s="3" t="s">
        <v>11</v>
      </c>
      <c r="N203" s="3" t="s">
        <v>748</v>
      </c>
      <c r="O203" s="3" t="s">
        <v>15</v>
      </c>
      <c r="P203" s="3" t="s">
        <v>16</v>
      </c>
      <c r="Q203" s="3" t="s">
        <v>23</v>
      </c>
      <c r="R203" s="22" t="s">
        <v>285</v>
      </c>
    </row>
    <row r="204" spans="1:18" ht="84.95" customHeight="1" x14ac:dyDescent="0.25">
      <c r="A204" s="3" t="s">
        <v>575</v>
      </c>
      <c r="B204" s="34" t="s">
        <v>539</v>
      </c>
      <c r="C204" s="35" t="s">
        <v>539</v>
      </c>
      <c r="D204" s="35"/>
      <c r="E204" s="34" t="s">
        <v>539</v>
      </c>
      <c r="F204" s="35" t="s">
        <v>539</v>
      </c>
      <c r="G204" s="35" t="str">
        <f>+"10-SEP-2014"</f>
        <v>10-SEP-2014</v>
      </c>
      <c r="H204" s="63">
        <f t="shared" si="3"/>
        <v>103</v>
      </c>
      <c r="I204" s="3"/>
      <c r="J204" s="38"/>
      <c r="K204" s="3"/>
      <c r="L204" s="35"/>
      <c r="M204" s="3" t="s">
        <v>21</v>
      </c>
      <c r="N204" s="3" t="s">
        <v>577</v>
      </c>
      <c r="O204" s="3" t="s">
        <v>15</v>
      </c>
      <c r="P204" s="3" t="s">
        <v>16</v>
      </c>
      <c r="Q204" s="3" t="s">
        <v>23</v>
      </c>
      <c r="R204" s="22" t="s">
        <v>579</v>
      </c>
    </row>
    <row r="205" spans="1:18" ht="84.95" customHeight="1" x14ac:dyDescent="0.25">
      <c r="A205" s="3" t="s">
        <v>576</v>
      </c>
      <c r="B205" s="34" t="s">
        <v>539</v>
      </c>
      <c r="C205" s="35" t="s">
        <v>539</v>
      </c>
      <c r="D205" s="35"/>
      <c r="E205" s="34" t="s">
        <v>539</v>
      </c>
      <c r="F205" s="35" t="s">
        <v>539</v>
      </c>
      <c r="G205" s="35" t="str">
        <f>+"10-SEP-2014"</f>
        <v>10-SEP-2014</v>
      </c>
      <c r="H205" s="63">
        <f t="shared" si="3"/>
        <v>103</v>
      </c>
      <c r="I205" s="3"/>
      <c r="J205" s="38"/>
      <c r="K205" s="3"/>
      <c r="L205" s="35"/>
      <c r="M205" s="3"/>
      <c r="N205" s="3" t="s">
        <v>578</v>
      </c>
      <c r="O205" s="3" t="s">
        <v>15</v>
      </c>
      <c r="P205" s="3" t="s">
        <v>16</v>
      </c>
      <c r="Q205" s="3" t="s">
        <v>43</v>
      </c>
      <c r="R205" s="22" t="s">
        <v>580</v>
      </c>
    </row>
    <row r="206" spans="1:18" ht="84.95" customHeight="1" x14ac:dyDescent="0.25">
      <c r="A206" s="3" t="s">
        <v>581</v>
      </c>
      <c r="B206" s="34" t="s">
        <v>539</v>
      </c>
      <c r="C206" s="35" t="s">
        <v>539</v>
      </c>
      <c r="D206" s="35"/>
      <c r="E206" s="34" t="s">
        <v>539</v>
      </c>
      <c r="F206" s="35" t="s">
        <v>539</v>
      </c>
      <c r="G206" s="36" t="str">
        <f>+"17-SEP-2014"</f>
        <v>17-SEP-2014</v>
      </c>
      <c r="H206" s="63">
        <f t="shared" si="3"/>
        <v>96</v>
      </c>
      <c r="I206" s="3"/>
      <c r="J206" s="38"/>
      <c r="K206" s="3"/>
      <c r="L206" s="35"/>
      <c r="M206" s="3"/>
      <c r="N206" s="3" t="s">
        <v>582</v>
      </c>
      <c r="O206" s="3" t="s">
        <v>15</v>
      </c>
      <c r="P206" s="3" t="s">
        <v>27</v>
      </c>
      <c r="Q206" s="3" t="s">
        <v>43</v>
      </c>
      <c r="R206" s="22" t="s">
        <v>584</v>
      </c>
    </row>
    <row r="207" spans="1:18" s="56" customFormat="1" ht="84.95" customHeight="1" x14ac:dyDescent="0.25">
      <c r="A207" s="29" t="s">
        <v>593</v>
      </c>
      <c r="B207" s="34" t="s">
        <v>539</v>
      </c>
      <c r="C207" s="34" t="s">
        <v>539</v>
      </c>
      <c r="D207" s="34"/>
      <c r="E207" s="34" t="s">
        <v>539</v>
      </c>
      <c r="F207" s="34" t="s">
        <v>539</v>
      </c>
      <c r="G207" s="34">
        <v>41907</v>
      </c>
      <c r="H207" s="63">
        <f t="shared" si="3"/>
        <v>88</v>
      </c>
      <c r="I207" s="29"/>
      <c r="J207" s="40"/>
      <c r="K207" s="29"/>
      <c r="L207" s="34"/>
      <c r="M207" s="29" t="s">
        <v>21</v>
      </c>
      <c r="N207" s="29" t="s">
        <v>594</v>
      </c>
      <c r="O207" s="29" t="s">
        <v>15</v>
      </c>
      <c r="P207" s="29" t="s">
        <v>27</v>
      </c>
      <c r="Q207" s="29" t="s">
        <v>38</v>
      </c>
      <c r="R207" s="30" t="s">
        <v>583</v>
      </c>
    </row>
    <row r="208" spans="1:18" ht="84.95" customHeight="1" x14ac:dyDescent="0.25">
      <c r="A208" s="3" t="s">
        <v>587</v>
      </c>
      <c r="B208" s="34" t="s">
        <v>539</v>
      </c>
      <c r="C208" s="35" t="s">
        <v>539</v>
      </c>
      <c r="D208" s="35"/>
      <c r="E208" s="34" t="s">
        <v>539</v>
      </c>
      <c r="F208" s="35" t="s">
        <v>539</v>
      </c>
      <c r="G208" s="35">
        <v>41907</v>
      </c>
      <c r="H208" s="63">
        <f t="shared" si="3"/>
        <v>88</v>
      </c>
      <c r="I208" s="3"/>
      <c r="J208" s="38"/>
      <c r="K208" s="3"/>
      <c r="L208" s="35"/>
      <c r="M208" s="3" t="s">
        <v>21</v>
      </c>
      <c r="N208" s="3" t="s">
        <v>588</v>
      </c>
      <c r="O208" s="3" t="s">
        <v>15</v>
      </c>
      <c r="P208" s="3" t="s">
        <v>16</v>
      </c>
      <c r="Q208" s="3" t="s">
        <v>23</v>
      </c>
      <c r="R208" s="22" t="s">
        <v>99</v>
      </c>
    </row>
    <row r="209" spans="1:18" ht="84.95" customHeight="1" x14ac:dyDescent="0.25">
      <c r="A209" s="29" t="s">
        <v>595</v>
      </c>
      <c r="B209" s="34">
        <v>41988</v>
      </c>
      <c r="C209" s="34" t="s">
        <v>539</v>
      </c>
      <c r="D209" s="34"/>
      <c r="E209" s="34" t="s">
        <v>539</v>
      </c>
      <c r="F209" s="34" t="s">
        <v>539</v>
      </c>
      <c r="G209" s="34">
        <v>41913</v>
      </c>
      <c r="H209" s="63">
        <f t="shared" si="3"/>
        <v>82</v>
      </c>
      <c r="I209" s="29"/>
      <c r="J209" s="40"/>
      <c r="K209" s="29"/>
      <c r="L209" s="34"/>
      <c r="M209" s="29" t="s">
        <v>21</v>
      </c>
      <c r="N209" s="29" t="s">
        <v>596</v>
      </c>
      <c r="O209" s="29" t="s">
        <v>15</v>
      </c>
      <c r="P209" s="29" t="s">
        <v>27</v>
      </c>
      <c r="Q209" s="29" t="s">
        <v>38</v>
      </c>
      <c r="R209" s="30" t="s">
        <v>583</v>
      </c>
    </row>
    <row r="210" spans="1:18" ht="84.95" customHeight="1" x14ac:dyDescent="0.25">
      <c r="A210" s="29" t="s">
        <v>597</v>
      </c>
      <c r="B210" s="34">
        <v>41995</v>
      </c>
      <c r="C210" s="34" t="s">
        <v>539</v>
      </c>
      <c r="D210" s="34"/>
      <c r="E210" s="34" t="s">
        <v>539</v>
      </c>
      <c r="F210" s="34" t="s">
        <v>539</v>
      </c>
      <c r="G210" s="34">
        <v>41913</v>
      </c>
      <c r="H210" s="63">
        <f t="shared" si="3"/>
        <v>82</v>
      </c>
      <c r="I210" s="29"/>
      <c r="J210" s="40"/>
      <c r="K210" s="29"/>
      <c r="L210" s="34"/>
      <c r="M210" s="29" t="s">
        <v>11</v>
      </c>
      <c r="N210" s="29" t="s">
        <v>598</v>
      </c>
      <c r="O210" s="29" t="s">
        <v>15</v>
      </c>
      <c r="P210" s="3" t="s">
        <v>16</v>
      </c>
      <c r="Q210" s="29" t="s">
        <v>38</v>
      </c>
      <c r="R210" s="30" t="s">
        <v>108</v>
      </c>
    </row>
    <row r="211" spans="1:18" ht="120" customHeight="1" x14ac:dyDescent="0.25">
      <c r="A211" s="29" t="s">
        <v>600</v>
      </c>
      <c r="B211" s="34" t="s">
        <v>539</v>
      </c>
      <c r="C211" s="34" t="s">
        <v>539</v>
      </c>
      <c r="D211" s="34"/>
      <c r="E211" s="34" t="s">
        <v>539</v>
      </c>
      <c r="F211" s="34" t="s">
        <v>539</v>
      </c>
      <c r="G211" s="34">
        <v>41914</v>
      </c>
      <c r="H211" s="63">
        <f t="shared" si="3"/>
        <v>81</v>
      </c>
      <c r="I211" s="29"/>
      <c r="J211" s="40"/>
      <c r="K211" s="29"/>
      <c r="L211" s="34"/>
      <c r="M211" s="29" t="s">
        <v>21</v>
      </c>
      <c r="N211" s="29" t="s">
        <v>749</v>
      </c>
      <c r="O211" s="29" t="s">
        <v>15</v>
      </c>
      <c r="P211" s="29" t="s">
        <v>27</v>
      </c>
      <c r="Q211" s="29" t="s">
        <v>38</v>
      </c>
      <c r="R211" s="30" t="s">
        <v>583</v>
      </c>
    </row>
    <row r="212" spans="1:18" ht="84.95" customHeight="1" x14ac:dyDescent="0.25">
      <c r="A212" s="3" t="s">
        <v>621</v>
      </c>
      <c r="B212" s="34">
        <v>41978</v>
      </c>
      <c r="C212" s="34" t="s">
        <v>539</v>
      </c>
      <c r="D212" s="34"/>
      <c r="E212" s="34" t="s">
        <v>539</v>
      </c>
      <c r="F212" s="34" t="s">
        <v>539</v>
      </c>
      <c r="G212" s="3" t="str">
        <f>+"02-OCT-2014"</f>
        <v>02-OCT-2014</v>
      </c>
      <c r="H212" s="63">
        <f t="shared" si="3"/>
        <v>81</v>
      </c>
      <c r="I212" s="3"/>
      <c r="J212" s="38"/>
      <c r="K212" s="3"/>
      <c r="L212" s="35"/>
      <c r="M212" s="3" t="s">
        <v>21</v>
      </c>
      <c r="N212" s="3" t="s">
        <v>642</v>
      </c>
      <c r="O212" s="3" t="s">
        <v>15</v>
      </c>
      <c r="P212" s="3" t="s">
        <v>16</v>
      </c>
      <c r="Q212" s="3" t="s">
        <v>23</v>
      </c>
      <c r="R212" s="22" t="s">
        <v>73</v>
      </c>
    </row>
    <row r="213" spans="1:18" ht="84.95" customHeight="1" x14ac:dyDescent="0.25">
      <c r="A213" s="3" t="s">
        <v>611</v>
      </c>
      <c r="B213" s="34" t="s">
        <v>539</v>
      </c>
      <c r="C213" s="34" t="s">
        <v>539</v>
      </c>
      <c r="D213" s="34"/>
      <c r="E213" s="34" t="s">
        <v>539</v>
      </c>
      <c r="F213" s="34" t="s">
        <v>539</v>
      </c>
      <c r="G213" s="3" t="str">
        <f>+"03-OCT-2014"</f>
        <v>03-OCT-2014</v>
      </c>
      <c r="H213" s="63">
        <f t="shared" si="3"/>
        <v>80</v>
      </c>
      <c r="I213" s="3"/>
      <c r="J213" s="38"/>
      <c r="K213" s="3"/>
      <c r="L213" s="35"/>
      <c r="M213" s="3"/>
      <c r="N213" s="3" t="s">
        <v>634</v>
      </c>
      <c r="O213" s="3" t="s">
        <v>15</v>
      </c>
      <c r="P213" s="3" t="s">
        <v>27</v>
      </c>
      <c r="Q213" s="3" t="s">
        <v>43</v>
      </c>
      <c r="R213" s="22" t="s">
        <v>119</v>
      </c>
    </row>
    <row r="214" spans="1:18" ht="123" customHeight="1" x14ac:dyDescent="0.25">
      <c r="A214" s="29" t="s">
        <v>599</v>
      </c>
      <c r="B214" s="34" t="s">
        <v>539</v>
      </c>
      <c r="C214" s="34" t="s">
        <v>539</v>
      </c>
      <c r="D214" s="34"/>
      <c r="E214" s="34" t="s">
        <v>539</v>
      </c>
      <c r="F214" s="34" t="s">
        <v>539</v>
      </c>
      <c r="G214" s="34">
        <v>41918</v>
      </c>
      <c r="H214" s="63">
        <f t="shared" si="3"/>
        <v>77</v>
      </c>
      <c r="I214" s="29"/>
      <c r="J214" s="40"/>
      <c r="K214" s="29"/>
      <c r="L214" s="34"/>
      <c r="M214" s="29" t="s">
        <v>21</v>
      </c>
      <c r="N214" s="29" t="s">
        <v>750</v>
      </c>
      <c r="O214" s="29" t="s">
        <v>15</v>
      </c>
      <c r="P214" s="29" t="s">
        <v>27</v>
      </c>
      <c r="Q214" s="29" t="s">
        <v>38</v>
      </c>
      <c r="R214" s="30" t="s">
        <v>583</v>
      </c>
    </row>
    <row r="215" spans="1:18" ht="113.25" customHeight="1" x14ac:dyDescent="0.25">
      <c r="A215" s="3" t="s">
        <v>617</v>
      </c>
      <c r="B215" s="34" t="s">
        <v>539</v>
      </c>
      <c r="C215" s="34" t="s">
        <v>539</v>
      </c>
      <c r="D215" s="34"/>
      <c r="E215" s="34" t="s">
        <v>539</v>
      </c>
      <c r="F215" s="34" t="s">
        <v>539</v>
      </c>
      <c r="G215" s="3" t="str">
        <f>+"09-OCT-2014"</f>
        <v>09-OCT-2014</v>
      </c>
      <c r="H215" s="63">
        <f t="shared" si="3"/>
        <v>74</v>
      </c>
      <c r="I215" s="3"/>
      <c r="J215" s="38"/>
      <c r="K215" s="37"/>
      <c r="L215" s="35"/>
      <c r="M215" s="3"/>
      <c r="N215" s="3" t="s">
        <v>639</v>
      </c>
      <c r="O215" s="3" t="s">
        <v>15</v>
      </c>
      <c r="P215" s="3" t="s">
        <v>16</v>
      </c>
      <c r="Q215" s="3" t="s">
        <v>23</v>
      </c>
      <c r="R215" s="22" t="s">
        <v>18</v>
      </c>
    </row>
    <row r="216" spans="1:18" ht="84.95" customHeight="1" x14ac:dyDescent="0.25">
      <c r="A216" s="52" t="s">
        <v>652</v>
      </c>
      <c r="B216" s="34" t="s">
        <v>539</v>
      </c>
      <c r="C216" s="34" t="s">
        <v>539</v>
      </c>
      <c r="D216" s="34"/>
      <c r="E216" s="34" t="s">
        <v>539</v>
      </c>
      <c r="F216" s="34" t="s">
        <v>539</v>
      </c>
      <c r="G216" s="52" t="str">
        <f>+"16-OCT-2014"</f>
        <v>16-OCT-2014</v>
      </c>
      <c r="H216" s="63">
        <f t="shared" si="3"/>
        <v>67</v>
      </c>
      <c r="I216" s="3"/>
      <c r="J216" s="38"/>
      <c r="K216" s="3"/>
      <c r="L216" s="50"/>
      <c r="M216" s="52"/>
      <c r="N216" s="3" t="s">
        <v>663</v>
      </c>
      <c r="O216" s="3" t="s">
        <v>15</v>
      </c>
      <c r="P216" s="52" t="s">
        <v>19</v>
      </c>
      <c r="Q216" s="3" t="s">
        <v>38</v>
      </c>
      <c r="R216" s="22" t="s">
        <v>60</v>
      </c>
    </row>
    <row r="217" spans="1:18" ht="129.75" customHeight="1" x14ac:dyDescent="0.25">
      <c r="A217" s="52" t="s">
        <v>653</v>
      </c>
      <c r="B217" s="34" t="s">
        <v>539</v>
      </c>
      <c r="C217" s="34" t="s">
        <v>539</v>
      </c>
      <c r="D217" s="34"/>
      <c r="E217" s="34" t="s">
        <v>539</v>
      </c>
      <c r="F217" s="34" t="s">
        <v>539</v>
      </c>
      <c r="G217" s="52" t="str">
        <f>+"16-OCT-2014"</f>
        <v>16-OCT-2014</v>
      </c>
      <c r="H217" s="63">
        <f t="shared" si="3"/>
        <v>67</v>
      </c>
      <c r="I217" s="3"/>
      <c r="J217" s="38"/>
      <c r="K217" s="3"/>
      <c r="L217" s="50"/>
      <c r="M217" s="52" t="s">
        <v>21</v>
      </c>
      <c r="N217" s="3" t="s">
        <v>751</v>
      </c>
      <c r="O217" s="3" t="s">
        <v>15</v>
      </c>
      <c r="P217" s="52" t="s">
        <v>13</v>
      </c>
      <c r="Q217" s="3" t="s">
        <v>43</v>
      </c>
      <c r="R217" s="22" t="s">
        <v>80</v>
      </c>
    </row>
    <row r="218" spans="1:18" ht="131.25" customHeight="1" x14ac:dyDescent="0.25">
      <c r="A218" s="52" t="s">
        <v>654</v>
      </c>
      <c r="B218" s="34">
        <v>41990</v>
      </c>
      <c r="C218" s="34" t="s">
        <v>539</v>
      </c>
      <c r="D218" s="34"/>
      <c r="E218" s="34" t="s">
        <v>539</v>
      </c>
      <c r="F218" s="34" t="s">
        <v>539</v>
      </c>
      <c r="G218" s="52" t="str">
        <f>+"16-OCT-2014"</f>
        <v>16-OCT-2014</v>
      </c>
      <c r="H218" s="63">
        <f t="shared" si="3"/>
        <v>67</v>
      </c>
      <c r="I218" s="3"/>
      <c r="J218" s="38"/>
      <c r="K218" s="3"/>
      <c r="L218" s="50"/>
      <c r="M218" s="52" t="s">
        <v>21</v>
      </c>
      <c r="N218" s="3" t="s">
        <v>752</v>
      </c>
      <c r="O218" s="3" t="s">
        <v>15</v>
      </c>
      <c r="P218" s="52" t="s">
        <v>16</v>
      </c>
      <c r="Q218" s="3" t="s">
        <v>23</v>
      </c>
      <c r="R218" s="22" t="s">
        <v>285</v>
      </c>
    </row>
    <row r="219" spans="1:18" ht="84.95" customHeight="1" x14ac:dyDescent="0.25">
      <c r="A219" s="52" t="s">
        <v>679</v>
      </c>
      <c r="B219" s="34" t="s">
        <v>539</v>
      </c>
      <c r="C219" s="34" t="s">
        <v>539</v>
      </c>
      <c r="D219" s="34"/>
      <c r="E219" s="34" t="s">
        <v>539</v>
      </c>
      <c r="F219" s="34" t="s">
        <v>539</v>
      </c>
      <c r="G219" s="50" t="str">
        <f>+"17-OCT-2014"</f>
        <v>17-OCT-2014</v>
      </c>
      <c r="H219" s="63">
        <f t="shared" si="3"/>
        <v>66</v>
      </c>
      <c r="I219" s="3"/>
      <c r="J219" s="38"/>
      <c r="K219" s="3"/>
      <c r="L219" s="35"/>
      <c r="M219" s="3"/>
      <c r="N219" s="3" t="s">
        <v>685</v>
      </c>
      <c r="O219" s="3" t="s">
        <v>15</v>
      </c>
      <c r="P219" s="3" t="s">
        <v>27</v>
      </c>
      <c r="Q219" s="3" t="s">
        <v>38</v>
      </c>
      <c r="R219" s="22" t="s">
        <v>227</v>
      </c>
    </row>
    <row r="220" spans="1:18" ht="84.95" customHeight="1" x14ac:dyDescent="0.25">
      <c r="A220" s="52" t="s">
        <v>680</v>
      </c>
      <c r="B220" s="34" t="s">
        <v>539</v>
      </c>
      <c r="C220" s="34" t="s">
        <v>539</v>
      </c>
      <c r="D220" s="34"/>
      <c r="E220" s="34" t="s">
        <v>539</v>
      </c>
      <c r="F220" s="34" t="s">
        <v>539</v>
      </c>
      <c r="G220" s="52" t="str">
        <f>+"24-OCT-2014"</f>
        <v>24-OCT-2014</v>
      </c>
      <c r="H220" s="63">
        <f t="shared" si="3"/>
        <v>59</v>
      </c>
      <c r="I220" s="3"/>
      <c r="J220" s="38"/>
      <c r="K220" s="3"/>
      <c r="L220" s="52"/>
      <c r="M220" s="52"/>
      <c r="N220" s="3" t="s">
        <v>686</v>
      </c>
      <c r="O220" s="3" t="s">
        <v>15</v>
      </c>
      <c r="P220" s="3" t="s">
        <v>27</v>
      </c>
      <c r="Q220" s="3" t="s">
        <v>38</v>
      </c>
      <c r="R220" s="22" t="s">
        <v>227</v>
      </c>
    </row>
    <row r="221" spans="1:18" ht="84.95" customHeight="1" x14ac:dyDescent="0.25">
      <c r="A221" s="52" t="s">
        <v>674</v>
      </c>
      <c r="B221" s="34" t="s">
        <v>539</v>
      </c>
      <c r="C221" s="34" t="s">
        <v>539</v>
      </c>
      <c r="D221" s="34"/>
      <c r="E221" s="34" t="s">
        <v>539</v>
      </c>
      <c r="F221" s="34" t="s">
        <v>539</v>
      </c>
      <c r="G221" s="50" t="str">
        <f>+"30-OCT-2014"</f>
        <v>30-OCT-2014</v>
      </c>
      <c r="H221" s="63">
        <f t="shared" si="3"/>
        <v>53</v>
      </c>
      <c r="I221" s="29"/>
      <c r="J221" s="40"/>
      <c r="K221" s="29"/>
      <c r="L221" s="34"/>
      <c r="M221" s="29" t="s">
        <v>11</v>
      </c>
      <c r="N221" s="3" t="s">
        <v>753</v>
      </c>
      <c r="O221" s="29" t="s">
        <v>15</v>
      </c>
      <c r="P221" s="29" t="s">
        <v>16</v>
      </c>
      <c r="Q221" s="3" t="s">
        <v>38</v>
      </c>
      <c r="R221" s="22" t="s">
        <v>719</v>
      </c>
    </row>
    <row r="222" spans="1:18" ht="84.95" customHeight="1" x14ac:dyDescent="0.25">
      <c r="A222" s="52" t="s">
        <v>681</v>
      </c>
      <c r="B222" s="34" t="s">
        <v>539</v>
      </c>
      <c r="C222" s="34" t="s">
        <v>539</v>
      </c>
      <c r="D222" s="34"/>
      <c r="E222" s="34" t="s">
        <v>539</v>
      </c>
      <c r="F222" s="34" t="s">
        <v>539</v>
      </c>
      <c r="G222" s="50" t="str">
        <f>+"06-NOV-2014"</f>
        <v>06-NOV-2014</v>
      </c>
      <c r="H222" s="63">
        <f t="shared" si="3"/>
        <v>46</v>
      </c>
      <c r="I222" s="3"/>
      <c r="J222" s="38"/>
      <c r="K222" s="3"/>
      <c r="L222" s="35"/>
      <c r="M222" s="3" t="s">
        <v>21</v>
      </c>
      <c r="N222" s="3" t="s">
        <v>687</v>
      </c>
      <c r="O222" s="3" t="s">
        <v>15</v>
      </c>
      <c r="P222" s="52" t="s">
        <v>13</v>
      </c>
      <c r="Q222" s="3" t="s">
        <v>43</v>
      </c>
      <c r="R222" s="22" t="s">
        <v>312</v>
      </c>
    </row>
    <row r="223" spans="1:18" ht="84.95" customHeight="1" x14ac:dyDescent="0.25">
      <c r="A223" s="52" t="s">
        <v>714</v>
      </c>
      <c r="B223" s="34" t="s">
        <v>539</v>
      </c>
      <c r="C223" s="34" t="s">
        <v>539</v>
      </c>
      <c r="D223" s="34"/>
      <c r="E223" s="34" t="s">
        <v>539</v>
      </c>
      <c r="F223" s="34" t="s">
        <v>539</v>
      </c>
      <c r="G223" s="50" t="str">
        <f>+"10-NOV-2014"</f>
        <v>10-NOV-2014</v>
      </c>
      <c r="H223" s="63">
        <f t="shared" si="3"/>
        <v>42</v>
      </c>
      <c r="I223" s="3"/>
      <c r="J223" s="38"/>
      <c r="K223" s="3"/>
      <c r="L223" s="52"/>
      <c r="M223" s="52"/>
      <c r="N223" s="3" t="s">
        <v>754</v>
      </c>
      <c r="O223" s="52" t="s">
        <v>15</v>
      </c>
      <c r="P223" s="52" t="s">
        <v>16</v>
      </c>
      <c r="Q223" s="3" t="s">
        <v>38</v>
      </c>
      <c r="R223" s="22" t="s">
        <v>99</v>
      </c>
    </row>
    <row r="224" spans="1:18" ht="84.95" customHeight="1" x14ac:dyDescent="0.25">
      <c r="A224" s="52" t="s">
        <v>675</v>
      </c>
      <c r="B224" s="34" t="s">
        <v>539</v>
      </c>
      <c r="C224" s="34" t="s">
        <v>539</v>
      </c>
      <c r="D224" s="34"/>
      <c r="E224" s="34" t="s">
        <v>539</v>
      </c>
      <c r="F224" s="34" t="s">
        <v>539</v>
      </c>
      <c r="G224" s="50" t="str">
        <f>+"14-NOV-2014"</f>
        <v>14-NOV-2014</v>
      </c>
      <c r="H224" s="63">
        <f t="shared" si="3"/>
        <v>38</v>
      </c>
      <c r="I224" s="29"/>
      <c r="J224" s="40"/>
      <c r="K224" s="29"/>
      <c r="L224" s="34"/>
      <c r="M224" s="29" t="s">
        <v>11</v>
      </c>
      <c r="N224" s="3" t="s">
        <v>755</v>
      </c>
      <c r="O224" s="29" t="s">
        <v>15</v>
      </c>
      <c r="P224" s="29" t="s">
        <v>16</v>
      </c>
      <c r="Q224" s="3" t="s">
        <v>38</v>
      </c>
      <c r="R224" s="22" t="s">
        <v>189</v>
      </c>
    </row>
    <row r="225" spans="1:18" ht="84.95" customHeight="1" x14ac:dyDescent="0.25">
      <c r="A225" s="52" t="s">
        <v>676</v>
      </c>
      <c r="B225" s="34" t="s">
        <v>539</v>
      </c>
      <c r="C225" s="34" t="s">
        <v>539</v>
      </c>
      <c r="D225" s="34"/>
      <c r="E225" s="34" t="s">
        <v>539</v>
      </c>
      <c r="F225" s="34" t="s">
        <v>539</v>
      </c>
      <c r="G225" s="50" t="str">
        <f>+"14-NOV-2014"</f>
        <v>14-NOV-2014</v>
      </c>
      <c r="H225" s="63">
        <f t="shared" si="3"/>
        <v>38</v>
      </c>
      <c r="I225" s="29"/>
      <c r="J225" s="40"/>
      <c r="K225" s="29"/>
      <c r="L225" s="34"/>
      <c r="M225" s="29" t="s">
        <v>11</v>
      </c>
      <c r="N225" s="3" t="s">
        <v>756</v>
      </c>
      <c r="O225" s="29" t="s">
        <v>15</v>
      </c>
      <c r="P225" s="29" t="s">
        <v>67</v>
      </c>
      <c r="Q225" s="3" t="s">
        <v>38</v>
      </c>
      <c r="R225" s="22" t="s">
        <v>189</v>
      </c>
    </row>
    <row r="226" spans="1:18" ht="84.95" customHeight="1" x14ac:dyDescent="0.25">
      <c r="A226" s="3" t="s">
        <v>697</v>
      </c>
      <c r="B226" s="34" t="s">
        <v>539</v>
      </c>
      <c r="C226" s="34" t="s">
        <v>539</v>
      </c>
      <c r="D226" s="34"/>
      <c r="E226" s="34" t="s">
        <v>539</v>
      </c>
      <c r="F226" s="34" t="s">
        <v>539</v>
      </c>
      <c r="G226" s="50" t="str">
        <f>+"14-NOV-2014"</f>
        <v>14-NOV-2014</v>
      </c>
      <c r="H226" s="63">
        <f t="shared" si="3"/>
        <v>38</v>
      </c>
      <c r="I226" s="3"/>
      <c r="J226" s="38"/>
      <c r="K226" s="3"/>
      <c r="L226" s="52"/>
      <c r="M226" s="52"/>
      <c r="N226" s="3" t="s">
        <v>757</v>
      </c>
      <c r="O226" s="52" t="s">
        <v>15</v>
      </c>
      <c r="P226" s="50" t="s">
        <v>27</v>
      </c>
      <c r="Q226" s="3" t="s">
        <v>43</v>
      </c>
      <c r="R226" s="22" t="s">
        <v>122</v>
      </c>
    </row>
    <row r="227" spans="1:18" ht="84.95" customHeight="1" x14ac:dyDescent="0.25">
      <c r="A227" s="3" t="s">
        <v>689</v>
      </c>
      <c r="B227" s="34" t="s">
        <v>539</v>
      </c>
      <c r="C227" s="34" t="s">
        <v>539</v>
      </c>
      <c r="D227" s="34"/>
      <c r="E227" s="34" t="s">
        <v>539</v>
      </c>
      <c r="F227" s="34" t="s">
        <v>539</v>
      </c>
      <c r="G227" s="50" t="str">
        <f>+"18-NOV-2014"</f>
        <v>18-NOV-2014</v>
      </c>
      <c r="H227" s="63">
        <f t="shared" si="3"/>
        <v>34</v>
      </c>
      <c r="I227" s="29"/>
      <c r="J227" s="40"/>
      <c r="K227" s="29"/>
      <c r="L227" s="34"/>
      <c r="M227" s="52" t="s">
        <v>11</v>
      </c>
      <c r="N227" s="3" t="s">
        <v>758</v>
      </c>
      <c r="O227" s="52" t="s">
        <v>15</v>
      </c>
      <c r="P227" s="52" t="s">
        <v>16</v>
      </c>
      <c r="Q227" s="3" t="s">
        <v>17</v>
      </c>
      <c r="R227" s="22" t="s">
        <v>99</v>
      </c>
    </row>
    <row r="228" spans="1:18" ht="84.95" customHeight="1" x14ac:dyDescent="0.25">
      <c r="A228" s="3" t="s">
        <v>690</v>
      </c>
      <c r="B228" s="34" t="s">
        <v>539</v>
      </c>
      <c r="C228" s="34" t="s">
        <v>539</v>
      </c>
      <c r="D228" s="34"/>
      <c r="E228" s="34" t="s">
        <v>539</v>
      </c>
      <c r="F228" s="34" t="s">
        <v>539</v>
      </c>
      <c r="G228" s="50" t="str">
        <f>+"18-NOV-2014"</f>
        <v>18-NOV-2014</v>
      </c>
      <c r="H228" s="63">
        <f t="shared" si="3"/>
        <v>34</v>
      </c>
      <c r="I228" s="29"/>
      <c r="J228" s="40"/>
      <c r="K228" s="29"/>
      <c r="L228" s="34"/>
      <c r="M228" s="52" t="s">
        <v>11</v>
      </c>
      <c r="N228" s="3" t="s">
        <v>759</v>
      </c>
      <c r="O228" s="52" t="s">
        <v>15</v>
      </c>
      <c r="P228" s="52" t="s">
        <v>44</v>
      </c>
      <c r="Q228" s="3" t="s">
        <v>17</v>
      </c>
      <c r="R228" s="22" t="s">
        <v>99</v>
      </c>
    </row>
    <row r="229" spans="1:18" ht="113.25" customHeight="1" x14ac:dyDescent="0.25">
      <c r="A229" s="3" t="s">
        <v>691</v>
      </c>
      <c r="B229" s="34" t="s">
        <v>539</v>
      </c>
      <c r="C229" s="34" t="s">
        <v>539</v>
      </c>
      <c r="D229" s="34"/>
      <c r="E229" s="34" t="s">
        <v>539</v>
      </c>
      <c r="F229" s="34" t="s">
        <v>539</v>
      </c>
      <c r="G229" s="50" t="str">
        <f>+"18-NOV-2014"</f>
        <v>18-NOV-2014</v>
      </c>
      <c r="H229" s="63">
        <f t="shared" si="3"/>
        <v>34</v>
      </c>
      <c r="I229" s="29"/>
      <c r="J229" s="40"/>
      <c r="K229" s="29"/>
      <c r="L229" s="34"/>
      <c r="M229" s="52" t="s">
        <v>11</v>
      </c>
      <c r="N229" s="3" t="s">
        <v>760</v>
      </c>
      <c r="O229" s="52" t="s">
        <v>15</v>
      </c>
      <c r="P229" s="52" t="s">
        <v>44</v>
      </c>
      <c r="Q229" s="3" t="s">
        <v>17</v>
      </c>
      <c r="R229" s="22" t="s">
        <v>99</v>
      </c>
    </row>
    <row r="230" spans="1:18" ht="84.95" customHeight="1" x14ac:dyDescent="0.25">
      <c r="A230" s="3" t="s">
        <v>692</v>
      </c>
      <c r="B230" s="34" t="s">
        <v>539</v>
      </c>
      <c r="C230" s="34" t="s">
        <v>539</v>
      </c>
      <c r="D230" s="34"/>
      <c r="E230" s="34" t="s">
        <v>539</v>
      </c>
      <c r="F230" s="34" t="s">
        <v>539</v>
      </c>
      <c r="G230" s="50" t="str">
        <f>+"18-NOV-2014"</f>
        <v>18-NOV-2014</v>
      </c>
      <c r="H230" s="63">
        <f t="shared" si="3"/>
        <v>34</v>
      </c>
      <c r="I230" s="29"/>
      <c r="J230" s="40"/>
      <c r="K230" s="29"/>
      <c r="L230" s="34"/>
      <c r="M230" s="52" t="s">
        <v>11</v>
      </c>
      <c r="N230" s="3" t="s">
        <v>761</v>
      </c>
      <c r="O230" s="52" t="s">
        <v>15</v>
      </c>
      <c r="P230" s="52" t="s">
        <v>67</v>
      </c>
      <c r="Q230" s="3" t="s">
        <v>17</v>
      </c>
      <c r="R230" s="22" t="s">
        <v>99</v>
      </c>
    </row>
    <row r="231" spans="1:18" ht="141" customHeight="1" x14ac:dyDescent="0.25">
      <c r="A231" s="3" t="s">
        <v>699</v>
      </c>
      <c r="B231" s="34" t="s">
        <v>539</v>
      </c>
      <c r="C231" s="34" t="s">
        <v>539</v>
      </c>
      <c r="D231" s="34"/>
      <c r="E231" s="34" t="s">
        <v>539</v>
      </c>
      <c r="F231" s="34" t="s">
        <v>539</v>
      </c>
      <c r="G231" s="50" t="str">
        <f>+"20-NOV-2014"</f>
        <v>20-NOV-2014</v>
      </c>
      <c r="H231" s="63">
        <f t="shared" si="3"/>
        <v>32</v>
      </c>
      <c r="I231" s="3"/>
      <c r="J231" s="38"/>
      <c r="K231" s="3"/>
      <c r="L231" s="35"/>
      <c r="M231" s="52" t="s">
        <v>11</v>
      </c>
      <c r="N231" s="3" t="s">
        <v>762</v>
      </c>
      <c r="O231" s="52" t="s">
        <v>15</v>
      </c>
      <c r="P231" s="52" t="s">
        <v>67</v>
      </c>
      <c r="Q231" s="3" t="s">
        <v>38</v>
      </c>
      <c r="R231" s="22" t="s">
        <v>227</v>
      </c>
    </row>
    <row r="232" spans="1:18" ht="119.25" customHeight="1" x14ac:dyDescent="0.25">
      <c r="A232" s="3" t="s">
        <v>693</v>
      </c>
      <c r="B232" s="34" t="s">
        <v>539</v>
      </c>
      <c r="C232" s="34" t="s">
        <v>539</v>
      </c>
      <c r="D232" s="34"/>
      <c r="E232" s="34" t="s">
        <v>539</v>
      </c>
      <c r="F232" s="34" t="s">
        <v>539</v>
      </c>
      <c r="G232" s="50" t="str">
        <f>+"21-NOV-2014"</f>
        <v>21-NOV-2014</v>
      </c>
      <c r="H232" s="63">
        <f t="shared" si="3"/>
        <v>31</v>
      </c>
      <c r="I232" s="29"/>
      <c r="J232" s="40"/>
      <c r="K232" s="29"/>
      <c r="L232" s="34"/>
      <c r="M232" s="52" t="s">
        <v>11</v>
      </c>
      <c r="N232" s="3" t="s">
        <v>763</v>
      </c>
      <c r="O232" s="52" t="s">
        <v>15</v>
      </c>
      <c r="P232" s="52" t="s">
        <v>16</v>
      </c>
      <c r="Q232" s="3" t="s">
        <v>23</v>
      </c>
      <c r="R232" s="22" t="s">
        <v>274</v>
      </c>
    </row>
    <row r="233" spans="1:18" ht="121.5" customHeight="1" x14ac:dyDescent="0.25">
      <c r="A233" s="3" t="s">
        <v>694</v>
      </c>
      <c r="B233" s="34" t="s">
        <v>539</v>
      </c>
      <c r="C233" s="34" t="s">
        <v>539</v>
      </c>
      <c r="D233" s="34"/>
      <c r="E233" s="34" t="s">
        <v>539</v>
      </c>
      <c r="F233" s="34" t="s">
        <v>539</v>
      </c>
      <c r="G233" s="50" t="str">
        <f>+"24-NOV-2014"</f>
        <v>24-NOV-2014</v>
      </c>
      <c r="H233" s="63">
        <f t="shared" si="3"/>
        <v>28</v>
      </c>
      <c r="I233" s="29"/>
      <c r="J233" s="40"/>
      <c r="K233" s="29"/>
      <c r="L233" s="34"/>
      <c r="M233" s="52" t="s">
        <v>11</v>
      </c>
      <c r="N233" s="3" t="s">
        <v>764</v>
      </c>
      <c r="O233" s="52" t="s">
        <v>15</v>
      </c>
      <c r="P233" s="52" t="s">
        <v>19</v>
      </c>
      <c r="Q233" s="3" t="s">
        <v>38</v>
      </c>
      <c r="R233" s="22" t="s">
        <v>80</v>
      </c>
    </row>
    <row r="234" spans="1:18" ht="84.95" customHeight="1" x14ac:dyDescent="0.25">
      <c r="A234" s="3" t="s">
        <v>695</v>
      </c>
      <c r="B234" s="34" t="s">
        <v>539</v>
      </c>
      <c r="C234" s="34" t="s">
        <v>539</v>
      </c>
      <c r="D234" s="34"/>
      <c r="E234" s="34" t="s">
        <v>539</v>
      </c>
      <c r="F234" s="34" t="s">
        <v>539</v>
      </c>
      <c r="G234" s="50" t="str">
        <f>+"25-NOV-2014"</f>
        <v>25-NOV-2014</v>
      </c>
      <c r="H234" s="63">
        <f t="shared" si="3"/>
        <v>27</v>
      </c>
      <c r="I234" s="29"/>
      <c r="J234" s="40"/>
      <c r="K234" s="29"/>
      <c r="L234" s="34"/>
      <c r="M234" s="52" t="s">
        <v>11</v>
      </c>
      <c r="N234" s="3" t="s">
        <v>765</v>
      </c>
      <c r="O234" s="52" t="s">
        <v>15</v>
      </c>
      <c r="P234" s="52" t="s">
        <v>16</v>
      </c>
      <c r="Q234" s="3" t="s">
        <v>23</v>
      </c>
      <c r="R234" s="22" t="s">
        <v>263</v>
      </c>
    </row>
    <row r="235" spans="1:18" ht="116.25" customHeight="1" x14ac:dyDescent="0.25">
      <c r="A235" s="3" t="s">
        <v>696</v>
      </c>
      <c r="B235" s="34" t="s">
        <v>539</v>
      </c>
      <c r="C235" s="34" t="s">
        <v>539</v>
      </c>
      <c r="D235" s="34"/>
      <c r="E235" s="34" t="s">
        <v>539</v>
      </c>
      <c r="F235" s="34" t="s">
        <v>539</v>
      </c>
      <c r="G235" s="50" t="str">
        <f>+"26-NOV-2014"</f>
        <v>26-NOV-2014</v>
      </c>
      <c r="H235" s="63">
        <f t="shared" si="3"/>
        <v>26</v>
      </c>
      <c r="I235" s="29"/>
      <c r="J235" s="40"/>
      <c r="K235" s="29"/>
      <c r="L235" s="34"/>
      <c r="M235" s="52" t="s">
        <v>11</v>
      </c>
      <c r="N235" s="3" t="s">
        <v>766</v>
      </c>
      <c r="O235" s="52" t="s">
        <v>15</v>
      </c>
      <c r="P235" s="52" t="s">
        <v>16</v>
      </c>
      <c r="Q235" s="3" t="s">
        <v>23</v>
      </c>
      <c r="R235" s="22" t="s">
        <v>274</v>
      </c>
    </row>
    <row r="236" spans="1:18" ht="123" customHeight="1" x14ac:dyDescent="0.25">
      <c r="A236" s="3" t="s">
        <v>698</v>
      </c>
      <c r="B236" s="34" t="s">
        <v>539</v>
      </c>
      <c r="C236" s="34" t="s">
        <v>539</v>
      </c>
      <c r="D236" s="34"/>
      <c r="E236" s="34" t="s">
        <v>539</v>
      </c>
      <c r="F236" s="34" t="s">
        <v>539</v>
      </c>
      <c r="G236" s="50" t="str">
        <f>+"01-DEC-2014"</f>
        <v>01-DEC-2014</v>
      </c>
      <c r="H236" s="63">
        <f t="shared" si="3"/>
        <v>21</v>
      </c>
      <c r="I236" s="3"/>
      <c r="J236" s="38"/>
      <c r="K236" s="3"/>
      <c r="L236" s="52"/>
      <c r="M236" s="52" t="s">
        <v>11</v>
      </c>
      <c r="N236" s="3" t="s">
        <v>767</v>
      </c>
      <c r="O236" s="52" t="s">
        <v>15</v>
      </c>
      <c r="P236" s="52" t="s">
        <v>701</v>
      </c>
      <c r="Q236" s="3" t="s">
        <v>17</v>
      </c>
      <c r="R236" s="22" t="s">
        <v>119</v>
      </c>
    </row>
    <row r="237" spans="1:18" ht="84.95" customHeight="1" x14ac:dyDescent="0.25">
      <c r="A237" s="52" t="s">
        <v>715</v>
      </c>
      <c r="B237" s="34" t="s">
        <v>539</v>
      </c>
      <c r="C237" s="34" t="s">
        <v>539</v>
      </c>
      <c r="D237" s="34"/>
      <c r="E237" s="34" t="s">
        <v>539</v>
      </c>
      <c r="F237" s="34" t="s">
        <v>539</v>
      </c>
      <c r="G237" s="50" t="str">
        <f>+"02-DEC-2014"</f>
        <v>02-DEC-2014</v>
      </c>
      <c r="H237" s="63">
        <f t="shared" si="3"/>
        <v>20</v>
      </c>
      <c r="I237" s="3"/>
      <c r="J237" s="38"/>
      <c r="K237" s="3"/>
      <c r="L237" s="52"/>
      <c r="M237" s="52"/>
      <c r="N237" s="3" t="s">
        <v>717</v>
      </c>
      <c r="O237" s="52" t="s">
        <v>15</v>
      </c>
      <c r="P237" s="50" t="s">
        <v>27</v>
      </c>
      <c r="Q237" s="3" t="s">
        <v>23</v>
      </c>
      <c r="R237" s="3" t="s">
        <v>99</v>
      </c>
    </row>
    <row r="238" spans="1:18" ht="111.75" customHeight="1" x14ac:dyDescent="0.25">
      <c r="A238" s="52" t="s">
        <v>721</v>
      </c>
      <c r="B238" s="34" t="s">
        <v>539</v>
      </c>
      <c r="C238" s="34" t="s">
        <v>539</v>
      </c>
      <c r="D238" s="34"/>
      <c r="E238" s="34" t="s">
        <v>539</v>
      </c>
      <c r="F238" s="34" t="s">
        <v>539</v>
      </c>
      <c r="G238" s="50" t="str">
        <f>+"03-DEC-2014"</f>
        <v>03-DEC-2014</v>
      </c>
      <c r="H238" s="63">
        <f t="shared" si="3"/>
        <v>19</v>
      </c>
      <c r="I238" s="29"/>
      <c r="J238" s="40"/>
      <c r="K238" s="29"/>
      <c r="L238" s="34"/>
      <c r="M238" s="52" t="s">
        <v>21</v>
      </c>
      <c r="N238" s="3" t="s">
        <v>768</v>
      </c>
      <c r="O238" s="52" t="s">
        <v>15</v>
      </c>
      <c r="P238" s="52" t="s">
        <v>27</v>
      </c>
      <c r="Q238" s="3" t="s">
        <v>38</v>
      </c>
      <c r="R238" s="50" t="s">
        <v>731</v>
      </c>
    </row>
    <row r="239" spans="1:18" ht="84.95" customHeight="1" x14ac:dyDescent="0.25">
      <c r="A239" s="52" t="s">
        <v>723</v>
      </c>
      <c r="B239" s="34" t="s">
        <v>539</v>
      </c>
      <c r="C239" s="34" t="s">
        <v>539</v>
      </c>
      <c r="D239" s="34"/>
      <c r="E239" s="34" t="s">
        <v>539</v>
      </c>
      <c r="F239" s="34" t="s">
        <v>539</v>
      </c>
      <c r="G239" s="50" t="str">
        <f>+"03-DEC-2014"</f>
        <v>03-DEC-2014</v>
      </c>
      <c r="H239" s="63">
        <f t="shared" si="3"/>
        <v>19</v>
      </c>
      <c r="I239" s="29"/>
      <c r="J239" s="40"/>
      <c r="K239" s="29"/>
      <c r="L239" s="34"/>
      <c r="M239" s="52" t="s">
        <v>11</v>
      </c>
      <c r="N239" s="3" t="s">
        <v>769</v>
      </c>
      <c r="O239" s="52" t="s">
        <v>15</v>
      </c>
      <c r="P239" s="52" t="s">
        <v>16</v>
      </c>
      <c r="Q239" s="3" t="s">
        <v>38</v>
      </c>
      <c r="R239" s="50" t="s">
        <v>537</v>
      </c>
    </row>
    <row r="240" spans="1:18" ht="125.25" customHeight="1" x14ac:dyDescent="0.25">
      <c r="A240" s="52" t="s">
        <v>722</v>
      </c>
      <c r="B240" s="34" t="s">
        <v>539</v>
      </c>
      <c r="C240" s="34" t="s">
        <v>539</v>
      </c>
      <c r="D240" s="34"/>
      <c r="E240" s="34" t="s">
        <v>539</v>
      </c>
      <c r="F240" s="34" t="s">
        <v>539</v>
      </c>
      <c r="G240" s="50" t="str">
        <f>+"05-DEC-2014"</f>
        <v>05-DEC-2014</v>
      </c>
      <c r="H240" s="63">
        <f t="shared" si="3"/>
        <v>17</v>
      </c>
      <c r="I240" s="29"/>
      <c r="J240" s="40"/>
      <c r="K240" s="29"/>
      <c r="L240" s="34"/>
      <c r="M240" s="52" t="s">
        <v>11</v>
      </c>
      <c r="N240" s="3" t="s">
        <v>770</v>
      </c>
      <c r="O240" s="52" t="s">
        <v>15</v>
      </c>
      <c r="P240" s="52" t="s">
        <v>16</v>
      </c>
      <c r="Q240" s="3" t="s">
        <v>43</v>
      </c>
      <c r="R240" s="50" t="s">
        <v>53</v>
      </c>
    </row>
    <row r="241" spans="1:18" ht="84.95" customHeight="1" x14ac:dyDescent="0.25">
      <c r="A241" s="52" t="s">
        <v>725</v>
      </c>
      <c r="B241" s="34" t="s">
        <v>539</v>
      </c>
      <c r="C241" s="34" t="s">
        <v>539</v>
      </c>
      <c r="D241" s="34"/>
      <c r="E241" s="34" t="s">
        <v>539</v>
      </c>
      <c r="F241" s="34" t="s">
        <v>539</v>
      </c>
      <c r="G241" s="50" t="str">
        <f>+"05-DEC-2014"</f>
        <v>05-DEC-2014</v>
      </c>
      <c r="H241" s="63">
        <f t="shared" si="3"/>
        <v>17</v>
      </c>
      <c r="I241" s="29"/>
      <c r="J241" s="40"/>
      <c r="K241" s="29"/>
      <c r="L241" s="34"/>
      <c r="M241" s="52" t="s">
        <v>11</v>
      </c>
      <c r="N241" s="3" t="s">
        <v>771</v>
      </c>
      <c r="O241" s="52" t="s">
        <v>15</v>
      </c>
      <c r="P241" s="52" t="s">
        <v>16</v>
      </c>
      <c r="Q241" s="3" t="s">
        <v>23</v>
      </c>
      <c r="R241" s="50" t="s">
        <v>18</v>
      </c>
    </row>
    <row r="242" spans="1:18" ht="108" customHeight="1" x14ac:dyDescent="0.25">
      <c r="A242" s="52" t="s">
        <v>724</v>
      </c>
      <c r="B242" s="34" t="s">
        <v>539</v>
      </c>
      <c r="C242" s="34" t="s">
        <v>539</v>
      </c>
      <c r="D242" s="34"/>
      <c r="E242" s="34" t="s">
        <v>539</v>
      </c>
      <c r="F242" s="34" t="s">
        <v>539</v>
      </c>
      <c r="G242" s="50" t="str">
        <f>+"10-DEC-2014"</f>
        <v>10-DEC-2014</v>
      </c>
      <c r="H242" s="63">
        <f t="shared" si="3"/>
        <v>12</v>
      </c>
      <c r="I242" s="29"/>
      <c r="J242" s="40"/>
      <c r="K242" s="29"/>
      <c r="L242" s="34"/>
      <c r="M242" s="52" t="s">
        <v>11</v>
      </c>
      <c r="N242" s="3" t="s">
        <v>772</v>
      </c>
      <c r="O242" s="52" t="s">
        <v>15</v>
      </c>
      <c r="P242" s="52" t="s">
        <v>16</v>
      </c>
      <c r="Q242" s="3" t="s">
        <v>23</v>
      </c>
      <c r="R242" s="50" t="s">
        <v>150</v>
      </c>
    </row>
    <row r="243" spans="1:18" ht="84.95" customHeight="1" x14ac:dyDescent="0.25">
      <c r="A243" s="52" t="s">
        <v>726</v>
      </c>
      <c r="B243" s="34" t="s">
        <v>539</v>
      </c>
      <c r="C243" s="34" t="s">
        <v>539</v>
      </c>
      <c r="D243" s="34"/>
      <c r="E243" s="34" t="s">
        <v>539</v>
      </c>
      <c r="F243" s="34" t="s">
        <v>539</v>
      </c>
      <c r="G243" s="50" t="str">
        <f>+"15-DEC-2014"</f>
        <v>15-DEC-2014</v>
      </c>
      <c r="H243" s="63">
        <f t="shared" si="3"/>
        <v>7</v>
      </c>
      <c r="I243" s="29"/>
      <c r="J243" s="40"/>
      <c r="K243" s="29"/>
      <c r="L243" s="34"/>
      <c r="M243" s="52" t="s">
        <v>21</v>
      </c>
      <c r="N243" s="3" t="s">
        <v>773</v>
      </c>
      <c r="O243" s="52" t="s">
        <v>15</v>
      </c>
      <c r="P243" s="52" t="s">
        <v>19</v>
      </c>
      <c r="Q243" s="3" t="s">
        <v>43</v>
      </c>
      <c r="R243" s="50" t="s">
        <v>79</v>
      </c>
    </row>
    <row r="244" spans="1:18" ht="84.95" customHeight="1" x14ac:dyDescent="0.25">
      <c r="A244" s="3" t="s">
        <v>456</v>
      </c>
      <c r="B244" s="34">
        <v>40078</v>
      </c>
      <c r="C244" s="35">
        <v>37959</v>
      </c>
      <c r="D244" s="35"/>
      <c r="E244" s="34">
        <v>40078</v>
      </c>
      <c r="F244" s="35" t="s">
        <v>539</v>
      </c>
      <c r="G244" s="36" t="str">
        <f>+"02-OCT-2003"</f>
        <v>02-OCT-2003</v>
      </c>
      <c r="H244" s="37"/>
      <c r="I244" s="3" t="str">
        <f>+"28-FEB-2008"</f>
        <v>28-FEB-2008</v>
      </c>
      <c r="J244" s="38">
        <v>39519</v>
      </c>
      <c r="K244" s="63">
        <f t="shared" ref="K244:K307" si="4">DATE(2014, 12, 22) - J244</f>
        <v>2476</v>
      </c>
      <c r="L244" s="35">
        <v>40095</v>
      </c>
      <c r="M244" s="3" t="s">
        <v>11</v>
      </c>
      <c r="N244" s="3" t="s">
        <v>457</v>
      </c>
      <c r="O244" s="3" t="s">
        <v>12</v>
      </c>
      <c r="P244" s="3" t="s">
        <v>16</v>
      </c>
      <c r="Q244" s="3" t="s">
        <v>43</v>
      </c>
      <c r="R244" s="22" t="s">
        <v>566</v>
      </c>
    </row>
    <row r="245" spans="1:18" ht="84.95" customHeight="1" x14ac:dyDescent="0.25">
      <c r="A245" s="3" t="s">
        <v>341</v>
      </c>
      <c r="B245" s="34" t="s">
        <v>539</v>
      </c>
      <c r="C245" s="35">
        <v>39462</v>
      </c>
      <c r="D245" s="35"/>
      <c r="E245" s="34" t="s">
        <v>539</v>
      </c>
      <c r="F245" s="35">
        <v>41095</v>
      </c>
      <c r="G245" s="36" t="str">
        <f>+"20-SEP-2007"</f>
        <v>20-SEP-2007</v>
      </c>
      <c r="H245" s="37"/>
      <c r="I245" s="3" t="str">
        <f>+"04-DEC-2008"</f>
        <v>04-DEC-2008</v>
      </c>
      <c r="J245" s="38">
        <v>39818</v>
      </c>
      <c r="K245" s="63">
        <f t="shared" si="4"/>
        <v>2177</v>
      </c>
      <c r="L245" s="35">
        <v>39583</v>
      </c>
      <c r="M245" s="3" t="s">
        <v>11</v>
      </c>
      <c r="N245" s="3" t="s">
        <v>342</v>
      </c>
      <c r="O245" s="3" t="s">
        <v>12</v>
      </c>
      <c r="P245" s="3" t="s">
        <v>27</v>
      </c>
      <c r="Q245" s="3" t="s">
        <v>14</v>
      </c>
      <c r="R245" s="22" t="s">
        <v>567</v>
      </c>
    </row>
    <row r="246" spans="1:18" ht="84.95" customHeight="1" x14ac:dyDescent="0.25">
      <c r="A246" s="3" t="s">
        <v>345</v>
      </c>
      <c r="B246" s="34">
        <v>41149</v>
      </c>
      <c r="C246" s="35">
        <v>41213</v>
      </c>
      <c r="D246" s="35"/>
      <c r="E246" s="34">
        <v>41565</v>
      </c>
      <c r="F246" s="35">
        <v>41628</v>
      </c>
      <c r="G246" s="36" t="str">
        <f>+"01-AUG-2008"</f>
        <v>01-AUG-2008</v>
      </c>
      <c r="H246" s="37"/>
      <c r="I246" s="3" t="str">
        <f>+"29-JUL-2010"</f>
        <v>29-JUL-2010</v>
      </c>
      <c r="J246" s="38">
        <v>40422</v>
      </c>
      <c r="K246" s="63">
        <f t="shared" si="4"/>
        <v>1573</v>
      </c>
      <c r="L246" s="35"/>
      <c r="M246" s="3" t="s">
        <v>11</v>
      </c>
      <c r="N246" s="3" t="s">
        <v>346</v>
      </c>
      <c r="O246" s="3" t="s">
        <v>12</v>
      </c>
      <c r="P246" s="3" t="s">
        <v>27</v>
      </c>
      <c r="Q246" s="3" t="s">
        <v>14</v>
      </c>
      <c r="R246" s="22" t="s">
        <v>347</v>
      </c>
    </row>
    <row r="247" spans="1:18" s="56" customFormat="1" ht="113.25" customHeight="1" x14ac:dyDescent="0.25">
      <c r="A247" s="3" t="s">
        <v>460</v>
      </c>
      <c r="B247" s="34" t="s">
        <v>539</v>
      </c>
      <c r="C247" s="35">
        <v>39556</v>
      </c>
      <c r="D247" s="35"/>
      <c r="E247" s="34" t="s">
        <v>539</v>
      </c>
      <c r="F247" s="35" t="s">
        <v>539</v>
      </c>
      <c r="G247" s="36" t="str">
        <f>+"05-OCT-2006"</f>
        <v>05-OCT-2006</v>
      </c>
      <c r="H247" s="37"/>
      <c r="I247" s="3" t="str">
        <f>+"16-DEC-2010"</f>
        <v>16-DEC-2010</v>
      </c>
      <c r="J247" s="38">
        <v>40567</v>
      </c>
      <c r="K247" s="63">
        <f t="shared" si="4"/>
        <v>1428</v>
      </c>
      <c r="L247" s="35"/>
      <c r="M247" s="3" t="s">
        <v>21</v>
      </c>
      <c r="N247" s="3" t="s">
        <v>461</v>
      </c>
      <c r="O247" s="3" t="s">
        <v>12</v>
      </c>
      <c r="P247" s="3" t="s">
        <v>27</v>
      </c>
      <c r="Q247" s="3" t="s">
        <v>17</v>
      </c>
      <c r="R247" s="22" t="s">
        <v>568</v>
      </c>
    </row>
    <row r="248" spans="1:18" s="56" customFormat="1" ht="84.95" customHeight="1" x14ac:dyDescent="0.25">
      <c r="A248" s="3" t="s">
        <v>28</v>
      </c>
      <c r="B248" s="34" t="s">
        <v>539</v>
      </c>
      <c r="C248" s="35">
        <v>39762</v>
      </c>
      <c r="D248" s="35"/>
      <c r="E248" s="34" t="s">
        <v>539</v>
      </c>
      <c r="F248" s="35">
        <v>39855</v>
      </c>
      <c r="G248" s="36" t="str">
        <f>+"02-JUN-2008"</f>
        <v>02-JUN-2008</v>
      </c>
      <c r="H248" s="37"/>
      <c r="I248" s="3" t="str">
        <f>+"16-DEC-2010"</f>
        <v>16-DEC-2010</v>
      </c>
      <c r="J248" s="38">
        <v>40568</v>
      </c>
      <c r="K248" s="63">
        <f t="shared" si="4"/>
        <v>1427</v>
      </c>
      <c r="L248" s="35">
        <v>40000</v>
      </c>
      <c r="M248" s="3" t="s">
        <v>11</v>
      </c>
      <c r="N248" s="3" t="s">
        <v>29</v>
      </c>
      <c r="O248" s="3" t="s">
        <v>12</v>
      </c>
      <c r="P248" s="3" t="s">
        <v>16</v>
      </c>
      <c r="Q248" s="3" t="s">
        <v>23</v>
      </c>
      <c r="R248" s="22" t="s">
        <v>30</v>
      </c>
    </row>
    <row r="249" spans="1:18" s="56" customFormat="1" ht="84.95" customHeight="1" x14ac:dyDescent="0.25">
      <c r="A249" s="3" t="s">
        <v>31</v>
      </c>
      <c r="B249" s="34" t="s">
        <v>539</v>
      </c>
      <c r="C249" s="35">
        <v>39762</v>
      </c>
      <c r="D249" s="35"/>
      <c r="E249" s="34" t="s">
        <v>539</v>
      </c>
      <c r="F249" s="35">
        <v>39855</v>
      </c>
      <c r="G249" s="36" t="str">
        <f>+"02-JUN-2008"</f>
        <v>02-JUN-2008</v>
      </c>
      <c r="H249" s="37"/>
      <c r="I249" s="3" t="str">
        <f>+"16-DEC-2010"</f>
        <v>16-DEC-2010</v>
      </c>
      <c r="J249" s="38">
        <v>40568</v>
      </c>
      <c r="K249" s="63">
        <f t="shared" si="4"/>
        <v>1427</v>
      </c>
      <c r="L249" s="35">
        <v>40000</v>
      </c>
      <c r="M249" s="3" t="s">
        <v>11</v>
      </c>
      <c r="N249" s="3" t="s">
        <v>32</v>
      </c>
      <c r="O249" s="3" t="s">
        <v>12</v>
      </c>
      <c r="P249" s="3" t="s">
        <v>16</v>
      </c>
      <c r="Q249" s="3" t="s">
        <v>23</v>
      </c>
      <c r="R249" s="22" t="s">
        <v>30</v>
      </c>
    </row>
    <row r="250" spans="1:18" ht="84.95" customHeight="1" x14ac:dyDescent="0.25">
      <c r="A250" s="3" t="s">
        <v>33</v>
      </c>
      <c r="B250" s="34" t="s">
        <v>539</v>
      </c>
      <c r="C250" s="35">
        <v>39762</v>
      </c>
      <c r="D250" s="35"/>
      <c r="E250" s="34" t="s">
        <v>539</v>
      </c>
      <c r="F250" s="35">
        <v>39855</v>
      </c>
      <c r="G250" s="36" t="str">
        <f>+"02-JUN-2008"</f>
        <v>02-JUN-2008</v>
      </c>
      <c r="H250" s="37"/>
      <c r="I250" s="3" t="str">
        <f>+"16-DEC-2010"</f>
        <v>16-DEC-2010</v>
      </c>
      <c r="J250" s="38">
        <v>40568</v>
      </c>
      <c r="K250" s="63">
        <f t="shared" si="4"/>
        <v>1427</v>
      </c>
      <c r="L250" s="35">
        <v>40000</v>
      </c>
      <c r="M250" s="3" t="s">
        <v>11</v>
      </c>
      <c r="N250" s="3" t="s">
        <v>34</v>
      </c>
      <c r="O250" s="3" t="s">
        <v>12</v>
      </c>
      <c r="P250" s="3" t="s">
        <v>16</v>
      </c>
      <c r="Q250" s="3" t="s">
        <v>23</v>
      </c>
      <c r="R250" s="22" t="s">
        <v>30</v>
      </c>
    </row>
    <row r="251" spans="1:18" ht="84.95" customHeight="1" x14ac:dyDescent="0.25">
      <c r="A251" s="3" t="s">
        <v>348</v>
      </c>
      <c r="B251" s="34" t="s">
        <v>539</v>
      </c>
      <c r="C251" s="35" t="s">
        <v>539</v>
      </c>
      <c r="D251" s="35"/>
      <c r="E251" s="34" t="s">
        <v>539</v>
      </c>
      <c r="F251" s="35" t="s">
        <v>539</v>
      </c>
      <c r="G251" s="36" t="str">
        <f>+"09-DEC-2009"</f>
        <v>09-DEC-2009</v>
      </c>
      <c r="H251" s="37"/>
      <c r="I251" s="3" t="str">
        <f>+"24-MAR-2011"</f>
        <v>24-MAR-2011</v>
      </c>
      <c r="J251" s="38">
        <v>40661</v>
      </c>
      <c r="K251" s="63">
        <f t="shared" si="4"/>
        <v>1334</v>
      </c>
      <c r="L251" s="35"/>
      <c r="M251" s="3" t="s">
        <v>21</v>
      </c>
      <c r="N251" s="3" t="s">
        <v>349</v>
      </c>
      <c r="O251" s="3" t="s">
        <v>12</v>
      </c>
      <c r="P251" s="3" t="s">
        <v>27</v>
      </c>
      <c r="Q251" s="3" t="s">
        <v>43</v>
      </c>
      <c r="R251" s="22" t="s">
        <v>350</v>
      </c>
    </row>
    <row r="252" spans="1:18" ht="105" x14ac:dyDescent="0.25">
      <c r="A252" s="3" t="s">
        <v>353</v>
      </c>
      <c r="B252" s="34" t="s">
        <v>539</v>
      </c>
      <c r="C252" s="35" t="s">
        <v>539</v>
      </c>
      <c r="D252" s="35"/>
      <c r="E252" s="34" t="s">
        <v>539</v>
      </c>
      <c r="F252" s="35" t="s">
        <v>539</v>
      </c>
      <c r="G252" s="36" t="str">
        <f>+"25-JAN-2010"</f>
        <v>25-JAN-2010</v>
      </c>
      <c r="H252" s="37"/>
      <c r="I252" s="3" t="str">
        <f>+"24-MAR-2011"</f>
        <v>24-MAR-2011</v>
      </c>
      <c r="J252" s="38">
        <v>40661</v>
      </c>
      <c r="K252" s="63">
        <f t="shared" si="4"/>
        <v>1334</v>
      </c>
      <c r="L252" s="35"/>
      <c r="M252" s="3" t="s">
        <v>11</v>
      </c>
      <c r="N252" s="3" t="s">
        <v>354</v>
      </c>
      <c r="O252" s="3" t="s">
        <v>12</v>
      </c>
      <c r="P252" s="3" t="s">
        <v>27</v>
      </c>
      <c r="Q252" s="3" t="s">
        <v>43</v>
      </c>
      <c r="R252" s="22" t="s">
        <v>350</v>
      </c>
    </row>
    <row r="253" spans="1:18" ht="105" x14ac:dyDescent="0.25">
      <c r="A253" s="3" t="s">
        <v>355</v>
      </c>
      <c r="B253" s="34" t="s">
        <v>539</v>
      </c>
      <c r="C253" s="35" t="s">
        <v>539</v>
      </c>
      <c r="D253" s="35"/>
      <c r="E253" s="34" t="s">
        <v>539</v>
      </c>
      <c r="F253" s="35" t="s">
        <v>539</v>
      </c>
      <c r="G253" s="36" t="str">
        <f>+"25-JAN-2010"</f>
        <v>25-JAN-2010</v>
      </c>
      <c r="H253" s="37"/>
      <c r="I253" s="3" t="str">
        <f>+"24-MAR-2011"</f>
        <v>24-MAR-2011</v>
      </c>
      <c r="J253" s="38">
        <v>40661</v>
      </c>
      <c r="K253" s="63">
        <f t="shared" si="4"/>
        <v>1334</v>
      </c>
      <c r="L253" s="35"/>
      <c r="M253" s="3" t="s">
        <v>11</v>
      </c>
      <c r="N253" s="3" t="s">
        <v>356</v>
      </c>
      <c r="O253" s="3" t="s">
        <v>12</v>
      </c>
      <c r="P253" s="3" t="s">
        <v>27</v>
      </c>
      <c r="Q253" s="3" t="s">
        <v>43</v>
      </c>
      <c r="R253" s="22" t="s">
        <v>350</v>
      </c>
    </row>
    <row r="254" spans="1:18" ht="105" x14ac:dyDescent="0.25">
      <c r="A254" s="3" t="s">
        <v>357</v>
      </c>
      <c r="B254" s="34" t="s">
        <v>539</v>
      </c>
      <c r="C254" s="35" t="s">
        <v>539</v>
      </c>
      <c r="D254" s="35"/>
      <c r="E254" s="34" t="s">
        <v>539</v>
      </c>
      <c r="F254" s="35" t="s">
        <v>539</v>
      </c>
      <c r="G254" s="36" t="str">
        <f>+"25-JAN-2010"</f>
        <v>25-JAN-2010</v>
      </c>
      <c r="H254" s="37"/>
      <c r="I254" s="3" t="str">
        <f>+"24-MAR-2011"</f>
        <v>24-MAR-2011</v>
      </c>
      <c r="J254" s="38">
        <v>40661</v>
      </c>
      <c r="K254" s="63">
        <f t="shared" si="4"/>
        <v>1334</v>
      </c>
      <c r="L254" s="35"/>
      <c r="M254" s="3" t="s">
        <v>11</v>
      </c>
      <c r="N254" s="3" t="s">
        <v>358</v>
      </c>
      <c r="O254" s="3" t="s">
        <v>12</v>
      </c>
      <c r="P254" s="3" t="s">
        <v>27</v>
      </c>
      <c r="Q254" s="3" t="s">
        <v>43</v>
      </c>
      <c r="R254" s="22" t="s">
        <v>350</v>
      </c>
    </row>
    <row r="255" spans="1:18" ht="84.95" customHeight="1" x14ac:dyDescent="0.25">
      <c r="A255" s="3" t="s">
        <v>68</v>
      </c>
      <c r="B255" s="34" t="s">
        <v>539</v>
      </c>
      <c r="C255" s="35" t="s">
        <v>539</v>
      </c>
      <c r="D255" s="35"/>
      <c r="E255" s="34" t="s">
        <v>539</v>
      </c>
      <c r="F255" s="35">
        <v>40781</v>
      </c>
      <c r="G255" s="36" t="str">
        <f>+"01-FEB-2011"</f>
        <v>01-FEB-2011</v>
      </c>
      <c r="H255" s="37"/>
      <c r="I255" s="3" t="str">
        <f>+"19-APR-2012"</f>
        <v>19-APR-2012</v>
      </c>
      <c r="J255" s="38">
        <v>41058</v>
      </c>
      <c r="K255" s="63">
        <f t="shared" si="4"/>
        <v>937</v>
      </c>
      <c r="L255" s="35">
        <v>40781</v>
      </c>
      <c r="M255" s="3" t="s">
        <v>11</v>
      </c>
      <c r="N255" s="3" t="s">
        <v>69</v>
      </c>
      <c r="O255" s="3" t="s">
        <v>12</v>
      </c>
      <c r="P255" s="3" t="s">
        <v>19</v>
      </c>
      <c r="Q255" s="3" t="s">
        <v>17</v>
      </c>
      <c r="R255" s="22" t="s">
        <v>70</v>
      </c>
    </row>
    <row r="256" spans="1:18" ht="84.95" customHeight="1" x14ac:dyDescent="0.25">
      <c r="A256" s="3" t="s">
        <v>54</v>
      </c>
      <c r="B256" s="34">
        <v>40415</v>
      </c>
      <c r="C256" s="35">
        <v>40451</v>
      </c>
      <c r="D256" s="35"/>
      <c r="E256" s="34">
        <v>40451</v>
      </c>
      <c r="F256" s="35">
        <v>40882</v>
      </c>
      <c r="G256" s="36" t="str">
        <f>+"06-JUL-2010"</f>
        <v>06-JUL-2010</v>
      </c>
      <c r="H256" s="37"/>
      <c r="I256" s="3" t="str">
        <f>+"20-DEC-2012"</f>
        <v>20-DEC-2012</v>
      </c>
      <c r="J256" s="38">
        <v>41320</v>
      </c>
      <c r="K256" s="63">
        <f t="shared" si="4"/>
        <v>675</v>
      </c>
      <c r="L256" s="35">
        <v>41194</v>
      </c>
      <c r="M256" s="3" t="s">
        <v>11</v>
      </c>
      <c r="N256" s="3" t="s">
        <v>55</v>
      </c>
      <c r="O256" s="3" t="s">
        <v>12</v>
      </c>
      <c r="P256" s="3" t="s">
        <v>16</v>
      </c>
      <c r="Q256" s="3" t="s">
        <v>14</v>
      </c>
      <c r="R256" s="22" t="s">
        <v>189</v>
      </c>
    </row>
    <row r="257" spans="1:18" ht="84.95" customHeight="1" x14ac:dyDescent="0.25">
      <c r="A257" s="3" t="s">
        <v>335</v>
      </c>
      <c r="B257" s="34" t="s">
        <v>539</v>
      </c>
      <c r="C257" s="35" t="s">
        <v>539</v>
      </c>
      <c r="D257" s="35"/>
      <c r="E257" s="34" t="s">
        <v>539</v>
      </c>
      <c r="F257" s="35">
        <v>34247</v>
      </c>
      <c r="G257" s="36" t="str">
        <f>+"26-MAY-1987"</f>
        <v>26-MAY-1987</v>
      </c>
      <c r="H257" s="37"/>
      <c r="I257" s="3" t="str">
        <f>+"08-MAY-1996"</f>
        <v>08-MAY-1996</v>
      </c>
      <c r="J257" s="38">
        <v>41348</v>
      </c>
      <c r="K257" s="63">
        <f t="shared" si="4"/>
        <v>647</v>
      </c>
      <c r="L257" s="35"/>
      <c r="M257" s="3" t="s">
        <v>21</v>
      </c>
      <c r="N257" s="3" t="s">
        <v>336</v>
      </c>
      <c r="O257" s="3" t="s">
        <v>12</v>
      </c>
      <c r="P257" s="3" t="s">
        <v>27</v>
      </c>
      <c r="Q257" s="3" t="s">
        <v>38</v>
      </c>
      <c r="R257" s="22" t="s">
        <v>65</v>
      </c>
    </row>
    <row r="258" spans="1:18" ht="84.95" customHeight="1" x14ac:dyDescent="0.25">
      <c r="A258" s="3" t="s">
        <v>337</v>
      </c>
      <c r="B258" s="34" t="s">
        <v>539</v>
      </c>
      <c r="C258" s="35" t="s">
        <v>539</v>
      </c>
      <c r="D258" s="35"/>
      <c r="E258" s="34" t="s">
        <v>539</v>
      </c>
      <c r="F258" s="35">
        <v>32965</v>
      </c>
      <c r="G258" s="36" t="str">
        <f>+"01-APR-1988"</f>
        <v>01-APR-1988</v>
      </c>
      <c r="H258" s="37"/>
      <c r="I258" s="3" t="str">
        <f>+"18-DEC-1991"</f>
        <v>18-DEC-1991</v>
      </c>
      <c r="J258" s="38">
        <v>41348</v>
      </c>
      <c r="K258" s="63">
        <f t="shared" si="4"/>
        <v>647</v>
      </c>
      <c r="L258" s="35"/>
      <c r="M258" s="3" t="s">
        <v>21</v>
      </c>
      <c r="N258" s="3" t="s">
        <v>338</v>
      </c>
      <c r="O258" s="3" t="s">
        <v>12</v>
      </c>
      <c r="P258" s="3" t="s">
        <v>27</v>
      </c>
      <c r="Q258" s="3" t="s">
        <v>38</v>
      </c>
      <c r="R258" s="22" t="s">
        <v>65</v>
      </c>
    </row>
    <row r="259" spans="1:18" ht="84.95" customHeight="1" x14ac:dyDescent="0.25">
      <c r="A259" s="3" t="s">
        <v>453</v>
      </c>
      <c r="B259" s="34" t="s">
        <v>539</v>
      </c>
      <c r="C259" s="35" t="s">
        <v>539</v>
      </c>
      <c r="D259" s="35"/>
      <c r="E259" s="34" t="s">
        <v>539</v>
      </c>
      <c r="F259" s="35">
        <v>32965</v>
      </c>
      <c r="G259" s="36" t="str">
        <f>+"17-APR-1985"</f>
        <v>17-APR-1985</v>
      </c>
      <c r="H259" s="37"/>
      <c r="I259" s="3" t="str">
        <f>+"18-DEC-1991"</f>
        <v>18-DEC-1991</v>
      </c>
      <c r="J259" s="38">
        <v>41348</v>
      </c>
      <c r="K259" s="63">
        <f t="shared" si="4"/>
        <v>647</v>
      </c>
      <c r="L259" s="35"/>
      <c r="M259" s="3" t="s">
        <v>21</v>
      </c>
      <c r="N259" s="3" t="s">
        <v>454</v>
      </c>
      <c r="O259" s="3" t="s">
        <v>12</v>
      </c>
      <c r="P259" s="3" t="s">
        <v>27</v>
      </c>
      <c r="Q259" s="3" t="s">
        <v>38</v>
      </c>
      <c r="R259" s="22" t="s">
        <v>65</v>
      </c>
    </row>
    <row r="260" spans="1:18" ht="84.95" customHeight="1" x14ac:dyDescent="0.25">
      <c r="A260" s="3" t="s">
        <v>359</v>
      </c>
      <c r="B260" s="34" t="s">
        <v>539</v>
      </c>
      <c r="C260" s="35" t="s">
        <v>539</v>
      </c>
      <c r="D260" s="35"/>
      <c r="E260" s="34" t="s">
        <v>539</v>
      </c>
      <c r="F260" s="35" t="s">
        <v>539</v>
      </c>
      <c r="G260" s="36" t="str">
        <f>+"25-FEB-2010"</f>
        <v>25-FEB-2010</v>
      </c>
      <c r="H260" s="37"/>
      <c r="I260" s="3" t="str">
        <f>+"28-FEB-2013"</f>
        <v>28-FEB-2013</v>
      </c>
      <c r="J260" s="38">
        <v>41359</v>
      </c>
      <c r="K260" s="63">
        <f t="shared" si="4"/>
        <v>636</v>
      </c>
      <c r="L260" s="35">
        <v>41182</v>
      </c>
      <c r="M260" s="3" t="s">
        <v>11</v>
      </c>
      <c r="N260" s="3" t="s">
        <v>360</v>
      </c>
      <c r="O260" s="3" t="s">
        <v>12</v>
      </c>
      <c r="P260" s="3" t="s">
        <v>16</v>
      </c>
      <c r="Q260" s="3" t="s">
        <v>14</v>
      </c>
      <c r="R260" s="22" t="s">
        <v>563</v>
      </c>
    </row>
    <row r="261" spans="1:18" ht="84.95" customHeight="1" x14ac:dyDescent="0.25">
      <c r="A261" s="3" t="s">
        <v>20</v>
      </c>
      <c r="B261" s="34" t="s">
        <v>539</v>
      </c>
      <c r="C261" s="35">
        <v>39976</v>
      </c>
      <c r="D261" s="35"/>
      <c r="E261" s="34" t="s">
        <v>539</v>
      </c>
      <c r="F261" s="35">
        <v>41407</v>
      </c>
      <c r="G261" s="36" t="str">
        <f>+"16-JAN-2007"</f>
        <v>16-JAN-2007</v>
      </c>
      <c r="H261" s="37"/>
      <c r="I261" s="3" t="str">
        <f>+"12-AUG-2010"</f>
        <v>12-AUG-2010</v>
      </c>
      <c r="J261" s="38">
        <v>41366</v>
      </c>
      <c r="K261" s="63">
        <f t="shared" si="4"/>
        <v>629</v>
      </c>
      <c r="L261" s="35"/>
      <c r="M261" s="3" t="s">
        <v>21</v>
      </c>
      <c r="N261" s="3" t="s">
        <v>22</v>
      </c>
      <c r="O261" s="3" t="s">
        <v>12</v>
      </c>
      <c r="P261" s="3" t="s">
        <v>16</v>
      </c>
      <c r="Q261" s="3" t="s">
        <v>23</v>
      </c>
      <c r="R261" s="22" t="s">
        <v>24</v>
      </c>
    </row>
    <row r="262" spans="1:18" ht="84.95" customHeight="1" x14ac:dyDescent="0.25">
      <c r="A262" s="3" t="s">
        <v>25</v>
      </c>
      <c r="B262" s="34" t="s">
        <v>539</v>
      </c>
      <c r="C262" s="35">
        <v>39976</v>
      </c>
      <c r="D262" s="35"/>
      <c r="E262" s="34" t="s">
        <v>539</v>
      </c>
      <c r="F262" s="35">
        <v>40350</v>
      </c>
      <c r="G262" s="36" t="str">
        <f>+"30-APR-2007"</f>
        <v>30-APR-2007</v>
      </c>
      <c r="H262" s="37"/>
      <c r="I262" s="3" t="str">
        <f>+"12-AUG-2010"</f>
        <v>12-AUG-2010</v>
      </c>
      <c r="J262" s="38">
        <v>41366</v>
      </c>
      <c r="K262" s="63">
        <f t="shared" si="4"/>
        <v>629</v>
      </c>
      <c r="L262" s="35"/>
      <c r="M262" s="3" t="s">
        <v>21</v>
      </c>
      <c r="N262" s="3" t="s">
        <v>26</v>
      </c>
      <c r="O262" s="3" t="s">
        <v>12</v>
      </c>
      <c r="P262" s="3" t="s">
        <v>16</v>
      </c>
      <c r="Q262" s="3" t="s">
        <v>23</v>
      </c>
      <c r="R262" s="22" t="s">
        <v>24</v>
      </c>
    </row>
    <row r="263" spans="1:18" ht="84.95" customHeight="1" x14ac:dyDescent="0.25">
      <c r="A263" s="3" t="s">
        <v>81</v>
      </c>
      <c r="B263" s="34" t="s">
        <v>539</v>
      </c>
      <c r="C263" s="35">
        <v>40753</v>
      </c>
      <c r="D263" s="35"/>
      <c r="E263" s="34" t="s">
        <v>539</v>
      </c>
      <c r="F263" s="35">
        <v>41135</v>
      </c>
      <c r="G263" s="36" t="str">
        <f>+"19-MAY-2011"</f>
        <v>19-MAY-2011</v>
      </c>
      <c r="H263" s="37"/>
      <c r="I263" s="3" t="str">
        <f>+"21-MAR-2013"</f>
        <v>21-MAR-2013</v>
      </c>
      <c r="J263" s="38">
        <v>41393</v>
      </c>
      <c r="K263" s="63">
        <f t="shared" si="4"/>
        <v>602</v>
      </c>
      <c r="L263" s="35">
        <v>41163</v>
      </c>
      <c r="M263" s="3" t="s">
        <v>11</v>
      </c>
      <c r="N263" s="3" t="s">
        <v>82</v>
      </c>
      <c r="O263" s="3" t="s">
        <v>12</v>
      </c>
      <c r="P263" s="3" t="s">
        <v>16</v>
      </c>
      <c r="Q263" s="3" t="s">
        <v>23</v>
      </c>
      <c r="R263" s="22" t="s">
        <v>192</v>
      </c>
    </row>
    <row r="264" spans="1:18" ht="84.95" customHeight="1" x14ac:dyDescent="0.25">
      <c r="A264" s="3" t="s">
        <v>369</v>
      </c>
      <c r="B264" s="34">
        <v>41226</v>
      </c>
      <c r="C264" s="35">
        <v>41311</v>
      </c>
      <c r="D264" s="35"/>
      <c r="E264" s="34">
        <v>41869</v>
      </c>
      <c r="F264" s="35">
        <v>41904</v>
      </c>
      <c r="G264" s="36" t="str">
        <f>+"23-AUG-2012"</f>
        <v>23-AUG-2012</v>
      </c>
      <c r="H264" s="37"/>
      <c r="I264" s="3" t="str">
        <f>+"04-APR-2013"</f>
        <v>04-APR-2013</v>
      </c>
      <c r="J264" s="38">
        <v>41396</v>
      </c>
      <c r="K264" s="63">
        <f t="shared" si="4"/>
        <v>599</v>
      </c>
      <c r="L264" s="35"/>
      <c r="M264" s="3" t="s">
        <v>21</v>
      </c>
      <c r="N264" s="3" t="s">
        <v>370</v>
      </c>
      <c r="O264" s="3" t="s">
        <v>12</v>
      </c>
      <c r="P264" s="3" t="s">
        <v>16</v>
      </c>
      <c r="Q264" s="3" t="s">
        <v>14</v>
      </c>
      <c r="R264" s="22" t="s">
        <v>569</v>
      </c>
    </row>
    <row r="265" spans="1:18" ht="84.95" customHeight="1" x14ac:dyDescent="0.25">
      <c r="A265" s="3" t="s">
        <v>85</v>
      </c>
      <c r="B265" s="34" t="s">
        <v>539</v>
      </c>
      <c r="C265" s="35">
        <v>40819</v>
      </c>
      <c r="D265" s="35"/>
      <c r="E265" s="34" t="s">
        <v>539</v>
      </c>
      <c r="F265" s="35" t="s">
        <v>539</v>
      </c>
      <c r="G265" s="36" t="str">
        <f>+"06-JUN-2011"</f>
        <v>06-JUN-2011</v>
      </c>
      <c r="H265" s="37"/>
      <c r="I265" s="3" t="str">
        <f>+"25-JUL-2013"</f>
        <v>25-JUL-2013</v>
      </c>
      <c r="J265" s="38">
        <v>41481</v>
      </c>
      <c r="K265" s="63">
        <f t="shared" si="4"/>
        <v>514</v>
      </c>
      <c r="L265" s="35"/>
      <c r="M265" s="3" t="s">
        <v>21</v>
      </c>
      <c r="N265" s="3" t="s">
        <v>86</v>
      </c>
      <c r="O265" s="3" t="s">
        <v>12</v>
      </c>
      <c r="P265" s="3" t="s">
        <v>16</v>
      </c>
      <c r="Q265" s="3" t="s">
        <v>43</v>
      </c>
      <c r="R265" s="22" t="s">
        <v>87</v>
      </c>
    </row>
    <row r="266" spans="1:18" ht="84.95" customHeight="1" x14ac:dyDescent="0.25">
      <c r="A266" s="3" t="s">
        <v>88</v>
      </c>
      <c r="B266" s="34" t="s">
        <v>539</v>
      </c>
      <c r="C266" s="35">
        <v>40819</v>
      </c>
      <c r="D266" s="35"/>
      <c r="E266" s="34" t="s">
        <v>539</v>
      </c>
      <c r="F266" s="35" t="s">
        <v>539</v>
      </c>
      <c r="G266" s="36" t="str">
        <f>+"30-JUN-2011"</f>
        <v>30-JUN-2011</v>
      </c>
      <c r="H266" s="37"/>
      <c r="I266" s="3" t="str">
        <f>+"25-JUL-2013"</f>
        <v>25-JUL-2013</v>
      </c>
      <c r="J266" s="38">
        <v>41481</v>
      </c>
      <c r="K266" s="63">
        <f t="shared" si="4"/>
        <v>514</v>
      </c>
      <c r="L266" s="35"/>
      <c r="M266" s="3" t="s">
        <v>21</v>
      </c>
      <c r="N266" s="3" t="s">
        <v>89</v>
      </c>
      <c r="O266" s="3" t="s">
        <v>12</v>
      </c>
      <c r="P266" s="3" t="s">
        <v>16</v>
      </c>
      <c r="Q266" s="3" t="s">
        <v>43</v>
      </c>
      <c r="R266" s="22" t="s">
        <v>664</v>
      </c>
    </row>
    <row r="267" spans="1:18" ht="84.95" customHeight="1" x14ac:dyDescent="0.25">
      <c r="A267" s="3" t="s">
        <v>90</v>
      </c>
      <c r="B267" s="34" t="s">
        <v>539</v>
      </c>
      <c r="C267" s="35">
        <v>40819</v>
      </c>
      <c r="D267" s="35"/>
      <c r="E267" s="34" t="s">
        <v>539</v>
      </c>
      <c r="F267" s="35" t="s">
        <v>539</v>
      </c>
      <c r="G267" s="36" t="str">
        <f>+"01-JUL-2011"</f>
        <v>01-JUL-2011</v>
      </c>
      <c r="H267" s="37"/>
      <c r="I267" s="3" t="str">
        <f>+"25-JUL-2013"</f>
        <v>25-JUL-2013</v>
      </c>
      <c r="J267" s="38">
        <v>41481</v>
      </c>
      <c r="K267" s="63">
        <f t="shared" si="4"/>
        <v>514</v>
      </c>
      <c r="L267" s="35"/>
      <c r="M267" s="3" t="s">
        <v>21</v>
      </c>
      <c r="N267" s="3" t="s">
        <v>91</v>
      </c>
      <c r="O267" s="3" t="s">
        <v>12</v>
      </c>
      <c r="P267" s="3" t="s">
        <v>16</v>
      </c>
      <c r="Q267" s="3" t="s">
        <v>43</v>
      </c>
      <c r="R267" s="22" t="s">
        <v>87</v>
      </c>
    </row>
    <row r="268" spans="1:18" ht="84.95" customHeight="1" x14ac:dyDescent="0.25">
      <c r="A268" s="3" t="s">
        <v>40</v>
      </c>
      <c r="B268" s="34" t="s">
        <v>539</v>
      </c>
      <c r="C268" s="35">
        <v>40003</v>
      </c>
      <c r="D268" s="35"/>
      <c r="E268" s="34" t="s">
        <v>539</v>
      </c>
      <c r="F268" s="35">
        <v>40280</v>
      </c>
      <c r="G268" s="36" t="str">
        <f>+"03-MAR-2009"</f>
        <v>03-MAR-2009</v>
      </c>
      <c r="H268" s="37"/>
      <c r="I268" s="3" t="str">
        <f>+"13-JAN-2011"</f>
        <v>13-JAN-2011</v>
      </c>
      <c r="J268" s="38">
        <v>41549</v>
      </c>
      <c r="K268" s="63">
        <f t="shared" si="4"/>
        <v>446</v>
      </c>
      <c r="L268" s="35"/>
      <c r="M268" s="3" t="s">
        <v>21</v>
      </c>
      <c r="N268" s="3" t="s">
        <v>41</v>
      </c>
      <c r="O268" s="3" t="s">
        <v>12</v>
      </c>
      <c r="P268" s="3" t="s">
        <v>27</v>
      </c>
      <c r="Q268" s="3" t="s">
        <v>14</v>
      </c>
      <c r="R268" s="22" t="s">
        <v>42</v>
      </c>
    </row>
    <row r="269" spans="1:18" ht="105" x14ac:dyDescent="0.25">
      <c r="A269" s="3" t="s">
        <v>343</v>
      </c>
      <c r="B269" s="34" t="s">
        <v>539</v>
      </c>
      <c r="C269" s="35">
        <v>40003</v>
      </c>
      <c r="D269" s="35"/>
      <c r="E269" s="34" t="s">
        <v>539</v>
      </c>
      <c r="F269" s="35">
        <v>40280</v>
      </c>
      <c r="G269" s="36" t="str">
        <f>+"23-APR-2008"</f>
        <v>23-APR-2008</v>
      </c>
      <c r="H269" s="37"/>
      <c r="I269" s="3" t="str">
        <f>+"13-JAN-2011"</f>
        <v>13-JAN-2011</v>
      </c>
      <c r="J269" s="38">
        <v>41549</v>
      </c>
      <c r="K269" s="63">
        <f t="shared" si="4"/>
        <v>446</v>
      </c>
      <c r="L269" s="35"/>
      <c r="M269" s="3" t="s">
        <v>21</v>
      </c>
      <c r="N269" s="3" t="s">
        <v>344</v>
      </c>
      <c r="O269" s="3" t="s">
        <v>12</v>
      </c>
      <c r="P269" s="3" t="s">
        <v>27</v>
      </c>
      <c r="Q269" s="3" t="s">
        <v>14</v>
      </c>
      <c r="R269" s="22" t="s">
        <v>42</v>
      </c>
    </row>
    <row r="270" spans="1:18" ht="84.95" customHeight="1" x14ac:dyDescent="0.25">
      <c r="A270" s="3" t="s">
        <v>371</v>
      </c>
      <c r="B270" s="34" t="s">
        <v>539</v>
      </c>
      <c r="C270" s="35">
        <v>41488</v>
      </c>
      <c r="D270" s="35"/>
      <c r="E270" s="34" t="s">
        <v>539</v>
      </c>
      <c r="F270" s="35" t="s">
        <v>539</v>
      </c>
      <c r="G270" s="36" t="str">
        <f>+"05-SEP-2012"</f>
        <v>05-SEP-2012</v>
      </c>
      <c r="H270" s="37"/>
      <c r="I270" s="3" t="str">
        <f>+"31-OCT-2013"</f>
        <v>31-OCT-2013</v>
      </c>
      <c r="J270" s="38">
        <v>41610</v>
      </c>
      <c r="K270" s="63">
        <f t="shared" si="4"/>
        <v>385</v>
      </c>
      <c r="L270" s="35"/>
      <c r="M270" s="3" t="s">
        <v>21</v>
      </c>
      <c r="N270" s="3" t="s">
        <v>372</v>
      </c>
      <c r="O270" s="3" t="s">
        <v>12</v>
      </c>
      <c r="P270" s="3" t="s">
        <v>16</v>
      </c>
      <c r="Q270" s="3" t="s">
        <v>14</v>
      </c>
      <c r="R270" s="22" t="s">
        <v>624</v>
      </c>
    </row>
    <row r="271" spans="1:18" ht="84.95" customHeight="1" x14ac:dyDescent="0.25">
      <c r="A271" s="3" t="s">
        <v>133</v>
      </c>
      <c r="B271" s="34" t="s">
        <v>539</v>
      </c>
      <c r="C271" s="35">
        <v>41281</v>
      </c>
      <c r="D271" s="35"/>
      <c r="E271" s="34" t="s">
        <v>539</v>
      </c>
      <c r="F271" s="35">
        <v>41355</v>
      </c>
      <c r="G271" s="36" t="str">
        <f>+"01-NOV-2012"</f>
        <v>01-NOV-2012</v>
      </c>
      <c r="H271" s="37"/>
      <c r="I271" s="3" t="str">
        <f>+"14-NOV-2013"</f>
        <v>14-NOV-2013</v>
      </c>
      <c r="J271" s="38">
        <v>41653</v>
      </c>
      <c r="K271" s="63">
        <f t="shared" si="4"/>
        <v>342</v>
      </c>
      <c r="L271" s="35"/>
      <c r="M271" s="3" t="s">
        <v>21</v>
      </c>
      <c r="N271" s="3" t="s">
        <v>134</v>
      </c>
      <c r="O271" s="3" t="s">
        <v>12</v>
      </c>
      <c r="P271" s="3" t="s">
        <v>16</v>
      </c>
      <c r="Q271" s="3" t="s">
        <v>14</v>
      </c>
      <c r="R271" s="22" t="s">
        <v>18</v>
      </c>
    </row>
    <row r="272" spans="1:18" ht="84.95" customHeight="1" x14ac:dyDescent="0.25">
      <c r="A272" s="3" t="s">
        <v>135</v>
      </c>
      <c r="B272" s="34" t="s">
        <v>539</v>
      </c>
      <c r="C272" s="35">
        <v>41281</v>
      </c>
      <c r="D272" s="35"/>
      <c r="E272" s="34" t="s">
        <v>539</v>
      </c>
      <c r="F272" s="35">
        <v>41355</v>
      </c>
      <c r="G272" s="36" t="str">
        <f>+"01-NOV-2012"</f>
        <v>01-NOV-2012</v>
      </c>
      <c r="H272" s="37"/>
      <c r="I272" s="3" t="str">
        <f>+"14-NOV-2013"</f>
        <v>14-NOV-2013</v>
      </c>
      <c r="J272" s="38">
        <v>41653</v>
      </c>
      <c r="K272" s="63">
        <f t="shared" si="4"/>
        <v>342</v>
      </c>
      <c r="L272" s="35"/>
      <c r="M272" s="3" t="s">
        <v>21</v>
      </c>
      <c r="N272" s="3" t="s">
        <v>672</v>
      </c>
      <c r="O272" s="3" t="s">
        <v>12</v>
      </c>
      <c r="P272" s="3" t="s">
        <v>16</v>
      </c>
      <c r="Q272" s="3" t="s">
        <v>14</v>
      </c>
      <c r="R272" s="22" t="s">
        <v>18</v>
      </c>
    </row>
    <row r="273" spans="1:18" ht="84.95" customHeight="1" x14ac:dyDescent="0.25">
      <c r="A273" s="3" t="s">
        <v>137</v>
      </c>
      <c r="B273" s="34" t="s">
        <v>539</v>
      </c>
      <c r="C273" s="35">
        <v>41281</v>
      </c>
      <c r="D273" s="35"/>
      <c r="E273" s="34" t="s">
        <v>539</v>
      </c>
      <c r="F273" s="35">
        <v>41355</v>
      </c>
      <c r="G273" s="36" t="str">
        <f>+"01-NOV-2012"</f>
        <v>01-NOV-2012</v>
      </c>
      <c r="H273" s="37"/>
      <c r="I273" s="3" t="str">
        <f>+"14-NOV-2013"</f>
        <v>14-NOV-2013</v>
      </c>
      <c r="J273" s="38">
        <v>41653</v>
      </c>
      <c r="K273" s="63">
        <f t="shared" si="4"/>
        <v>342</v>
      </c>
      <c r="L273" s="35"/>
      <c r="M273" s="3" t="s">
        <v>21</v>
      </c>
      <c r="N273" s="3" t="s">
        <v>138</v>
      </c>
      <c r="O273" s="3" t="s">
        <v>12</v>
      </c>
      <c r="P273" s="3" t="s">
        <v>16</v>
      </c>
      <c r="Q273" s="3" t="s">
        <v>14</v>
      </c>
      <c r="R273" s="22" t="s">
        <v>18</v>
      </c>
    </row>
    <row r="274" spans="1:18" ht="84.95" customHeight="1" x14ac:dyDescent="0.25">
      <c r="A274" s="3" t="s">
        <v>139</v>
      </c>
      <c r="B274" s="34" t="s">
        <v>539</v>
      </c>
      <c r="C274" s="35">
        <v>41281</v>
      </c>
      <c r="D274" s="35"/>
      <c r="E274" s="34" t="s">
        <v>539</v>
      </c>
      <c r="F274" s="35">
        <v>41355</v>
      </c>
      <c r="G274" s="36" t="str">
        <f>+"01-NOV-2012"</f>
        <v>01-NOV-2012</v>
      </c>
      <c r="H274" s="37"/>
      <c r="I274" s="3" t="str">
        <f>+"14-NOV-2013"</f>
        <v>14-NOV-2013</v>
      </c>
      <c r="J274" s="38">
        <v>41653</v>
      </c>
      <c r="K274" s="63">
        <f t="shared" si="4"/>
        <v>342</v>
      </c>
      <c r="L274" s="35"/>
      <c r="M274" s="3" t="s">
        <v>21</v>
      </c>
      <c r="N274" s="3" t="s">
        <v>140</v>
      </c>
      <c r="O274" s="3" t="s">
        <v>12</v>
      </c>
      <c r="P274" s="3" t="s">
        <v>16</v>
      </c>
      <c r="Q274" s="3" t="s">
        <v>14</v>
      </c>
      <c r="R274" s="22" t="s">
        <v>18</v>
      </c>
    </row>
    <row r="275" spans="1:18" ht="84.95" customHeight="1" x14ac:dyDescent="0.25">
      <c r="A275" s="3" t="s">
        <v>120</v>
      </c>
      <c r="B275" s="34" t="s">
        <v>539</v>
      </c>
      <c r="C275" s="35">
        <v>41148</v>
      </c>
      <c r="D275" s="35"/>
      <c r="E275" s="34" t="s">
        <v>539</v>
      </c>
      <c r="F275" s="35" t="s">
        <v>539</v>
      </c>
      <c r="G275" s="36" t="str">
        <f>+"02-JUL-2012"</f>
        <v>02-JUL-2012</v>
      </c>
      <c r="H275" s="37"/>
      <c r="I275" s="3" t="str">
        <f>+"19-SEP-2013"</f>
        <v>19-SEP-2013</v>
      </c>
      <c r="J275" s="38">
        <v>41663</v>
      </c>
      <c r="K275" s="63">
        <f t="shared" si="4"/>
        <v>332</v>
      </c>
      <c r="L275" s="35"/>
      <c r="M275" s="3" t="s">
        <v>21</v>
      </c>
      <c r="N275" s="3" t="s">
        <v>121</v>
      </c>
      <c r="O275" s="3" t="s">
        <v>12</v>
      </c>
      <c r="P275" s="3" t="s">
        <v>44</v>
      </c>
      <c r="Q275" s="3" t="s">
        <v>38</v>
      </c>
      <c r="R275" s="22" t="s">
        <v>122</v>
      </c>
    </row>
    <row r="276" spans="1:18" ht="84.95" customHeight="1" x14ac:dyDescent="0.25">
      <c r="A276" s="3" t="s">
        <v>123</v>
      </c>
      <c r="B276" s="34" t="s">
        <v>539</v>
      </c>
      <c r="C276" s="35">
        <v>41148</v>
      </c>
      <c r="D276" s="35"/>
      <c r="E276" s="34" t="s">
        <v>539</v>
      </c>
      <c r="F276" s="35" t="s">
        <v>539</v>
      </c>
      <c r="G276" s="36" t="str">
        <f>+"02-JUL-2012"</f>
        <v>02-JUL-2012</v>
      </c>
      <c r="H276" s="37"/>
      <c r="I276" s="3" t="str">
        <f>+"19-SEP-2013"</f>
        <v>19-SEP-2013</v>
      </c>
      <c r="J276" s="38">
        <v>41663</v>
      </c>
      <c r="K276" s="63">
        <f t="shared" si="4"/>
        <v>332</v>
      </c>
      <c r="L276" s="35"/>
      <c r="M276" s="3" t="s">
        <v>21</v>
      </c>
      <c r="N276" s="3" t="s">
        <v>124</v>
      </c>
      <c r="O276" s="3" t="s">
        <v>12</v>
      </c>
      <c r="P276" s="3" t="s">
        <v>16</v>
      </c>
      <c r="Q276" s="3" t="s">
        <v>38</v>
      </c>
      <c r="R276" s="22" t="s">
        <v>122</v>
      </c>
    </row>
    <row r="277" spans="1:18" ht="84.95" customHeight="1" x14ac:dyDescent="0.25">
      <c r="A277" s="3" t="s">
        <v>125</v>
      </c>
      <c r="B277" s="34" t="s">
        <v>539</v>
      </c>
      <c r="C277" s="35">
        <v>41148</v>
      </c>
      <c r="D277" s="35"/>
      <c r="E277" s="34" t="s">
        <v>539</v>
      </c>
      <c r="F277" s="35" t="s">
        <v>539</v>
      </c>
      <c r="G277" s="36" t="str">
        <f>+"02-JUL-2012"</f>
        <v>02-JUL-2012</v>
      </c>
      <c r="H277" s="37"/>
      <c r="I277" s="3" t="str">
        <f>+"19-SEP-2013"</f>
        <v>19-SEP-2013</v>
      </c>
      <c r="J277" s="38">
        <v>41663</v>
      </c>
      <c r="K277" s="63">
        <f t="shared" si="4"/>
        <v>332</v>
      </c>
      <c r="L277" s="35"/>
      <c r="M277" s="3" t="s">
        <v>21</v>
      </c>
      <c r="N277" s="3" t="s">
        <v>126</v>
      </c>
      <c r="O277" s="3" t="s">
        <v>12</v>
      </c>
      <c r="P277" s="3" t="s">
        <v>67</v>
      </c>
      <c r="Q277" s="3" t="s">
        <v>38</v>
      </c>
      <c r="R277" s="22" t="s">
        <v>122</v>
      </c>
    </row>
    <row r="278" spans="1:18" ht="84.95" customHeight="1" x14ac:dyDescent="0.25">
      <c r="A278" s="3" t="s">
        <v>127</v>
      </c>
      <c r="B278" s="34" t="s">
        <v>539</v>
      </c>
      <c r="C278" s="35">
        <v>41148</v>
      </c>
      <c r="D278" s="35"/>
      <c r="E278" s="34" t="s">
        <v>539</v>
      </c>
      <c r="F278" s="35" t="s">
        <v>539</v>
      </c>
      <c r="G278" s="36" t="str">
        <f>+"02-JUL-2012"</f>
        <v>02-JUL-2012</v>
      </c>
      <c r="H278" s="37"/>
      <c r="I278" s="3" t="str">
        <f>+"19-SEP-2013"</f>
        <v>19-SEP-2013</v>
      </c>
      <c r="J278" s="38">
        <v>41663</v>
      </c>
      <c r="K278" s="63">
        <f t="shared" si="4"/>
        <v>332</v>
      </c>
      <c r="L278" s="35"/>
      <c r="M278" s="3" t="s">
        <v>21</v>
      </c>
      <c r="N278" s="3" t="s">
        <v>128</v>
      </c>
      <c r="O278" s="3" t="s">
        <v>12</v>
      </c>
      <c r="P278" s="3" t="s">
        <v>16</v>
      </c>
      <c r="Q278" s="3" t="s">
        <v>38</v>
      </c>
      <c r="R278" s="22" t="s">
        <v>122</v>
      </c>
    </row>
    <row r="279" spans="1:18" ht="90" x14ac:dyDescent="0.25">
      <c r="A279" s="3" t="s">
        <v>424</v>
      </c>
      <c r="B279" s="34" t="s">
        <v>539</v>
      </c>
      <c r="C279" s="35" t="s">
        <v>539</v>
      </c>
      <c r="D279" s="35"/>
      <c r="E279" s="34" t="s">
        <v>539</v>
      </c>
      <c r="F279" s="35">
        <v>41411</v>
      </c>
      <c r="G279" s="36" t="str">
        <f>+"17-DEC-2009"</f>
        <v>17-DEC-2009</v>
      </c>
      <c r="H279" s="37"/>
      <c r="I279" s="3" t="str">
        <f>+"16-JAN-2014"</f>
        <v>16-JAN-2014</v>
      </c>
      <c r="J279" s="38">
        <v>41691</v>
      </c>
      <c r="K279" s="63">
        <f t="shared" si="4"/>
        <v>304</v>
      </c>
      <c r="L279" s="35">
        <v>41408</v>
      </c>
      <c r="M279" s="3" t="s">
        <v>11</v>
      </c>
      <c r="N279" s="3" t="s">
        <v>425</v>
      </c>
      <c r="O279" s="3" t="s">
        <v>12</v>
      </c>
      <c r="P279" s="3" t="s">
        <v>27</v>
      </c>
      <c r="Q279" s="3" t="s">
        <v>23</v>
      </c>
      <c r="R279" s="22" t="s">
        <v>569</v>
      </c>
    </row>
    <row r="280" spans="1:18" ht="84.95" customHeight="1" x14ac:dyDescent="0.25">
      <c r="A280" s="3" t="s">
        <v>151</v>
      </c>
      <c r="B280" s="34" t="s">
        <v>539</v>
      </c>
      <c r="C280" s="35" t="s">
        <v>539</v>
      </c>
      <c r="D280" s="35"/>
      <c r="E280" s="34" t="s">
        <v>539</v>
      </c>
      <c r="F280" s="35">
        <v>41509</v>
      </c>
      <c r="G280" s="36" t="str">
        <f>+"02-JAN-2013"</f>
        <v>02-JAN-2013</v>
      </c>
      <c r="H280" s="37"/>
      <c r="I280" s="3" t="str">
        <f>+"27-FEB-2014"</f>
        <v>27-FEB-2014</v>
      </c>
      <c r="J280" s="38">
        <v>41705</v>
      </c>
      <c r="K280" s="63">
        <f t="shared" si="4"/>
        <v>290</v>
      </c>
      <c r="L280" s="35"/>
      <c r="M280" s="3" t="s">
        <v>21</v>
      </c>
      <c r="N280" s="3" t="s">
        <v>152</v>
      </c>
      <c r="O280" s="3" t="s">
        <v>12</v>
      </c>
      <c r="P280" s="3" t="s">
        <v>19</v>
      </c>
      <c r="Q280" s="3" t="s">
        <v>17</v>
      </c>
      <c r="R280" s="22" t="s">
        <v>153</v>
      </c>
    </row>
    <row r="281" spans="1:18" ht="84.95" customHeight="1" x14ac:dyDescent="0.25">
      <c r="A281" s="3" t="s">
        <v>154</v>
      </c>
      <c r="B281" s="34" t="s">
        <v>539</v>
      </c>
      <c r="C281" s="35" t="s">
        <v>539</v>
      </c>
      <c r="D281" s="35"/>
      <c r="E281" s="34" t="s">
        <v>539</v>
      </c>
      <c r="F281" s="35">
        <v>41548</v>
      </c>
      <c r="G281" s="36" t="str">
        <f>+"02-JAN-2013"</f>
        <v>02-JAN-2013</v>
      </c>
      <c r="H281" s="37"/>
      <c r="I281" s="3" t="str">
        <f>+"27-FEB-2014"</f>
        <v>27-FEB-2014</v>
      </c>
      <c r="J281" s="38">
        <v>41705</v>
      </c>
      <c r="K281" s="63">
        <f t="shared" si="4"/>
        <v>290</v>
      </c>
      <c r="L281" s="35"/>
      <c r="M281" s="3" t="s">
        <v>21</v>
      </c>
      <c r="N281" s="3" t="s">
        <v>155</v>
      </c>
      <c r="O281" s="3" t="s">
        <v>12</v>
      </c>
      <c r="P281" s="3" t="s">
        <v>19</v>
      </c>
      <c r="Q281" s="3" t="s">
        <v>17</v>
      </c>
      <c r="R281" s="22" t="s">
        <v>153</v>
      </c>
    </row>
    <row r="282" spans="1:18" ht="105" x14ac:dyDescent="0.25">
      <c r="A282" s="3" t="s">
        <v>375</v>
      </c>
      <c r="B282" s="34" t="s">
        <v>539</v>
      </c>
      <c r="C282" s="35" t="s">
        <v>539</v>
      </c>
      <c r="D282" s="35"/>
      <c r="E282" s="34" t="s">
        <v>539</v>
      </c>
      <c r="F282" s="35">
        <v>41548</v>
      </c>
      <c r="G282" s="36" t="str">
        <f>+"04-JAN-2013"</f>
        <v>04-JAN-2013</v>
      </c>
      <c r="H282" s="37"/>
      <c r="I282" s="3" t="str">
        <f>+"27-FEB-2014"</f>
        <v>27-FEB-2014</v>
      </c>
      <c r="J282" s="38">
        <v>41705</v>
      </c>
      <c r="K282" s="63">
        <f t="shared" si="4"/>
        <v>290</v>
      </c>
      <c r="L282" s="35"/>
      <c r="M282" s="3" t="s">
        <v>21</v>
      </c>
      <c r="N282" s="3" t="s">
        <v>376</v>
      </c>
      <c r="O282" s="3" t="s">
        <v>12</v>
      </c>
      <c r="P282" s="3" t="s">
        <v>19</v>
      </c>
      <c r="Q282" s="3" t="s">
        <v>17</v>
      </c>
      <c r="R282" s="22" t="s">
        <v>153</v>
      </c>
    </row>
    <row r="283" spans="1:18" ht="84.95" customHeight="1" x14ac:dyDescent="0.25">
      <c r="A283" s="3" t="s">
        <v>439</v>
      </c>
      <c r="B283" s="34" t="s">
        <v>539</v>
      </c>
      <c r="C283" s="35" t="s">
        <v>539</v>
      </c>
      <c r="D283" s="35"/>
      <c r="E283" s="34" t="s">
        <v>539</v>
      </c>
      <c r="F283" s="35">
        <v>41548</v>
      </c>
      <c r="G283" s="36" t="str">
        <f>+"04-APR-2013"</f>
        <v>04-APR-2013</v>
      </c>
      <c r="H283" s="37"/>
      <c r="I283" s="3" t="str">
        <f>+"27-FEB-2014"</f>
        <v>27-FEB-2014</v>
      </c>
      <c r="J283" s="38">
        <v>41705</v>
      </c>
      <c r="K283" s="63">
        <f t="shared" si="4"/>
        <v>290</v>
      </c>
      <c r="L283" s="35"/>
      <c r="M283" s="3" t="s">
        <v>21</v>
      </c>
      <c r="N283" s="3" t="s">
        <v>440</v>
      </c>
      <c r="O283" s="3" t="s">
        <v>12</v>
      </c>
      <c r="P283" s="3" t="s">
        <v>19</v>
      </c>
      <c r="Q283" s="3" t="s">
        <v>17</v>
      </c>
      <c r="R283" s="22" t="s">
        <v>441</v>
      </c>
    </row>
    <row r="284" spans="1:18" ht="84.95" customHeight="1" x14ac:dyDescent="0.25">
      <c r="A284" s="3" t="s">
        <v>190</v>
      </c>
      <c r="B284" s="34" t="s">
        <v>539</v>
      </c>
      <c r="C284" s="35">
        <v>41512</v>
      </c>
      <c r="D284" s="35"/>
      <c r="E284" s="34" t="s">
        <v>539</v>
      </c>
      <c r="F284" s="35">
        <v>41598</v>
      </c>
      <c r="G284" s="36" t="str">
        <f>+"21-JUN-2013"</f>
        <v>21-JUN-2013</v>
      </c>
      <c r="H284" s="37"/>
      <c r="I284" s="3" t="str">
        <f>+"05-FEB-2014"</f>
        <v>05-FEB-2014</v>
      </c>
      <c r="J284" s="38">
        <v>41711</v>
      </c>
      <c r="K284" s="63">
        <f t="shared" si="4"/>
        <v>284</v>
      </c>
      <c r="L284" s="35">
        <v>41598</v>
      </c>
      <c r="M284" s="3" t="s">
        <v>11</v>
      </c>
      <c r="N284" s="3" t="s">
        <v>191</v>
      </c>
      <c r="O284" s="3" t="s">
        <v>12</v>
      </c>
      <c r="P284" s="3" t="s">
        <v>16</v>
      </c>
      <c r="Q284" s="3" t="s">
        <v>23</v>
      </c>
      <c r="R284" s="22" t="s">
        <v>192</v>
      </c>
    </row>
    <row r="285" spans="1:18" ht="84.95" customHeight="1" x14ac:dyDescent="0.25">
      <c r="A285" s="3" t="s">
        <v>470</v>
      </c>
      <c r="B285" s="34" t="s">
        <v>539</v>
      </c>
      <c r="C285" s="35">
        <v>40319</v>
      </c>
      <c r="D285" s="35"/>
      <c r="E285" s="34" t="s">
        <v>539</v>
      </c>
      <c r="F285" s="35" t="s">
        <v>539</v>
      </c>
      <c r="G285" s="36" t="str">
        <f>+"20-NOV-2009"</f>
        <v>20-NOV-2009</v>
      </c>
      <c r="H285" s="37"/>
      <c r="I285" s="3" t="str">
        <f>+"16-JAN-2014"</f>
        <v>16-JAN-2014</v>
      </c>
      <c r="J285" s="38">
        <v>41719</v>
      </c>
      <c r="K285" s="63">
        <f t="shared" si="4"/>
        <v>276</v>
      </c>
      <c r="L285" s="35"/>
      <c r="M285" s="3" t="s">
        <v>21</v>
      </c>
      <c r="N285" s="3" t="s">
        <v>471</v>
      </c>
      <c r="O285" s="3" t="s">
        <v>12</v>
      </c>
      <c r="P285" s="3" t="s">
        <v>16</v>
      </c>
      <c r="Q285" s="3" t="s">
        <v>38</v>
      </c>
      <c r="R285" s="22" t="s">
        <v>122</v>
      </c>
    </row>
    <row r="286" spans="1:18" ht="84.95" customHeight="1" x14ac:dyDescent="0.25">
      <c r="A286" s="3" t="s">
        <v>181</v>
      </c>
      <c r="B286" s="34" t="s">
        <v>539</v>
      </c>
      <c r="C286" s="35" t="s">
        <v>539</v>
      </c>
      <c r="D286" s="35"/>
      <c r="E286" s="34" t="s">
        <v>539</v>
      </c>
      <c r="F286" s="35">
        <v>41540</v>
      </c>
      <c r="G286" s="36" t="str">
        <f>+"17-MAY-2013"</f>
        <v>17-MAY-2013</v>
      </c>
      <c r="H286" s="37"/>
      <c r="I286" s="3" t="str">
        <f>+"14-NOV-2013"</f>
        <v>14-NOV-2013</v>
      </c>
      <c r="J286" s="38">
        <v>41737</v>
      </c>
      <c r="K286" s="63">
        <f t="shared" si="4"/>
        <v>258</v>
      </c>
      <c r="L286" s="35">
        <v>41540</v>
      </c>
      <c r="M286" s="3" t="s">
        <v>11</v>
      </c>
      <c r="N286" s="3" t="s">
        <v>182</v>
      </c>
      <c r="O286" s="3" t="s">
        <v>12</v>
      </c>
      <c r="P286" s="3" t="s">
        <v>16</v>
      </c>
      <c r="Q286" s="3" t="s">
        <v>23</v>
      </c>
      <c r="R286" s="22" t="s">
        <v>24</v>
      </c>
    </row>
    <row r="287" spans="1:18" ht="84.95" customHeight="1" x14ac:dyDescent="0.25">
      <c r="A287" s="3" t="s">
        <v>92</v>
      </c>
      <c r="B287" s="34" t="s">
        <v>539</v>
      </c>
      <c r="C287" s="35">
        <v>40820</v>
      </c>
      <c r="D287" s="35"/>
      <c r="E287" s="34" t="s">
        <v>539</v>
      </c>
      <c r="F287" s="35">
        <v>41089</v>
      </c>
      <c r="G287" s="36" t="str">
        <f>+"11-JUL-2011"</f>
        <v>11-JUL-2011</v>
      </c>
      <c r="H287" s="37"/>
      <c r="I287" s="3" t="str">
        <f>+"01-MAY-2014"</f>
        <v>01-MAY-2014</v>
      </c>
      <c r="J287" s="38">
        <v>41799</v>
      </c>
      <c r="K287" s="63">
        <f t="shared" si="4"/>
        <v>196</v>
      </c>
      <c r="L287" s="35">
        <v>41180</v>
      </c>
      <c r="M287" s="3" t="s">
        <v>11</v>
      </c>
      <c r="N287" s="3" t="s">
        <v>93</v>
      </c>
      <c r="O287" s="3" t="s">
        <v>12</v>
      </c>
      <c r="P287" s="3" t="s">
        <v>19</v>
      </c>
      <c r="Q287" s="3" t="s">
        <v>43</v>
      </c>
      <c r="R287" s="22" t="s">
        <v>70</v>
      </c>
    </row>
    <row r="288" spans="1:18" ht="84.95" customHeight="1" x14ac:dyDescent="0.25">
      <c r="A288" s="3" t="s">
        <v>468</v>
      </c>
      <c r="B288" s="34" t="s">
        <v>539</v>
      </c>
      <c r="C288" s="35">
        <v>40543</v>
      </c>
      <c r="D288" s="35"/>
      <c r="E288" s="34" t="s">
        <v>539</v>
      </c>
      <c r="F288" s="35" t="s">
        <v>539</v>
      </c>
      <c r="G288" s="36" t="str">
        <f>+"18-JUN-2009"</f>
        <v>18-JUN-2009</v>
      </c>
      <c r="H288" s="37"/>
      <c r="I288" s="3" t="str">
        <f>+"12-JUN-2014"</f>
        <v>12-JUN-2014</v>
      </c>
      <c r="J288" s="38">
        <v>41803</v>
      </c>
      <c r="K288" s="63">
        <f t="shared" si="4"/>
        <v>192</v>
      </c>
      <c r="L288" s="35"/>
      <c r="M288" s="3" t="s">
        <v>21</v>
      </c>
      <c r="N288" s="3" t="s">
        <v>469</v>
      </c>
      <c r="O288" s="3" t="s">
        <v>12</v>
      </c>
      <c r="P288" s="3" t="s">
        <v>27</v>
      </c>
      <c r="Q288" s="3" t="s">
        <v>14</v>
      </c>
      <c r="R288" s="22" t="s">
        <v>570</v>
      </c>
    </row>
    <row r="289" spans="1:18" ht="84.95" customHeight="1" x14ac:dyDescent="0.25">
      <c r="A289" s="3" t="s">
        <v>474</v>
      </c>
      <c r="B289" s="34" t="s">
        <v>539</v>
      </c>
      <c r="C289" s="35">
        <v>40772</v>
      </c>
      <c r="D289" s="35"/>
      <c r="E289" s="34" t="s">
        <v>539</v>
      </c>
      <c r="F289" s="35" t="s">
        <v>539</v>
      </c>
      <c r="G289" s="36" t="str">
        <f>+"04-FEB-2010"</f>
        <v>04-FEB-2010</v>
      </c>
      <c r="H289" s="37"/>
      <c r="I289" s="3" t="str">
        <f>+"26-JUN-2014"</f>
        <v>26-JUN-2014</v>
      </c>
      <c r="J289" s="38">
        <v>41817</v>
      </c>
      <c r="K289" s="63">
        <f t="shared" si="4"/>
        <v>178</v>
      </c>
      <c r="L289" s="35"/>
      <c r="M289" s="3" t="s">
        <v>21</v>
      </c>
      <c r="N289" s="3" t="s">
        <v>475</v>
      </c>
      <c r="O289" s="3" t="s">
        <v>12</v>
      </c>
      <c r="P289" s="3" t="s">
        <v>16</v>
      </c>
      <c r="Q289" s="3" t="s">
        <v>23</v>
      </c>
      <c r="R289" s="22" t="s">
        <v>39</v>
      </c>
    </row>
    <row r="290" spans="1:18" ht="84.95" customHeight="1" x14ac:dyDescent="0.25">
      <c r="A290" s="3" t="s">
        <v>458</v>
      </c>
      <c r="B290" s="34" t="s">
        <v>539</v>
      </c>
      <c r="C290" s="35">
        <v>39209</v>
      </c>
      <c r="D290" s="35"/>
      <c r="E290" s="34" t="s">
        <v>539</v>
      </c>
      <c r="F290" s="35" t="s">
        <v>539</v>
      </c>
      <c r="G290" s="36" t="str">
        <f>+"05-OCT-2006"</f>
        <v>05-OCT-2006</v>
      </c>
      <c r="H290" s="37"/>
      <c r="I290" s="3" t="str">
        <f>+"16-APR-2009"</f>
        <v>16-APR-2009</v>
      </c>
      <c r="J290" s="38">
        <v>41823</v>
      </c>
      <c r="K290" s="63">
        <f t="shared" si="4"/>
        <v>172</v>
      </c>
      <c r="L290" s="35"/>
      <c r="M290" s="3" t="s">
        <v>21</v>
      </c>
      <c r="N290" s="3" t="s">
        <v>459</v>
      </c>
      <c r="O290" s="3" t="s">
        <v>12</v>
      </c>
      <c r="P290" s="3" t="s">
        <v>27</v>
      </c>
      <c r="Q290" s="3" t="s">
        <v>14</v>
      </c>
      <c r="R290" s="22" t="s">
        <v>455</v>
      </c>
    </row>
    <row r="291" spans="1:18" ht="84.95" customHeight="1" x14ac:dyDescent="0.25">
      <c r="A291" s="3" t="s">
        <v>462</v>
      </c>
      <c r="B291" s="34" t="s">
        <v>539</v>
      </c>
      <c r="C291" s="35">
        <v>39717</v>
      </c>
      <c r="D291" s="35"/>
      <c r="E291" s="34" t="s">
        <v>539</v>
      </c>
      <c r="F291" s="35">
        <v>40624</v>
      </c>
      <c r="G291" s="36" t="str">
        <f>+"21-AUG-2008"</f>
        <v>21-AUG-2008</v>
      </c>
      <c r="H291" s="37"/>
      <c r="I291" s="3" t="str">
        <f>+"10-JUL-2014"</f>
        <v>10-JUL-2014</v>
      </c>
      <c r="J291" s="38">
        <v>41831</v>
      </c>
      <c r="K291" s="63">
        <f t="shared" si="4"/>
        <v>164</v>
      </c>
      <c r="L291" s="35"/>
      <c r="M291" s="3" t="s">
        <v>11</v>
      </c>
      <c r="N291" s="3" t="s">
        <v>463</v>
      </c>
      <c r="O291" s="3" t="s">
        <v>12</v>
      </c>
      <c r="P291" s="3" t="s">
        <v>44</v>
      </c>
      <c r="Q291" s="3" t="s">
        <v>38</v>
      </c>
      <c r="R291" s="22" t="s">
        <v>557</v>
      </c>
    </row>
    <row r="292" spans="1:18" ht="84.95" customHeight="1" x14ac:dyDescent="0.25">
      <c r="A292" s="3" t="s">
        <v>100</v>
      </c>
      <c r="B292" s="34" t="s">
        <v>539</v>
      </c>
      <c r="C292" s="35">
        <v>40963</v>
      </c>
      <c r="D292" s="35"/>
      <c r="E292" s="34" t="s">
        <v>539</v>
      </c>
      <c r="F292" s="35">
        <v>41449</v>
      </c>
      <c r="G292" s="36" t="str">
        <f>+"01-NOV-2011"</f>
        <v>01-NOV-2011</v>
      </c>
      <c r="H292" s="37"/>
      <c r="I292" s="3" t="str">
        <f>+"12-JUN-2014"</f>
        <v>12-JUN-2014</v>
      </c>
      <c r="J292" s="38">
        <v>41841</v>
      </c>
      <c r="K292" s="63">
        <f t="shared" si="4"/>
        <v>154</v>
      </c>
      <c r="L292" s="35">
        <v>41225</v>
      </c>
      <c r="M292" s="3" t="s">
        <v>11</v>
      </c>
      <c r="N292" s="3" t="s">
        <v>101</v>
      </c>
      <c r="O292" s="3" t="s">
        <v>12</v>
      </c>
      <c r="P292" s="3" t="s">
        <v>67</v>
      </c>
      <c r="Q292" s="3" t="s">
        <v>23</v>
      </c>
      <c r="R292" s="22" t="s">
        <v>559</v>
      </c>
    </row>
    <row r="293" spans="1:18" ht="84.95" customHeight="1" x14ac:dyDescent="0.25">
      <c r="A293" s="3" t="s">
        <v>396</v>
      </c>
      <c r="B293" s="34" t="s">
        <v>539</v>
      </c>
      <c r="C293" s="35" t="s">
        <v>539</v>
      </c>
      <c r="D293" s="35"/>
      <c r="E293" s="34" t="s">
        <v>539</v>
      </c>
      <c r="F293" s="35" t="s">
        <v>539</v>
      </c>
      <c r="G293" s="36" t="str">
        <f>+"24-JAN-2014"</f>
        <v>24-JAN-2014</v>
      </c>
      <c r="H293" s="37"/>
      <c r="I293" s="3" t="str">
        <f>+"26-JUN-2014"</f>
        <v>26-JUN-2014</v>
      </c>
      <c r="J293" s="38">
        <v>41848</v>
      </c>
      <c r="K293" s="63">
        <f t="shared" si="4"/>
        <v>147</v>
      </c>
      <c r="L293" s="35"/>
      <c r="M293" s="3" t="s">
        <v>11</v>
      </c>
      <c r="N293" s="3" t="s">
        <v>397</v>
      </c>
      <c r="O293" s="3" t="s">
        <v>12</v>
      </c>
      <c r="P293" s="3" t="s">
        <v>16</v>
      </c>
      <c r="Q293" s="3" t="s">
        <v>14</v>
      </c>
      <c r="R293" s="22" t="s">
        <v>192</v>
      </c>
    </row>
    <row r="294" spans="1:18" ht="84.95" customHeight="1" x14ac:dyDescent="0.25">
      <c r="A294" s="3" t="s">
        <v>36</v>
      </c>
      <c r="B294" s="34" t="s">
        <v>539</v>
      </c>
      <c r="C294" s="35">
        <v>40003</v>
      </c>
      <c r="D294" s="35"/>
      <c r="E294" s="34" t="s">
        <v>539</v>
      </c>
      <c r="F294" s="35">
        <v>40863</v>
      </c>
      <c r="G294" s="36" t="str">
        <f>+"29-AUG-2008"</f>
        <v>29-AUG-2008</v>
      </c>
      <c r="H294" s="37"/>
      <c r="I294" s="3" t="str">
        <f>+"26-JUN-2014"</f>
        <v>26-JUN-2014</v>
      </c>
      <c r="J294" s="38">
        <v>41851</v>
      </c>
      <c r="K294" s="63">
        <f t="shared" si="4"/>
        <v>144</v>
      </c>
      <c r="L294" s="35">
        <v>41054</v>
      </c>
      <c r="M294" s="3" t="s">
        <v>11</v>
      </c>
      <c r="N294" s="3" t="s">
        <v>37</v>
      </c>
      <c r="O294" s="3" t="s">
        <v>12</v>
      </c>
      <c r="P294" s="3" t="s">
        <v>19</v>
      </c>
      <c r="Q294" s="3" t="s">
        <v>14</v>
      </c>
      <c r="R294" s="22" t="s">
        <v>571</v>
      </c>
    </row>
    <row r="295" spans="1:18" ht="84.95" customHeight="1" x14ac:dyDescent="0.25">
      <c r="A295" s="3" t="s">
        <v>50</v>
      </c>
      <c r="B295" s="34">
        <v>41120</v>
      </c>
      <c r="C295" s="35">
        <v>41128</v>
      </c>
      <c r="D295" s="35"/>
      <c r="E295" s="34">
        <v>41128</v>
      </c>
      <c r="F295" s="35">
        <v>41427</v>
      </c>
      <c r="G295" s="36" t="str">
        <f>+"16-JUN-2010"</f>
        <v>16-JUN-2010</v>
      </c>
      <c r="H295" s="37"/>
      <c r="I295" s="3" t="str">
        <f>+"17-OCT-2013"</f>
        <v>17-OCT-2013</v>
      </c>
      <c r="J295" s="38">
        <v>41851</v>
      </c>
      <c r="K295" s="63">
        <f t="shared" si="4"/>
        <v>144</v>
      </c>
      <c r="L295" s="35">
        <v>41457</v>
      </c>
      <c r="M295" s="3" t="s">
        <v>11</v>
      </c>
      <c r="N295" s="3" t="s">
        <v>51</v>
      </c>
      <c r="O295" s="3" t="s">
        <v>12</v>
      </c>
      <c r="P295" s="3" t="s">
        <v>16</v>
      </c>
      <c r="Q295" s="3" t="s">
        <v>23</v>
      </c>
      <c r="R295" s="22" t="s">
        <v>24</v>
      </c>
    </row>
    <row r="296" spans="1:18" ht="84.95" customHeight="1" x14ac:dyDescent="0.25">
      <c r="A296" s="52" t="s">
        <v>712</v>
      </c>
      <c r="B296" s="53">
        <v>40792</v>
      </c>
      <c r="C296" s="53">
        <v>40812</v>
      </c>
      <c r="D296" s="53"/>
      <c r="E296" s="52" t="s">
        <v>539</v>
      </c>
      <c r="F296" s="53">
        <v>41036</v>
      </c>
      <c r="G296" s="53">
        <v>40679</v>
      </c>
      <c r="H296" s="52"/>
      <c r="I296" s="53">
        <v>41865</v>
      </c>
      <c r="J296" s="53">
        <v>41880</v>
      </c>
      <c r="K296" s="63">
        <f t="shared" si="4"/>
        <v>115</v>
      </c>
      <c r="L296" s="52"/>
      <c r="M296" s="52" t="s">
        <v>21</v>
      </c>
      <c r="N296" s="3" t="s">
        <v>713</v>
      </c>
      <c r="O296" s="52" t="s">
        <v>12</v>
      </c>
      <c r="P296" s="52" t="s">
        <v>44</v>
      </c>
      <c r="Q296" s="3" t="s">
        <v>17</v>
      </c>
      <c r="R296" s="55" t="s">
        <v>80</v>
      </c>
    </row>
    <row r="297" spans="1:18" ht="84.95" customHeight="1" x14ac:dyDescent="0.25">
      <c r="A297" s="52" t="s">
        <v>706</v>
      </c>
      <c r="B297" s="53">
        <v>40763</v>
      </c>
      <c r="C297" s="53">
        <v>40812</v>
      </c>
      <c r="D297" s="53"/>
      <c r="E297" s="52" t="s">
        <v>539</v>
      </c>
      <c r="F297" s="53">
        <v>41036</v>
      </c>
      <c r="G297" s="53">
        <v>40679</v>
      </c>
      <c r="H297" s="52"/>
      <c r="I297" s="53">
        <v>41865</v>
      </c>
      <c r="J297" s="53">
        <v>41880</v>
      </c>
      <c r="K297" s="63">
        <f t="shared" si="4"/>
        <v>115</v>
      </c>
      <c r="L297" s="52"/>
      <c r="M297" s="52" t="s">
        <v>21</v>
      </c>
      <c r="N297" s="3" t="s">
        <v>707</v>
      </c>
      <c r="O297" s="52" t="s">
        <v>12</v>
      </c>
      <c r="P297" s="52" t="s">
        <v>44</v>
      </c>
      <c r="Q297" s="3" t="s">
        <v>17</v>
      </c>
      <c r="R297" s="55" t="s">
        <v>80</v>
      </c>
    </row>
    <row r="298" spans="1:18" ht="84.95" customHeight="1" x14ac:dyDescent="0.25">
      <c r="A298" s="52" t="s">
        <v>708</v>
      </c>
      <c r="B298" s="53">
        <v>40763</v>
      </c>
      <c r="C298" s="53">
        <v>40812</v>
      </c>
      <c r="D298" s="53"/>
      <c r="E298" s="52" t="s">
        <v>539</v>
      </c>
      <c r="F298" s="53">
        <v>41036</v>
      </c>
      <c r="G298" s="53">
        <v>40679</v>
      </c>
      <c r="H298" s="52"/>
      <c r="I298" s="53">
        <v>41865</v>
      </c>
      <c r="J298" s="53">
        <v>41880</v>
      </c>
      <c r="K298" s="63">
        <f t="shared" si="4"/>
        <v>115</v>
      </c>
      <c r="L298" s="52"/>
      <c r="M298" s="52" t="s">
        <v>21</v>
      </c>
      <c r="N298" s="3" t="s">
        <v>709</v>
      </c>
      <c r="O298" s="52" t="s">
        <v>12</v>
      </c>
      <c r="P298" s="52" t="s">
        <v>44</v>
      </c>
      <c r="Q298" s="3" t="s">
        <v>17</v>
      </c>
      <c r="R298" s="55" t="s">
        <v>80</v>
      </c>
    </row>
    <row r="299" spans="1:18" ht="84.95" customHeight="1" x14ac:dyDescent="0.25">
      <c r="A299" s="52" t="s">
        <v>710</v>
      </c>
      <c r="B299" s="53">
        <v>40763</v>
      </c>
      <c r="C299" s="53">
        <v>40812</v>
      </c>
      <c r="D299" s="53"/>
      <c r="E299" s="52" t="s">
        <v>539</v>
      </c>
      <c r="F299" s="53">
        <v>41036</v>
      </c>
      <c r="G299" s="53">
        <v>40679</v>
      </c>
      <c r="H299" s="52"/>
      <c r="I299" s="53">
        <v>41865</v>
      </c>
      <c r="J299" s="53">
        <v>41880</v>
      </c>
      <c r="K299" s="63">
        <f t="shared" si="4"/>
        <v>115</v>
      </c>
      <c r="L299" s="52"/>
      <c r="M299" s="52" t="s">
        <v>21</v>
      </c>
      <c r="N299" s="3" t="s">
        <v>711</v>
      </c>
      <c r="O299" s="52" t="s">
        <v>12</v>
      </c>
      <c r="P299" s="52" t="s">
        <v>44</v>
      </c>
      <c r="Q299" s="3" t="s">
        <v>17</v>
      </c>
      <c r="R299" s="55" t="s">
        <v>80</v>
      </c>
    </row>
    <row r="300" spans="1:18" ht="84.95" customHeight="1" x14ac:dyDescent="0.25">
      <c r="A300" s="3" t="s">
        <v>602</v>
      </c>
      <c r="B300" s="34">
        <v>41135</v>
      </c>
      <c r="C300" s="35">
        <v>41208</v>
      </c>
      <c r="D300" s="35"/>
      <c r="E300" s="34" t="s">
        <v>539</v>
      </c>
      <c r="F300" s="35" t="s">
        <v>539</v>
      </c>
      <c r="G300" s="3" t="str">
        <f>+"30-SEP-2009"</f>
        <v>30-SEP-2009</v>
      </c>
      <c r="H300" s="37"/>
      <c r="I300" s="3" t="str">
        <f>+"14-NOV-2013"</f>
        <v>14-NOV-2013</v>
      </c>
      <c r="J300" s="51">
        <v>41893</v>
      </c>
      <c r="K300" s="63">
        <f t="shared" si="4"/>
        <v>102</v>
      </c>
      <c r="L300" s="51">
        <v>41505</v>
      </c>
      <c r="M300" s="3" t="s">
        <v>21</v>
      </c>
      <c r="N300" s="3" t="s">
        <v>626</v>
      </c>
      <c r="O300" s="3" t="s">
        <v>12</v>
      </c>
      <c r="P300" s="3" t="s">
        <v>67</v>
      </c>
      <c r="Q300" s="3" t="s">
        <v>23</v>
      </c>
      <c r="R300" s="22" t="s">
        <v>601</v>
      </c>
    </row>
    <row r="301" spans="1:18" ht="84.95" customHeight="1" x14ac:dyDescent="0.25">
      <c r="A301" s="3" t="s">
        <v>603</v>
      </c>
      <c r="B301" s="34">
        <v>40952</v>
      </c>
      <c r="C301" s="35">
        <v>40983</v>
      </c>
      <c r="D301" s="35"/>
      <c r="E301" s="34">
        <v>41386</v>
      </c>
      <c r="F301" s="35" t="s">
        <v>539</v>
      </c>
      <c r="G301" s="3" t="str">
        <f>+"03-JAN-2012"</f>
        <v>03-JAN-2012</v>
      </c>
      <c r="H301" s="37"/>
      <c r="I301" s="3" t="str">
        <f>+"14-AUG-2014"</f>
        <v>14-AUG-2014</v>
      </c>
      <c r="J301" s="51">
        <v>41897</v>
      </c>
      <c r="K301" s="63">
        <f t="shared" si="4"/>
        <v>98</v>
      </c>
      <c r="L301" s="35"/>
      <c r="M301" s="3" t="s">
        <v>11</v>
      </c>
      <c r="N301" s="3" t="s">
        <v>627</v>
      </c>
      <c r="O301" s="3" t="s">
        <v>12</v>
      </c>
      <c r="P301" s="3" t="s">
        <v>19</v>
      </c>
      <c r="Q301" s="3" t="s">
        <v>17</v>
      </c>
      <c r="R301" s="22" t="s">
        <v>604</v>
      </c>
    </row>
    <row r="302" spans="1:18" ht="84.95" customHeight="1" x14ac:dyDescent="0.25">
      <c r="A302" s="3" t="s">
        <v>612</v>
      </c>
      <c r="B302" s="34">
        <v>40704</v>
      </c>
      <c r="C302" s="35">
        <v>40715</v>
      </c>
      <c r="D302" s="35"/>
      <c r="E302" s="34">
        <v>40864</v>
      </c>
      <c r="F302" s="35" t="s">
        <v>539</v>
      </c>
      <c r="G302" s="3" t="str">
        <f>+"16-DEC-2010"</f>
        <v>16-DEC-2010</v>
      </c>
      <c r="H302" s="37"/>
      <c r="I302" s="3" t="str">
        <f>+"14-AUG-2014"</f>
        <v>14-AUG-2014</v>
      </c>
      <c r="J302" s="51">
        <v>41899</v>
      </c>
      <c r="K302" s="63">
        <f t="shared" si="4"/>
        <v>96</v>
      </c>
      <c r="L302" s="51">
        <v>41537</v>
      </c>
      <c r="M302" s="3" t="s">
        <v>11</v>
      </c>
      <c r="N302" s="3" t="s">
        <v>635</v>
      </c>
      <c r="O302" s="3" t="s">
        <v>12</v>
      </c>
      <c r="P302" s="3" t="s">
        <v>27</v>
      </c>
      <c r="Q302" s="3" t="s">
        <v>17</v>
      </c>
      <c r="R302" s="22" t="s">
        <v>613</v>
      </c>
    </row>
    <row r="303" spans="1:18" ht="84.95" customHeight="1" x14ac:dyDescent="0.25">
      <c r="A303" s="3" t="s">
        <v>614</v>
      </c>
      <c r="B303" s="34">
        <v>41085</v>
      </c>
      <c r="C303" s="35">
        <v>41115</v>
      </c>
      <c r="D303" s="35"/>
      <c r="E303" s="34" t="s">
        <v>539</v>
      </c>
      <c r="F303" s="35" t="s">
        <v>539</v>
      </c>
      <c r="G303" s="3" t="str">
        <f>+"19-APR-2012"</f>
        <v>19-APR-2012</v>
      </c>
      <c r="H303" s="37"/>
      <c r="I303" s="3" t="str">
        <f>+"15-SEP-2014"</f>
        <v>15-SEP-2014</v>
      </c>
      <c r="J303" s="51">
        <v>41918</v>
      </c>
      <c r="K303" s="63">
        <f t="shared" si="4"/>
        <v>77</v>
      </c>
      <c r="L303" s="35"/>
      <c r="M303" s="3" t="s">
        <v>21</v>
      </c>
      <c r="N303" s="3" t="s">
        <v>636</v>
      </c>
      <c r="O303" s="3" t="s">
        <v>12</v>
      </c>
      <c r="P303" s="3" t="s">
        <v>16</v>
      </c>
      <c r="Q303" s="3" t="s">
        <v>23</v>
      </c>
      <c r="R303" s="22" t="s">
        <v>644</v>
      </c>
    </row>
    <row r="304" spans="1:18" ht="84.95" customHeight="1" x14ac:dyDescent="0.25">
      <c r="A304" s="52" t="s">
        <v>647</v>
      </c>
      <c r="B304" s="34" t="s">
        <v>539</v>
      </c>
      <c r="C304" s="34" t="s">
        <v>539</v>
      </c>
      <c r="D304" s="34"/>
      <c r="E304" s="34" t="s">
        <v>539</v>
      </c>
      <c r="F304" s="34" t="s">
        <v>539</v>
      </c>
      <c r="G304" s="52" t="str">
        <f>+"20-SEP-2010"</f>
        <v>20-SEP-2010</v>
      </c>
      <c r="H304" s="37"/>
      <c r="I304" s="52" t="str">
        <f>+"27-FEB-2014"</f>
        <v>27-FEB-2014</v>
      </c>
      <c r="J304" s="53">
        <v>41935</v>
      </c>
      <c r="K304" s="63">
        <f t="shared" si="4"/>
        <v>60</v>
      </c>
      <c r="L304" s="50"/>
      <c r="M304" s="52" t="s">
        <v>21</v>
      </c>
      <c r="N304" s="3" t="s">
        <v>658</v>
      </c>
      <c r="O304" s="3" t="s">
        <v>12</v>
      </c>
      <c r="P304" s="52" t="s">
        <v>16</v>
      </c>
      <c r="Q304" s="3" t="s">
        <v>23</v>
      </c>
      <c r="R304" s="22" t="s">
        <v>664</v>
      </c>
    </row>
    <row r="305" spans="1:18" ht="84.95" customHeight="1" x14ac:dyDescent="0.25">
      <c r="A305" s="52" t="s">
        <v>648</v>
      </c>
      <c r="B305" s="34">
        <v>41239</v>
      </c>
      <c r="C305" s="35">
        <v>41292</v>
      </c>
      <c r="D305" s="35"/>
      <c r="E305" s="34" t="s">
        <v>539</v>
      </c>
      <c r="F305" s="35" t="s">
        <v>539</v>
      </c>
      <c r="G305" s="52" t="str">
        <f>+"02-AUG-2012"</f>
        <v>02-AUG-2012</v>
      </c>
      <c r="H305" s="37"/>
      <c r="I305" s="52" t="str">
        <f>+"19-DEC-2013"</f>
        <v>19-DEC-2013</v>
      </c>
      <c r="J305" s="53">
        <v>41942</v>
      </c>
      <c r="K305" s="63">
        <f t="shared" si="4"/>
        <v>53</v>
      </c>
      <c r="L305" s="50"/>
      <c r="M305" s="52" t="s">
        <v>21</v>
      </c>
      <c r="N305" s="3" t="s">
        <v>659</v>
      </c>
      <c r="O305" s="3" t="s">
        <v>12</v>
      </c>
      <c r="P305" s="52" t="s">
        <v>44</v>
      </c>
      <c r="Q305" s="3" t="s">
        <v>38</v>
      </c>
      <c r="R305" s="22" t="s">
        <v>49</v>
      </c>
    </row>
    <row r="306" spans="1:18" ht="84.95" customHeight="1" x14ac:dyDescent="0.25">
      <c r="A306" s="52" t="s">
        <v>649</v>
      </c>
      <c r="B306" s="34">
        <v>41239</v>
      </c>
      <c r="C306" s="35">
        <v>41292</v>
      </c>
      <c r="D306" s="35"/>
      <c r="E306" s="34" t="s">
        <v>539</v>
      </c>
      <c r="F306" s="35" t="s">
        <v>539</v>
      </c>
      <c r="G306" s="52" t="str">
        <f>+"03-AUG-2012"</f>
        <v>03-AUG-2012</v>
      </c>
      <c r="H306" s="37"/>
      <c r="I306" s="52" t="str">
        <f>+"19-DEC-2013"</f>
        <v>19-DEC-2013</v>
      </c>
      <c r="J306" s="53">
        <v>41942</v>
      </c>
      <c r="K306" s="63">
        <f t="shared" si="4"/>
        <v>53</v>
      </c>
      <c r="L306" s="50"/>
      <c r="M306" s="52" t="s">
        <v>21</v>
      </c>
      <c r="N306" s="3" t="s">
        <v>660</v>
      </c>
      <c r="O306" s="3" t="s">
        <v>12</v>
      </c>
      <c r="P306" s="52" t="s">
        <v>16</v>
      </c>
      <c r="Q306" s="3" t="s">
        <v>38</v>
      </c>
      <c r="R306" s="22" t="s">
        <v>49</v>
      </c>
    </row>
    <row r="307" spans="1:18" ht="84.95" customHeight="1" x14ac:dyDescent="0.25">
      <c r="A307" s="52" t="s">
        <v>650</v>
      </c>
      <c r="B307" s="34">
        <v>41239</v>
      </c>
      <c r="C307" s="35">
        <v>41292</v>
      </c>
      <c r="D307" s="35"/>
      <c r="E307" s="34" t="s">
        <v>539</v>
      </c>
      <c r="F307" s="35" t="s">
        <v>539</v>
      </c>
      <c r="G307" s="52" t="str">
        <f>+"03-AUG-2012"</f>
        <v>03-AUG-2012</v>
      </c>
      <c r="H307" s="37"/>
      <c r="I307" s="52" t="str">
        <f>+"19-DEC-2013"</f>
        <v>19-DEC-2013</v>
      </c>
      <c r="J307" s="53">
        <v>41942</v>
      </c>
      <c r="K307" s="63">
        <f t="shared" si="4"/>
        <v>53</v>
      </c>
      <c r="L307" s="50"/>
      <c r="M307" s="52" t="s">
        <v>21</v>
      </c>
      <c r="N307" s="3" t="s">
        <v>661</v>
      </c>
      <c r="O307" s="3" t="s">
        <v>12</v>
      </c>
      <c r="P307" s="52" t="s">
        <v>44</v>
      </c>
      <c r="Q307" s="3" t="s">
        <v>38</v>
      </c>
      <c r="R307" s="22" t="s">
        <v>49</v>
      </c>
    </row>
    <row r="308" spans="1:18" ht="84.95" customHeight="1" x14ac:dyDescent="0.25">
      <c r="A308" s="52" t="s">
        <v>651</v>
      </c>
      <c r="B308" s="34">
        <v>41239</v>
      </c>
      <c r="C308" s="35">
        <v>41292</v>
      </c>
      <c r="D308" s="35"/>
      <c r="E308" s="34" t="s">
        <v>539</v>
      </c>
      <c r="F308" s="35" t="s">
        <v>539</v>
      </c>
      <c r="G308" s="52" t="str">
        <f>+"03-AUG-2012"</f>
        <v>03-AUG-2012</v>
      </c>
      <c r="H308" s="37"/>
      <c r="I308" s="52" t="str">
        <f>+"19-DEC-2013"</f>
        <v>19-DEC-2013</v>
      </c>
      <c r="J308" s="53">
        <v>41942</v>
      </c>
      <c r="K308" s="63">
        <f t="shared" ref="K308:K316" si="5">DATE(2014, 12, 22) - J308</f>
        <v>53</v>
      </c>
      <c r="L308" s="50"/>
      <c r="M308" s="52" t="s">
        <v>21</v>
      </c>
      <c r="N308" s="3" t="s">
        <v>662</v>
      </c>
      <c r="O308" s="3" t="s">
        <v>12</v>
      </c>
      <c r="P308" s="52" t="s">
        <v>67</v>
      </c>
      <c r="Q308" s="3" t="s">
        <v>38</v>
      </c>
      <c r="R308" s="22" t="s">
        <v>49</v>
      </c>
    </row>
    <row r="309" spans="1:18" ht="84.95" customHeight="1" x14ac:dyDescent="0.25">
      <c r="A309" s="52" t="s">
        <v>646</v>
      </c>
      <c r="B309" s="34">
        <v>39321</v>
      </c>
      <c r="C309" s="35">
        <v>39889</v>
      </c>
      <c r="D309" s="35"/>
      <c r="E309" s="34">
        <v>40002</v>
      </c>
      <c r="F309" s="35">
        <v>41407</v>
      </c>
      <c r="G309" s="52" t="str">
        <f>+"29-JUN-2007"</f>
        <v>29-JUN-2007</v>
      </c>
      <c r="H309" s="37"/>
      <c r="I309" s="52" t="str">
        <f>+"14-AUG-2014"</f>
        <v>14-AUG-2014</v>
      </c>
      <c r="J309" s="53">
        <v>41943</v>
      </c>
      <c r="K309" s="63">
        <f t="shared" si="5"/>
        <v>52</v>
      </c>
      <c r="L309" s="53">
        <v>41407</v>
      </c>
      <c r="M309" s="52" t="s">
        <v>11</v>
      </c>
      <c r="N309" s="3" t="s">
        <v>656</v>
      </c>
      <c r="O309" s="3" t="s">
        <v>12</v>
      </c>
      <c r="P309" s="52" t="s">
        <v>16</v>
      </c>
      <c r="Q309" s="3" t="s">
        <v>17</v>
      </c>
      <c r="R309" s="22" t="s">
        <v>657</v>
      </c>
    </row>
    <row r="310" spans="1:18" ht="84.95" customHeight="1" x14ac:dyDescent="0.25">
      <c r="A310" s="52" t="s">
        <v>678</v>
      </c>
      <c r="B310" s="34" t="s">
        <v>539</v>
      </c>
      <c r="C310" s="35" t="s">
        <v>539</v>
      </c>
      <c r="D310" s="35"/>
      <c r="E310" s="34" t="s">
        <v>539</v>
      </c>
      <c r="F310" s="35" t="s">
        <v>539</v>
      </c>
      <c r="G310" s="50" t="str">
        <f>+"23-JUN-2014"</f>
        <v>23-JUN-2014</v>
      </c>
      <c r="H310" s="37"/>
      <c r="I310" s="52" t="str">
        <f>+"16-OCT-2014"</f>
        <v>16-OCT-2014</v>
      </c>
      <c r="J310" s="53">
        <v>41956</v>
      </c>
      <c r="K310" s="63">
        <f t="shared" si="5"/>
        <v>39</v>
      </c>
      <c r="L310" s="35"/>
      <c r="M310" s="3"/>
      <c r="N310" s="3" t="s">
        <v>684</v>
      </c>
      <c r="O310" s="3" t="s">
        <v>12</v>
      </c>
      <c r="P310" s="3" t="s">
        <v>16</v>
      </c>
      <c r="Q310" s="3" t="s">
        <v>38</v>
      </c>
      <c r="R310" s="22" t="s">
        <v>49</v>
      </c>
    </row>
    <row r="311" spans="1:18" ht="84.95" customHeight="1" x14ac:dyDescent="0.25">
      <c r="A311" s="3" t="s">
        <v>700</v>
      </c>
      <c r="B311" s="34">
        <v>41007</v>
      </c>
      <c r="C311" s="35">
        <v>41046</v>
      </c>
      <c r="D311" s="35"/>
      <c r="E311" s="34">
        <v>41575</v>
      </c>
      <c r="F311" s="54">
        <v>41624</v>
      </c>
      <c r="G311" s="50" t="str">
        <f>+"22-MAR-2012"</f>
        <v>22-MAR-2012</v>
      </c>
      <c r="H311" s="37"/>
      <c r="I311" s="52" t="str">
        <f>+"20-NOV-2014"</f>
        <v>20-NOV-2014</v>
      </c>
      <c r="J311" s="53">
        <v>41964</v>
      </c>
      <c r="K311" s="63">
        <f t="shared" si="5"/>
        <v>31</v>
      </c>
      <c r="L311" s="54">
        <v>41624</v>
      </c>
      <c r="M311" s="3" t="s">
        <v>11</v>
      </c>
      <c r="N311" s="3" t="s">
        <v>494</v>
      </c>
      <c r="O311" s="3" t="s">
        <v>12</v>
      </c>
      <c r="P311" s="3" t="s">
        <v>16</v>
      </c>
      <c r="Q311" s="3" t="s">
        <v>23</v>
      </c>
      <c r="R311" s="22" t="s">
        <v>703</v>
      </c>
    </row>
    <row r="312" spans="1:18" ht="84.95" customHeight="1" x14ac:dyDescent="0.25">
      <c r="A312" s="52" t="s">
        <v>720</v>
      </c>
      <c r="B312" s="34" t="s">
        <v>539</v>
      </c>
      <c r="C312" s="60">
        <v>40470</v>
      </c>
      <c r="D312" s="60"/>
      <c r="E312" s="34" t="s">
        <v>539</v>
      </c>
      <c r="F312" s="34" t="s">
        <v>539</v>
      </c>
      <c r="G312" s="50" t="str">
        <f>+"04-NOV-2008"</f>
        <v>04-NOV-2008</v>
      </c>
      <c r="H312" s="37"/>
      <c r="I312" s="50" t="str">
        <f>+"02-OCT-2014"</f>
        <v>02-OCT-2014</v>
      </c>
      <c r="J312" s="53">
        <v>41989</v>
      </c>
      <c r="K312" s="63">
        <f t="shared" si="5"/>
        <v>6</v>
      </c>
      <c r="L312" s="35"/>
      <c r="M312" s="3" t="s">
        <v>21</v>
      </c>
      <c r="N312" s="3" t="s">
        <v>733</v>
      </c>
      <c r="O312" s="3" t="s">
        <v>12</v>
      </c>
      <c r="P312" s="3" t="s">
        <v>16</v>
      </c>
      <c r="Q312" s="3" t="s">
        <v>14</v>
      </c>
      <c r="R312" s="50" t="s">
        <v>24</v>
      </c>
    </row>
    <row r="313" spans="1:18" ht="84.95" customHeight="1" x14ac:dyDescent="0.25">
      <c r="A313" s="52" t="s">
        <v>727</v>
      </c>
      <c r="B313" s="34" t="s">
        <v>539</v>
      </c>
      <c r="C313" s="60">
        <v>38142</v>
      </c>
      <c r="D313" s="60"/>
      <c r="E313" s="60" t="s">
        <v>539</v>
      </c>
      <c r="F313" s="60">
        <v>38796</v>
      </c>
      <c r="G313" s="52" t="str">
        <f>+"01-APR-2004"</f>
        <v>01-APR-2004</v>
      </c>
      <c r="H313" s="37"/>
      <c r="I313" s="52" t="str">
        <f>+"02-OCT-2014"</f>
        <v>02-OCT-2014</v>
      </c>
      <c r="J313" s="53">
        <v>41989</v>
      </c>
      <c r="K313" s="63">
        <f t="shared" si="5"/>
        <v>6</v>
      </c>
      <c r="L313" s="53">
        <v>38877</v>
      </c>
      <c r="M313" s="52" t="s">
        <v>11</v>
      </c>
      <c r="N313" s="3" t="s">
        <v>734</v>
      </c>
      <c r="O313" s="52" t="s">
        <v>12</v>
      </c>
      <c r="P313" s="52" t="s">
        <v>16</v>
      </c>
      <c r="Q313" s="3" t="s">
        <v>14</v>
      </c>
      <c r="R313" s="50" t="s">
        <v>24</v>
      </c>
    </row>
    <row r="314" spans="1:18" ht="84.95" customHeight="1" x14ac:dyDescent="0.25">
      <c r="A314" s="52" t="s">
        <v>728</v>
      </c>
      <c r="B314" s="34" t="s">
        <v>539</v>
      </c>
      <c r="C314" s="60">
        <v>38356</v>
      </c>
      <c r="D314" s="60"/>
      <c r="E314" s="60" t="s">
        <v>539</v>
      </c>
      <c r="F314" s="60">
        <v>38796</v>
      </c>
      <c r="G314" s="52" t="str">
        <f>+"22-APR-2004"</f>
        <v>22-APR-2004</v>
      </c>
      <c r="H314" s="37"/>
      <c r="I314" s="52" t="str">
        <f>+"02-OCT-2014"</f>
        <v>02-OCT-2014</v>
      </c>
      <c r="J314" s="53">
        <v>41989</v>
      </c>
      <c r="K314" s="63">
        <f t="shared" si="5"/>
        <v>6</v>
      </c>
      <c r="L314" s="53">
        <v>38877</v>
      </c>
      <c r="M314" s="52" t="s">
        <v>11</v>
      </c>
      <c r="N314" s="3" t="s">
        <v>735</v>
      </c>
      <c r="O314" s="52" t="s">
        <v>12</v>
      </c>
      <c r="P314" s="52" t="s">
        <v>16</v>
      </c>
      <c r="Q314" s="3" t="s">
        <v>14</v>
      </c>
      <c r="R314" s="50" t="s">
        <v>24</v>
      </c>
    </row>
    <row r="315" spans="1:18" ht="84.95" customHeight="1" x14ac:dyDescent="0.25">
      <c r="A315" s="52" t="s">
        <v>729</v>
      </c>
      <c r="B315" s="34" t="s">
        <v>539</v>
      </c>
      <c r="C315" s="60">
        <v>38985</v>
      </c>
      <c r="D315" s="60"/>
      <c r="E315" s="60" t="s">
        <v>539</v>
      </c>
      <c r="F315" s="60">
        <v>39647</v>
      </c>
      <c r="G315" s="52" t="str">
        <f>+"16-FEB-2006"</f>
        <v>16-FEB-2006</v>
      </c>
      <c r="H315" s="37"/>
      <c r="I315" s="52" t="str">
        <f>+"02-OCT-2014"</f>
        <v>02-OCT-2014</v>
      </c>
      <c r="J315" s="53">
        <v>41989</v>
      </c>
      <c r="K315" s="63">
        <f t="shared" si="5"/>
        <v>6</v>
      </c>
      <c r="L315" s="53">
        <v>39401</v>
      </c>
      <c r="M315" s="52" t="s">
        <v>11</v>
      </c>
      <c r="N315" s="3" t="s">
        <v>736</v>
      </c>
      <c r="O315" s="52" t="s">
        <v>12</v>
      </c>
      <c r="P315" s="52" t="s">
        <v>16</v>
      </c>
      <c r="Q315" s="3" t="s">
        <v>14</v>
      </c>
      <c r="R315" s="50" t="s">
        <v>24</v>
      </c>
    </row>
    <row r="316" spans="1:18" ht="84.95" customHeight="1" x14ac:dyDescent="0.25">
      <c r="A316" s="52" t="s">
        <v>730</v>
      </c>
      <c r="B316" s="60" t="s">
        <v>539</v>
      </c>
      <c r="C316" s="60">
        <v>36529</v>
      </c>
      <c r="D316" s="60"/>
      <c r="E316" s="60" t="s">
        <v>539</v>
      </c>
      <c r="F316" s="60">
        <v>38943</v>
      </c>
      <c r="G316" s="61" t="str">
        <f>+"18-NOV-1999"</f>
        <v>18-NOV-1999</v>
      </c>
      <c r="H316" s="3"/>
      <c r="I316" s="52" t="str">
        <f>+"08-MAR-2012"</f>
        <v>08-MAR-2012</v>
      </c>
      <c r="J316" s="53">
        <v>41989</v>
      </c>
      <c r="K316" s="63">
        <f t="shared" si="5"/>
        <v>6</v>
      </c>
      <c r="L316" s="53">
        <v>38877</v>
      </c>
      <c r="M316" s="52" t="s">
        <v>11</v>
      </c>
      <c r="N316" s="3" t="s">
        <v>737</v>
      </c>
      <c r="O316" s="52" t="s">
        <v>12</v>
      </c>
      <c r="P316" s="52" t="s">
        <v>16</v>
      </c>
      <c r="Q316" s="3" t="s">
        <v>14</v>
      </c>
      <c r="R316" s="50" t="s">
        <v>24</v>
      </c>
    </row>
  </sheetData>
  <sortState ref="A244:R316">
    <sortCondition descending="1" ref="K244:K316"/>
  </sortState>
  <pageMargins left="0.2" right="0" top="0.5" bottom="0.5" header="0.3" footer="0.3"/>
  <pageSetup paperSize="5" scale="72" orientation="landscape" r:id="rId1"/>
  <headerFooter>
    <oddHeader xml:space="preserve">&amp;L&amp;"-,Bold"Updated:  12/22/14
&amp;C&amp;"-,Bold"2014 Proceeding Status (MASTER)
</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5"/>
  <sheetViews>
    <sheetView zoomScale="90" zoomScaleNormal="90" workbookViewId="0">
      <selection activeCell="R224" sqref="R224"/>
    </sheetView>
  </sheetViews>
  <sheetFormatPr defaultRowHeight="15" x14ac:dyDescent="0.25"/>
  <cols>
    <col min="1" max="1" width="11.85546875" style="11" customWidth="1"/>
    <col min="2" max="2" width="12.85546875" style="27" customWidth="1"/>
    <col min="3" max="4" width="13.28515625" style="12" customWidth="1"/>
    <col min="5" max="5" width="12.42578125" style="27" customWidth="1"/>
    <col min="6" max="6" width="13.28515625" style="12" customWidth="1"/>
    <col min="7" max="7" width="13.7109375" style="16" customWidth="1"/>
    <col min="8" max="8" width="11.140625" style="11" customWidth="1"/>
    <col min="9" max="9" width="11.7109375" style="11" customWidth="1"/>
    <col min="10" max="10" width="10" style="14" customWidth="1"/>
    <col min="11" max="11" width="11.28515625" style="10" customWidth="1"/>
    <col min="12" max="12" width="13" style="12" customWidth="1"/>
    <col min="13" max="13" width="10.140625" style="11" customWidth="1"/>
    <col min="14" max="14" width="36.42578125" style="15" customWidth="1"/>
    <col min="15" max="15" width="11.42578125" style="11" customWidth="1"/>
    <col min="16" max="16" width="15.5703125" style="23" customWidth="1"/>
    <col min="17" max="17" width="15.140625" style="15" customWidth="1"/>
    <col min="18" max="18" width="17.140625" style="23" customWidth="1"/>
    <col min="19" max="22" width="9.140625" style="10" customWidth="1"/>
    <col min="23" max="16384" width="9.140625" style="10"/>
  </cols>
  <sheetData>
    <row r="1" spans="1:18" ht="129.75" customHeight="1" x14ac:dyDescent="0.25">
      <c r="A1" s="5" t="s">
        <v>0</v>
      </c>
      <c r="B1" s="6" t="s">
        <v>538</v>
      </c>
      <c r="C1" s="7" t="s">
        <v>541</v>
      </c>
      <c r="D1" s="7" t="s">
        <v>818</v>
      </c>
      <c r="E1" s="7" t="s">
        <v>542</v>
      </c>
      <c r="F1" s="7" t="s">
        <v>790</v>
      </c>
      <c r="G1" s="8" t="s">
        <v>1</v>
      </c>
      <c r="H1" s="24" t="s">
        <v>776</v>
      </c>
      <c r="I1" s="9" t="s">
        <v>2</v>
      </c>
      <c r="J1" s="28" t="s">
        <v>3</v>
      </c>
      <c r="K1" s="24" t="s">
        <v>777</v>
      </c>
      <c r="L1" s="7" t="s">
        <v>4</v>
      </c>
      <c r="M1" s="5" t="s">
        <v>5</v>
      </c>
      <c r="N1" s="9" t="s">
        <v>6</v>
      </c>
      <c r="O1" s="5" t="s">
        <v>7</v>
      </c>
      <c r="P1" s="9" t="s">
        <v>8</v>
      </c>
      <c r="Q1" s="9" t="s">
        <v>9</v>
      </c>
      <c r="R1" s="9" t="s">
        <v>10</v>
      </c>
    </row>
    <row r="2" spans="1:18" ht="102" customHeight="1" x14ac:dyDescent="0.25">
      <c r="A2" s="3" t="s">
        <v>339</v>
      </c>
      <c r="B2" s="34">
        <v>39063</v>
      </c>
      <c r="C2" s="35">
        <v>39105</v>
      </c>
      <c r="D2" s="35"/>
      <c r="E2" s="34" t="s">
        <v>539</v>
      </c>
      <c r="F2" s="35">
        <v>39369</v>
      </c>
      <c r="G2" s="36" t="str">
        <f>+"10-OCT-2006"</f>
        <v>10-OCT-2006</v>
      </c>
      <c r="H2" s="63">
        <f t="shared" ref="H2:H65" si="0">DATE(2014, 12, 22) - G2</f>
        <v>2995</v>
      </c>
      <c r="I2" s="3" t="str">
        <f>+""</f>
        <v/>
      </c>
      <c r="J2" s="38"/>
      <c r="K2" s="3"/>
      <c r="L2" s="35"/>
      <c r="M2" s="3" t="s">
        <v>11</v>
      </c>
      <c r="N2" s="3" t="s">
        <v>340</v>
      </c>
      <c r="O2" s="3" t="s">
        <v>15</v>
      </c>
      <c r="P2" s="3" t="s">
        <v>98</v>
      </c>
      <c r="Q2" s="3" t="s">
        <v>43</v>
      </c>
      <c r="R2" s="22" t="s">
        <v>73</v>
      </c>
    </row>
    <row r="3" spans="1:18" ht="99.75" customHeight="1" x14ac:dyDescent="0.25">
      <c r="A3" s="3" t="s">
        <v>464</v>
      </c>
      <c r="B3" s="34">
        <v>39917</v>
      </c>
      <c r="C3" s="35">
        <v>39819</v>
      </c>
      <c r="D3" s="35"/>
      <c r="E3" s="34" t="s">
        <v>539</v>
      </c>
      <c r="F3" s="35">
        <v>41430</v>
      </c>
      <c r="G3" s="36" t="str">
        <f>+"06-NOV-2008"</f>
        <v>06-NOV-2008</v>
      </c>
      <c r="H3" s="63">
        <f t="shared" si="0"/>
        <v>2237</v>
      </c>
      <c r="I3" s="3" t="str">
        <f>+""</f>
        <v/>
      </c>
      <c r="J3" s="38"/>
      <c r="K3" s="3"/>
      <c r="L3" s="35"/>
      <c r="M3" s="3" t="s">
        <v>21</v>
      </c>
      <c r="N3" s="3" t="s">
        <v>465</v>
      </c>
      <c r="O3" s="3" t="s">
        <v>15</v>
      </c>
      <c r="P3" s="3" t="s">
        <v>16</v>
      </c>
      <c r="Q3" s="3" t="s">
        <v>23</v>
      </c>
      <c r="R3" s="22" t="s">
        <v>556</v>
      </c>
    </row>
    <row r="4" spans="1:18" ht="84.95" customHeight="1" x14ac:dyDescent="0.25">
      <c r="A4" s="3" t="s">
        <v>466</v>
      </c>
      <c r="B4" s="34">
        <v>41702</v>
      </c>
      <c r="C4" s="35">
        <v>40389</v>
      </c>
      <c r="D4" s="35"/>
      <c r="E4" s="34" t="s">
        <v>539</v>
      </c>
      <c r="F4" s="35" t="s">
        <v>539</v>
      </c>
      <c r="G4" s="36" t="str">
        <f>+"29-JAN-2009"</f>
        <v>29-JAN-2009</v>
      </c>
      <c r="H4" s="63">
        <f t="shared" si="0"/>
        <v>2153</v>
      </c>
      <c r="I4" s="3" t="str">
        <f>+""</f>
        <v/>
      </c>
      <c r="J4" s="38"/>
      <c r="K4" s="3"/>
      <c r="L4" s="35"/>
      <c r="M4" s="3" t="s">
        <v>21</v>
      </c>
      <c r="N4" s="3" t="s">
        <v>467</v>
      </c>
      <c r="O4" s="3" t="s">
        <v>15</v>
      </c>
      <c r="P4" s="3" t="s">
        <v>98</v>
      </c>
      <c r="Q4" s="3" t="s">
        <v>38</v>
      </c>
      <c r="R4" s="22" t="s">
        <v>80</v>
      </c>
    </row>
    <row r="5" spans="1:18" ht="98.25" customHeight="1" x14ac:dyDescent="0.25">
      <c r="A5" s="3" t="s">
        <v>45</v>
      </c>
      <c r="B5" s="34" t="s">
        <v>539</v>
      </c>
      <c r="C5" s="35">
        <v>40045</v>
      </c>
      <c r="D5" s="35"/>
      <c r="E5" s="34" t="s">
        <v>539</v>
      </c>
      <c r="F5" s="35" t="s">
        <v>539</v>
      </c>
      <c r="G5" s="36" t="str">
        <f>+"30-SEP-2009"</f>
        <v>30-SEP-2009</v>
      </c>
      <c r="H5" s="63">
        <f t="shared" si="0"/>
        <v>1909</v>
      </c>
      <c r="I5" s="3" t="str">
        <f>+""</f>
        <v/>
      </c>
      <c r="J5" s="38"/>
      <c r="K5" s="3"/>
      <c r="L5" s="35"/>
      <c r="M5" s="3" t="s">
        <v>11</v>
      </c>
      <c r="N5" s="3" t="s">
        <v>46</v>
      </c>
      <c r="O5" s="3" t="s">
        <v>15</v>
      </c>
      <c r="P5" s="3" t="s">
        <v>16</v>
      </c>
      <c r="Q5" s="3" t="s">
        <v>23</v>
      </c>
      <c r="R5" s="22" t="s">
        <v>24</v>
      </c>
    </row>
    <row r="6" spans="1:18" ht="101.25" customHeight="1" x14ac:dyDescent="0.25">
      <c r="A6" s="3" t="s">
        <v>472</v>
      </c>
      <c r="B6" s="34" t="s">
        <v>539</v>
      </c>
      <c r="C6" s="35" t="s">
        <v>539</v>
      </c>
      <c r="D6" s="35"/>
      <c r="E6" s="34" t="s">
        <v>539</v>
      </c>
      <c r="F6" s="35" t="s">
        <v>539</v>
      </c>
      <c r="G6" s="36" t="str">
        <f>+"03-DEC-2009"</f>
        <v>03-DEC-2009</v>
      </c>
      <c r="H6" s="63">
        <f t="shared" si="0"/>
        <v>1845</v>
      </c>
      <c r="I6" s="3" t="str">
        <f>+""</f>
        <v/>
      </c>
      <c r="J6" s="38"/>
      <c r="K6" s="3"/>
      <c r="L6" s="35"/>
      <c r="M6" s="3" t="s">
        <v>21</v>
      </c>
      <c r="N6" s="3" t="s">
        <v>473</v>
      </c>
      <c r="O6" s="3" t="s">
        <v>15</v>
      </c>
      <c r="P6" s="3" t="s">
        <v>52</v>
      </c>
      <c r="Q6" s="3" t="s">
        <v>23</v>
      </c>
      <c r="R6" s="22" t="s">
        <v>99</v>
      </c>
    </row>
    <row r="7" spans="1:18" ht="100.5" customHeight="1" x14ac:dyDescent="0.25">
      <c r="A7" s="3" t="s">
        <v>351</v>
      </c>
      <c r="B7" s="34">
        <v>40945</v>
      </c>
      <c r="C7" s="35" t="s">
        <v>539</v>
      </c>
      <c r="D7" s="35"/>
      <c r="E7" s="34" t="s">
        <v>539</v>
      </c>
      <c r="F7" s="35" t="s">
        <v>539</v>
      </c>
      <c r="G7" s="36" t="str">
        <f>+"19-JAN-2010"</f>
        <v>19-JAN-2010</v>
      </c>
      <c r="H7" s="63">
        <f t="shared" si="0"/>
        <v>1798</v>
      </c>
      <c r="I7" s="3" t="str">
        <f>+""</f>
        <v/>
      </c>
      <c r="J7" s="38"/>
      <c r="K7" s="3"/>
      <c r="L7" s="35"/>
      <c r="M7" s="3" t="s">
        <v>11</v>
      </c>
      <c r="N7" s="3" t="s">
        <v>352</v>
      </c>
      <c r="O7" s="3" t="s">
        <v>15</v>
      </c>
      <c r="P7" s="3" t="s">
        <v>27</v>
      </c>
      <c r="Q7" s="3" t="s">
        <v>14</v>
      </c>
      <c r="R7" s="22" t="s">
        <v>49</v>
      </c>
    </row>
    <row r="8" spans="1:18" ht="84.95" customHeight="1" x14ac:dyDescent="0.25">
      <c r="A8" s="3" t="s">
        <v>47</v>
      </c>
      <c r="B8" s="34">
        <v>40354</v>
      </c>
      <c r="C8" s="35">
        <v>40408</v>
      </c>
      <c r="D8" s="35"/>
      <c r="E8" s="34">
        <v>41025</v>
      </c>
      <c r="F8" s="35">
        <v>41067</v>
      </c>
      <c r="G8" s="36" t="str">
        <f>+"26-FEB-2010"</f>
        <v>26-FEB-2010</v>
      </c>
      <c r="H8" s="63">
        <f t="shared" si="0"/>
        <v>1760</v>
      </c>
      <c r="I8" s="3" t="str">
        <f>+""</f>
        <v/>
      </c>
      <c r="J8" s="38"/>
      <c r="K8" s="3"/>
      <c r="L8" s="35"/>
      <c r="M8" s="3" t="s">
        <v>11</v>
      </c>
      <c r="N8" s="3" t="s">
        <v>48</v>
      </c>
      <c r="O8" s="3" t="s">
        <v>15</v>
      </c>
      <c r="P8" s="3" t="s">
        <v>16</v>
      </c>
      <c r="Q8" s="3" t="s">
        <v>14</v>
      </c>
      <c r="R8" s="22" t="s">
        <v>49</v>
      </c>
    </row>
    <row r="9" spans="1:18" ht="84.95" customHeight="1" x14ac:dyDescent="0.25">
      <c r="A9" s="3" t="s">
        <v>56</v>
      </c>
      <c r="B9" s="34">
        <v>40582</v>
      </c>
      <c r="C9" s="35">
        <v>40946</v>
      </c>
      <c r="D9" s="35"/>
      <c r="E9" s="34" t="s">
        <v>539</v>
      </c>
      <c r="F9" s="35">
        <v>41067</v>
      </c>
      <c r="G9" s="36" t="str">
        <f>+"09-AUG-2010"</f>
        <v>09-AUG-2010</v>
      </c>
      <c r="H9" s="63">
        <f t="shared" si="0"/>
        <v>1596</v>
      </c>
      <c r="I9" s="3" t="str">
        <f>+""</f>
        <v/>
      </c>
      <c r="J9" s="38"/>
      <c r="K9" s="3"/>
      <c r="L9" s="35"/>
      <c r="M9" s="3" t="s">
        <v>11</v>
      </c>
      <c r="N9" s="3" t="s">
        <v>57</v>
      </c>
      <c r="O9" s="3" t="s">
        <v>15</v>
      </c>
      <c r="P9" s="3" t="s">
        <v>16</v>
      </c>
      <c r="Q9" s="3" t="s">
        <v>14</v>
      </c>
      <c r="R9" s="22" t="s">
        <v>49</v>
      </c>
    </row>
    <row r="10" spans="1:18" ht="84.95" customHeight="1" x14ac:dyDescent="0.25">
      <c r="A10" s="3" t="s">
        <v>58</v>
      </c>
      <c r="B10" s="34">
        <v>41912</v>
      </c>
      <c r="C10" s="35">
        <v>41044</v>
      </c>
      <c r="D10" s="35"/>
      <c r="E10" s="34">
        <v>41947</v>
      </c>
      <c r="F10" s="35" t="s">
        <v>539</v>
      </c>
      <c r="G10" s="36" t="str">
        <f>+"30-AUG-2010"</f>
        <v>30-AUG-2010</v>
      </c>
      <c r="H10" s="63">
        <f t="shared" si="0"/>
        <v>1575</v>
      </c>
      <c r="I10" s="3" t="str">
        <f>+""</f>
        <v/>
      </c>
      <c r="J10" s="38"/>
      <c r="K10" s="3"/>
      <c r="L10" s="35"/>
      <c r="M10" s="3" t="s">
        <v>11</v>
      </c>
      <c r="N10" s="3" t="s">
        <v>59</v>
      </c>
      <c r="O10" s="3" t="s">
        <v>15</v>
      </c>
      <c r="P10" s="3" t="s">
        <v>16</v>
      </c>
      <c r="Q10" s="3" t="s">
        <v>23</v>
      </c>
      <c r="R10" s="22" t="s">
        <v>60</v>
      </c>
    </row>
    <row r="11" spans="1:18" ht="84.95" customHeight="1" x14ac:dyDescent="0.25">
      <c r="A11" s="3" t="s">
        <v>61</v>
      </c>
      <c r="B11" s="34" t="s">
        <v>539</v>
      </c>
      <c r="C11" s="35" t="s">
        <v>539</v>
      </c>
      <c r="D11" s="35"/>
      <c r="E11" s="34" t="s">
        <v>539</v>
      </c>
      <c r="F11" s="35" t="s">
        <v>539</v>
      </c>
      <c r="G11" s="36" t="str">
        <f>+"04-OCT-2010"</f>
        <v>04-OCT-2010</v>
      </c>
      <c r="H11" s="63">
        <f t="shared" si="0"/>
        <v>1540</v>
      </c>
      <c r="I11" s="3" t="str">
        <f>+""</f>
        <v/>
      </c>
      <c r="J11" s="38"/>
      <c r="K11" s="3"/>
      <c r="L11" s="35"/>
      <c r="M11" s="3" t="s">
        <v>21</v>
      </c>
      <c r="N11" s="3" t="s">
        <v>62</v>
      </c>
      <c r="O11" s="3" t="s">
        <v>15</v>
      </c>
      <c r="P11" s="3" t="s">
        <v>13</v>
      </c>
      <c r="Q11" s="3" t="s">
        <v>14</v>
      </c>
      <c r="R11" s="22" t="s">
        <v>35</v>
      </c>
    </row>
    <row r="12" spans="1:18" ht="84.95" customHeight="1" x14ac:dyDescent="0.25">
      <c r="A12" s="3" t="s">
        <v>361</v>
      </c>
      <c r="B12" s="34">
        <v>41004</v>
      </c>
      <c r="C12" s="35" t="s">
        <v>539</v>
      </c>
      <c r="D12" s="35"/>
      <c r="E12" s="34" t="s">
        <v>539</v>
      </c>
      <c r="F12" s="35" t="s">
        <v>539</v>
      </c>
      <c r="G12" s="36" t="str">
        <f>+"13-OCT-2010"</f>
        <v>13-OCT-2010</v>
      </c>
      <c r="H12" s="63">
        <f t="shared" si="0"/>
        <v>1531</v>
      </c>
      <c r="I12" s="3" t="str">
        <f>+""</f>
        <v/>
      </c>
      <c r="J12" s="38"/>
      <c r="K12" s="3"/>
      <c r="L12" s="35"/>
      <c r="M12" s="3" t="s">
        <v>11</v>
      </c>
      <c r="N12" s="3" t="s">
        <v>362</v>
      </c>
      <c r="O12" s="3" t="s">
        <v>15</v>
      </c>
      <c r="P12" s="3" t="s">
        <v>16</v>
      </c>
      <c r="Q12" s="3" t="s">
        <v>23</v>
      </c>
      <c r="R12" s="22" t="s">
        <v>49</v>
      </c>
    </row>
    <row r="13" spans="1:18" ht="84.95" customHeight="1" x14ac:dyDescent="0.25">
      <c r="A13" s="3" t="s">
        <v>63</v>
      </c>
      <c r="B13" s="34" t="s">
        <v>539</v>
      </c>
      <c r="C13" s="35" t="s">
        <v>539</v>
      </c>
      <c r="D13" s="35"/>
      <c r="E13" s="34" t="s">
        <v>539</v>
      </c>
      <c r="F13" s="35" t="s">
        <v>539</v>
      </c>
      <c r="G13" s="36" t="str">
        <f>+"03-NOV-2010"</f>
        <v>03-NOV-2010</v>
      </c>
      <c r="H13" s="63">
        <f t="shared" si="0"/>
        <v>1510</v>
      </c>
      <c r="I13" s="3" t="str">
        <f>+""</f>
        <v/>
      </c>
      <c r="J13" s="38"/>
      <c r="K13" s="3"/>
      <c r="L13" s="35"/>
      <c r="M13" s="3" t="s">
        <v>21</v>
      </c>
      <c r="N13" s="3" t="s">
        <v>64</v>
      </c>
      <c r="O13" s="3" t="s">
        <v>15</v>
      </c>
      <c r="P13" s="3" t="s">
        <v>27</v>
      </c>
      <c r="Q13" s="3" t="s">
        <v>14</v>
      </c>
      <c r="R13" s="22" t="s">
        <v>65</v>
      </c>
    </row>
    <row r="14" spans="1:18" ht="84.95" customHeight="1" x14ac:dyDescent="0.25">
      <c r="A14" s="3" t="s">
        <v>363</v>
      </c>
      <c r="B14" s="34">
        <v>41933</v>
      </c>
      <c r="C14" s="35">
        <v>41955</v>
      </c>
      <c r="D14" s="35"/>
      <c r="E14" s="34" t="s">
        <v>539</v>
      </c>
      <c r="F14" s="35">
        <v>40917</v>
      </c>
      <c r="G14" s="36" t="str">
        <f>+"03-DEC-2010"</f>
        <v>03-DEC-2010</v>
      </c>
      <c r="H14" s="63">
        <f t="shared" si="0"/>
        <v>1480</v>
      </c>
      <c r="I14" s="3" t="str">
        <f>+""</f>
        <v/>
      </c>
      <c r="J14" s="38"/>
      <c r="K14" s="3"/>
      <c r="L14" s="35"/>
      <c r="M14" s="3" t="s">
        <v>11</v>
      </c>
      <c r="N14" s="3" t="s">
        <v>364</v>
      </c>
      <c r="O14" s="3" t="s">
        <v>15</v>
      </c>
      <c r="P14" s="3" t="s">
        <v>27</v>
      </c>
      <c r="Q14" s="3" t="s">
        <v>17</v>
      </c>
      <c r="R14" s="22" t="s">
        <v>673</v>
      </c>
    </row>
    <row r="15" spans="1:18" ht="84.95" customHeight="1" x14ac:dyDescent="0.25">
      <c r="A15" s="3" t="s">
        <v>71</v>
      </c>
      <c r="B15" s="34">
        <v>40640</v>
      </c>
      <c r="C15" s="35">
        <v>40771</v>
      </c>
      <c r="D15" s="35"/>
      <c r="E15" s="34">
        <v>40967</v>
      </c>
      <c r="F15" s="35">
        <v>41003</v>
      </c>
      <c r="G15" s="36" t="str">
        <f>+"15-FEB-2011"</f>
        <v>15-FEB-2011</v>
      </c>
      <c r="H15" s="63">
        <f t="shared" si="0"/>
        <v>1406</v>
      </c>
      <c r="I15" s="3" t="str">
        <f>+""</f>
        <v/>
      </c>
      <c r="J15" s="38"/>
      <c r="K15" s="3"/>
      <c r="L15" s="35">
        <v>41512</v>
      </c>
      <c r="M15" s="3" t="s">
        <v>11</v>
      </c>
      <c r="N15" s="3" t="s">
        <v>72</v>
      </c>
      <c r="O15" s="3" t="s">
        <v>15</v>
      </c>
      <c r="P15" s="3" t="s">
        <v>16</v>
      </c>
      <c r="Q15" s="3" t="s">
        <v>23</v>
      </c>
      <c r="R15" s="22" t="s">
        <v>560</v>
      </c>
    </row>
    <row r="16" spans="1:18" ht="84.95" customHeight="1" x14ac:dyDescent="0.25">
      <c r="A16" s="3" t="s">
        <v>365</v>
      </c>
      <c r="B16" s="34">
        <v>41933</v>
      </c>
      <c r="C16" s="35">
        <v>41955</v>
      </c>
      <c r="D16" s="35"/>
      <c r="E16" s="34" t="s">
        <v>539</v>
      </c>
      <c r="F16" s="35">
        <v>40917</v>
      </c>
      <c r="G16" s="36" t="str">
        <f>+"17-FEB-2011"</f>
        <v>17-FEB-2011</v>
      </c>
      <c r="H16" s="63">
        <f t="shared" si="0"/>
        <v>1404</v>
      </c>
      <c r="I16" s="3" t="str">
        <f>+""</f>
        <v/>
      </c>
      <c r="J16" s="38"/>
      <c r="K16" s="3"/>
      <c r="L16" s="35"/>
      <c r="M16" s="3" t="s">
        <v>11</v>
      </c>
      <c r="N16" s="3" t="s">
        <v>366</v>
      </c>
      <c r="O16" s="3" t="s">
        <v>15</v>
      </c>
      <c r="P16" s="3" t="s">
        <v>27</v>
      </c>
      <c r="Q16" s="3" t="s">
        <v>17</v>
      </c>
      <c r="R16" s="22" t="s">
        <v>673</v>
      </c>
    </row>
    <row r="17" spans="1:18" ht="84.95" customHeight="1" x14ac:dyDescent="0.25">
      <c r="A17" s="3" t="s">
        <v>476</v>
      </c>
      <c r="B17" s="34">
        <v>40696</v>
      </c>
      <c r="C17" s="35">
        <v>40710</v>
      </c>
      <c r="D17" s="35"/>
      <c r="E17" s="34">
        <v>41624</v>
      </c>
      <c r="F17" s="35">
        <v>41670</v>
      </c>
      <c r="G17" s="36" t="str">
        <f>+"24-FEB-2011"</f>
        <v>24-FEB-2011</v>
      </c>
      <c r="H17" s="63">
        <f t="shared" si="0"/>
        <v>1397</v>
      </c>
      <c r="I17" s="3" t="str">
        <f>+""</f>
        <v/>
      </c>
      <c r="J17" s="38"/>
      <c r="K17" s="3"/>
      <c r="L17" s="35">
        <v>41670</v>
      </c>
      <c r="M17" s="3" t="s">
        <v>11</v>
      </c>
      <c r="N17" s="3" t="s">
        <v>477</v>
      </c>
      <c r="O17" s="3" t="s">
        <v>15</v>
      </c>
      <c r="P17" s="3" t="s">
        <v>67</v>
      </c>
      <c r="Q17" s="3" t="s">
        <v>23</v>
      </c>
      <c r="R17" s="22" t="s">
        <v>561</v>
      </c>
    </row>
    <row r="18" spans="1:18" ht="84.95" customHeight="1" x14ac:dyDescent="0.25">
      <c r="A18" s="3" t="s">
        <v>426</v>
      </c>
      <c r="B18" s="34">
        <v>40619</v>
      </c>
      <c r="C18" s="35">
        <v>40868</v>
      </c>
      <c r="D18" s="35"/>
      <c r="E18" s="34">
        <v>41296</v>
      </c>
      <c r="F18" s="35">
        <v>41514</v>
      </c>
      <c r="G18" s="36" t="str">
        <f>+"24-FEB-2011"</f>
        <v>24-FEB-2011</v>
      </c>
      <c r="H18" s="63">
        <f t="shared" si="0"/>
        <v>1397</v>
      </c>
      <c r="I18" s="3" t="str">
        <f>+""</f>
        <v/>
      </c>
      <c r="J18" s="38"/>
      <c r="K18" s="3"/>
      <c r="L18" s="35"/>
      <c r="M18" s="3" t="s">
        <v>11</v>
      </c>
      <c r="N18" s="3" t="s">
        <v>427</v>
      </c>
      <c r="O18" s="3" t="s">
        <v>15</v>
      </c>
      <c r="P18" s="3" t="s">
        <v>67</v>
      </c>
      <c r="Q18" s="3" t="s">
        <v>43</v>
      </c>
      <c r="R18" s="22" t="s">
        <v>74</v>
      </c>
    </row>
    <row r="19" spans="1:18" ht="84.95" customHeight="1" x14ac:dyDescent="0.25">
      <c r="A19" s="3" t="s">
        <v>480</v>
      </c>
      <c r="B19" s="34" t="s">
        <v>539</v>
      </c>
      <c r="C19" s="35">
        <v>41374</v>
      </c>
      <c r="D19" s="35"/>
      <c r="E19" s="34" t="s">
        <v>539</v>
      </c>
      <c r="F19" s="35" t="s">
        <v>539</v>
      </c>
      <c r="G19" s="36" t="str">
        <f>+"24-MAR-2011"</f>
        <v>24-MAR-2011</v>
      </c>
      <c r="H19" s="63">
        <f t="shared" si="0"/>
        <v>1369</v>
      </c>
      <c r="I19" s="3" t="str">
        <f>+""</f>
        <v/>
      </c>
      <c r="J19" s="38"/>
      <c r="K19" s="3"/>
      <c r="L19" s="35"/>
      <c r="M19" s="3" t="s">
        <v>21</v>
      </c>
      <c r="N19" s="3" t="s">
        <v>481</v>
      </c>
      <c r="O19" s="3" t="s">
        <v>15</v>
      </c>
      <c r="P19" s="3" t="s">
        <v>27</v>
      </c>
      <c r="Q19" s="3" t="s">
        <v>43</v>
      </c>
      <c r="R19" s="22" t="s">
        <v>482</v>
      </c>
    </row>
    <row r="20" spans="1:18" ht="84.95" customHeight="1" x14ac:dyDescent="0.25">
      <c r="A20" s="3" t="s">
        <v>478</v>
      </c>
      <c r="B20" s="34">
        <v>40696</v>
      </c>
      <c r="C20" s="35">
        <v>40787</v>
      </c>
      <c r="D20" s="35"/>
      <c r="E20" s="34" t="s">
        <v>539</v>
      </c>
      <c r="F20" s="35" t="s">
        <v>539</v>
      </c>
      <c r="G20" s="36" t="str">
        <f>+"24-MAR-2011"</f>
        <v>24-MAR-2011</v>
      </c>
      <c r="H20" s="63">
        <f t="shared" si="0"/>
        <v>1369</v>
      </c>
      <c r="I20" s="3" t="str">
        <f>+""</f>
        <v/>
      </c>
      <c r="J20" s="38"/>
      <c r="K20" s="3"/>
      <c r="L20" s="35"/>
      <c r="M20" s="3" t="s">
        <v>21</v>
      </c>
      <c r="N20" s="3" t="s">
        <v>479</v>
      </c>
      <c r="O20" s="3" t="s">
        <v>15</v>
      </c>
      <c r="P20" s="3" t="s">
        <v>16</v>
      </c>
      <c r="Q20" s="3" t="s">
        <v>38</v>
      </c>
      <c r="R20" s="22" t="s">
        <v>206</v>
      </c>
    </row>
    <row r="21" spans="1:18" ht="108.75" customHeight="1" x14ac:dyDescent="0.25">
      <c r="A21" s="3" t="s">
        <v>75</v>
      </c>
      <c r="B21" s="34">
        <v>40711</v>
      </c>
      <c r="C21" s="35">
        <v>40772</v>
      </c>
      <c r="D21" s="35"/>
      <c r="E21" s="34">
        <v>40926</v>
      </c>
      <c r="F21" s="35">
        <v>40954</v>
      </c>
      <c r="G21" s="36" t="str">
        <f>+"01-APR-2011"</f>
        <v>01-APR-2011</v>
      </c>
      <c r="H21" s="63">
        <f t="shared" si="0"/>
        <v>1361</v>
      </c>
      <c r="I21" s="3" t="str">
        <f>+""</f>
        <v/>
      </c>
      <c r="J21" s="38"/>
      <c r="K21" s="3"/>
      <c r="L21" s="35">
        <v>41466</v>
      </c>
      <c r="M21" s="3" t="s">
        <v>11</v>
      </c>
      <c r="N21" s="3" t="s">
        <v>76</v>
      </c>
      <c r="O21" s="3" t="s">
        <v>15</v>
      </c>
      <c r="P21" s="3" t="s">
        <v>16</v>
      </c>
      <c r="Q21" s="3" t="s">
        <v>23</v>
      </c>
      <c r="R21" s="22" t="s">
        <v>560</v>
      </c>
    </row>
    <row r="22" spans="1:18" ht="84.95" customHeight="1" x14ac:dyDescent="0.25">
      <c r="A22" s="3" t="s">
        <v>77</v>
      </c>
      <c r="B22" s="34">
        <v>40732</v>
      </c>
      <c r="C22" s="35">
        <v>40767</v>
      </c>
      <c r="D22" s="35"/>
      <c r="E22" s="34">
        <v>41116</v>
      </c>
      <c r="F22" s="35">
        <v>41571</v>
      </c>
      <c r="G22" s="36" t="str">
        <f>+"15-APR-2011"</f>
        <v>15-APR-2011</v>
      </c>
      <c r="H22" s="63">
        <f t="shared" si="0"/>
        <v>1347</v>
      </c>
      <c r="I22" s="3" t="str">
        <f>+""</f>
        <v/>
      </c>
      <c r="J22" s="38"/>
      <c r="K22" s="3"/>
      <c r="L22" s="35"/>
      <c r="M22" s="3" t="s">
        <v>11</v>
      </c>
      <c r="N22" s="3" t="s">
        <v>78</v>
      </c>
      <c r="O22" s="3" t="s">
        <v>15</v>
      </c>
      <c r="P22" s="3" t="s">
        <v>19</v>
      </c>
      <c r="Q22" s="3" t="s">
        <v>43</v>
      </c>
      <c r="R22" s="22" t="s">
        <v>79</v>
      </c>
    </row>
    <row r="23" spans="1:18" ht="84.95" customHeight="1" x14ac:dyDescent="0.25">
      <c r="A23" s="3" t="s">
        <v>483</v>
      </c>
      <c r="B23" s="34">
        <v>40707</v>
      </c>
      <c r="C23" s="35">
        <v>40732</v>
      </c>
      <c r="D23" s="35"/>
      <c r="E23" s="34" t="s">
        <v>539</v>
      </c>
      <c r="F23" s="35" t="s">
        <v>539</v>
      </c>
      <c r="G23" s="36" t="str">
        <f>+"05-MAY-2011"</f>
        <v>05-MAY-2011</v>
      </c>
      <c r="H23" s="63">
        <f t="shared" si="0"/>
        <v>1327</v>
      </c>
      <c r="I23" s="3" t="str">
        <f>+""</f>
        <v/>
      </c>
      <c r="J23" s="38"/>
      <c r="K23" s="3"/>
      <c r="L23" s="35">
        <v>41767</v>
      </c>
      <c r="M23" s="3" t="s">
        <v>11</v>
      </c>
      <c r="N23" s="3" t="s">
        <v>484</v>
      </c>
      <c r="O23" s="3" t="s">
        <v>15</v>
      </c>
      <c r="P23" s="3" t="s">
        <v>16</v>
      </c>
      <c r="Q23" s="3" t="s">
        <v>38</v>
      </c>
      <c r="R23" s="22" t="s">
        <v>702</v>
      </c>
    </row>
    <row r="24" spans="1:18" ht="108.75" customHeight="1" x14ac:dyDescent="0.25">
      <c r="A24" s="3" t="s">
        <v>428</v>
      </c>
      <c r="B24" s="34">
        <v>40807</v>
      </c>
      <c r="C24" s="35">
        <v>40815</v>
      </c>
      <c r="D24" s="35"/>
      <c r="E24" s="34" t="s">
        <v>539</v>
      </c>
      <c r="F24" s="35" t="s">
        <v>539</v>
      </c>
      <c r="G24" s="36" t="str">
        <f>+"26-MAY-2011"</f>
        <v>26-MAY-2011</v>
      </c>
      <c r="H24" s="63">
        <f t="shared" si="0"/>
        <v>1306</v>
      </c>
      <c r="I24" s="3" t="str">
        <f>+""</f>
        <v/>
      </c>
      <c r="J24" s="38"/>
      <c r="K24" s="3"/>
      <c r="L24" s="35"/>
      <c r="M24" s="3" t="s">
        <v>21</v>
      </c>
      <c r="N24" s="3" t="s">
        <v>429</v>
      </c>
      <c r="O24" s="3" t="s">
        <v>15</v>
      </c>
      <c r="P24" s="3" t="s">
        <v>27</v>
      </c>
      <c r="Q24" s="29" t="s">
        <v>17</v>
      </c>
      <c r="R24" s="22" t="s">
        <v>35</v>
      </c>
    </row>
    <row r="25" spans="1:18" ht="84.95" customHeight="1" x14ac:dyDescent="0.25">
      <c r="A25" s="3" t="s">
        <v>83</v>
      </c>
      <c r="B25" s="34">
        <v>40758</v>
      </c>
      <c r="C25" s="35">
        <v>40877</v>
      </c>
      <c r="D25" s="35"/>
      <c r="E25" s="34">
        <v>40974</v>
      </c>
      <c r="F25" s="35">
        <v>41047</v>
      </c>
      <c r="G25" s="36" t="str">
        <f>+"01-JUN-2011"</f>
        <v>01-JUN-2011</v>
      </c>
      <c r="H25" s="63">
        <f t="shared" si="0"/>
        <v>1300</v>
      </c>
      <c r="I25" s="3" t="str">
        <f>+""</f>
        <v/>
      </c>
      <c r="J25" s="38"/>
      <c r="K25" s="3"/>
      <c r="L25" s="35">
        <v>41047</v>
      </c>
      <c r="M25" s="3" t="s">
        <v>11</v>
      </c>
      <c r="N25" s="3" t="s">
        <v>84</v>
      </c>
      <c r="O25" s="3" t="s">
        <v>15</v>
      </c>
      <c r="P25" s="3" t="s">
        <v>16</v>
      </c>
      <c r="Q25" s="3" t="s">
        <v>23</v>
      </c>
      <c r="R25" s="22" t="s">
        <v>49</v>
      </c>
    </row>
    <row r="26" spans="1:18" ht="84.95" customHeight="1" x14ac:dyDescent="0.25">
      <c r="A26" s="3" t="s">
        <v>94</v>
      </c>
      <c r="B26" s="34" t="s">
        <v>539</v>
      </c>
      <c r="C26" s="35" t="s">
        <v>539</v>
      </c>
      <c r="D26" s="35"/>
      <c r="E26" s="34" t="s">
        <v>539</v>
      </c>
      <c r="F26" s="35" t="s">
        <v>539</v>
      </c>
      <c r="G26" s="36" t="str">
        <f>+"18-JUL-2011"</f>
        <v>18-JUL-2011</v>
      </c>
      <c r="H26" s="63">
        <f t="shared" si="0"/>
        <v>1253</v>
      </c>
      <c r="I26" s="3" t="str">
        <f>+""</f>
        <v/>
      </c>
      <c r="J26" s="38"/>
      <c r="K26" s="3"/>
      <c r="L26" s="35"/>
      <c r="M26" s="3" t="s">
        <v>11</v>
      </c>
      <c r="N26" s="3" t="s">
        <v>95</v>
      </c>
      <c r="O26" s="3" t="s">
        <v>15</v>
      </c>
      <c r="P26" s="3" t="s">
        <v>16</v>
      </c>
      <c r="Q26" s="3" t="s">
        <v>14</v>
      </c>
      <c r="R26" s="22" t="s">
        <v>74</v>
      </c>
    </row>
    <row r="27" spans="1:18" ht="84.95" customHeight="1" x14ac:dyDescent="0.25">
      <c r="A27" s="3" t="s">
        <v>96</v>
      </c>
      <c r="B27" s="34">
        <v>41213</v>
      </c>
      <c r="C27" s="35">
        <v>41395</v>
      </c>
      <c r="D27" s="35"/>
      <c r="E27" s="34">
        <v>41278</v>
      </c>
      <c r="F27" s="35">
        <v>41394</v>
      </c>
      <c r="G27" s="36" t="str">
        <f>+"02-AUG-2011"</f>
        <v>02-AUG-2011</v>
      </c>
      <c r="H27" s="63">
        <f t="shared" si="0"/>
        <v>1238</v>
      </c>
      <c r="I27" s="3" t="str">
        <f>+""</f>
        <v/>
      </c>
      <c r="J27" s="38"/>
      <c r="K27" s="3"/>
      <c r="L27" s="35"/>
      <c r="M27" s="3" t="s">
        <v>11</v>
      </c>
      <c r="N27" s="3" t="s">
        <v>97</v>
      </c>
      <c r="O27" s="3" t="s">
        <v>15</v>
      </c>
      <c r="P27" s="3" t="s">
        <v>98</v>
      </c>
      <c r="Q27" s="3" t="s">
        <v>14</v>
      </c>
      <c r="R27" s="22" t="s">
        <v>562</v>
      </c>
    </row>
    <row r="28" spans="1:18" ht="84.95" customHeight="1" x14ac:dyDescent="0.25">
      <c r="A28" s="3" t="s">
        <v>485</v>
      </c>
      <c r="B28" s="34">
        <v>41914</v>
      </c>
      <c r="C28" s="35">
        <v>41772</v>
      </c>
      <c r="D28" s="35"/>
      <c r="E28" s="34" t="s">
        <v>539</v>
      </c>
      <c r="F28" s="35" t="s">
        <v>539</v>
      </c>
      <c r="G28" s="36" t="str">
        <f>+"22-SEP-2011"</f>
        <v>22-SEP-2011</v>
      </c>
      <c r="H28" s="63">
        <f t="shared" si="0"/>
        <v>1187</v>
      </c>
      <c r="I28" s="3" t="str">
        <f>+""</f>
        <v/>
      </c>
      <c r="J28" s="38"/>
      <c r="K28" s="3"/>
      <c r="L28" s="35"/>
      <c r="M28" s="3" t="s">
        <v>11</v>
      </c>
      <c r="N28" s="3" t="s">
        <v>486</v>
      </c>
      <c r="O28" s="3" t="s">
        <v>15</v>
      </c>
      <c r="P28" s="3" t="s">
        <v>16</v>
      </c>
      <c r="Q28" s="3" t="s">
        <v>43</v>
      </c>
      <c r="R28" s="22" t="s">
        <v>227</v>
      </c>
    </row>
    <row r="29" spans="1:18" ht="104.25" customHeight="1" x14ac:dyDescent="0.25">
      <c r="A29" s="3" t="s">
        <v>489</v>
      </c>
      <c r="B29" s="34">
        <v>41052</v>
      </c>
      <c r="C29" s="35">
        <v>41080</v>
      </c>
      <c r="D29" s="35"/>
      <c r="E29" s="34" t="s">
        <v>539</v>
      </c>
      <c r="F29" s="35" t="s">
        <v>539</v>
      </c>
      <c r="G29" s="36" t="str">
        <f>+"10-NOV-2011"</f>
        <v>10-NOV-2011</v>
      </c>
      <c r="H29" s="63">
        <f t="shared" si="0"/>
        <v>1138</v>
      </c>
      <c r="I29" s="3" t="str">
        <f>+""</f>
        <v/>
      </c>
      <c r="J29" s="38"/>
      <c r="K29" s="3"/>
      <c r="L29" s="35"/>
      <c r="M29" s="3" t="s">
        <v>21</v>
      </c>
      <c r="N29" s="3" t="s">
        <v>490</v>
      </c>
      <c r="O29" s="3" t="s">
        <v>15</v>
      </c>
      <c r="P29" s="3" t="s">
        <v>19</v>
      </c>
      <c r="Q29" s="3" t="s">
        <v>17</v>
      </c>
      <c r="R29" s="22" t="s">
        <v>491</v>
      </c>
    </row>
    <row r="30" spans="1:18" ht="84.95" customHeight="1" x14ac:dyDescent="0.25">
      <c r="A30" s="3" t="s">
        <v>487</v>
      </c>
      <c r="B30" s="34">
        <v>41064</v>
      </c>
      <c r="C30" s="35">
        <v>41416</v>
      </c>
      <c r="D30" s="35"/>
      <c r="E30" s="34">
        <v>41884</v>
      </c>
      <c r="F30" s="35">
        <v>41908</v>
      </c>
      <c r="G30" s="36" t="str">
        <f>+"10-NOV-2011"</f>
        <v>10-NOV-2011</v>
      </c>
      <c r="H30" s="63">
        <f t="shared" si="0"/>
        <v>1138</v>
      </c>
      <c r="I30" s="3" t="str">
        <f>+""</f>
        <v/>
      </c>
      <c r="J30" s="38"/>
      <c r="K30" s="3"/>
      <c r="L30" s="35"/>
      <c r="M30" s="3" t="s">
        <v>11</v>
      </c>
      <c r="N30" s="3" t="s">
        <v>488</v>
      </c>
      <c r="O30" s="3" t="s">
        <v>15</v>
      </c>
      <c r="P30" s="3" t="s">
        <v>27</v>
      </c>
      <c r="Q30" s="3" t="s">
        <v>17</v>
      </c>
      <c r="R30" s="22" t="s">
        <v>563</v>
      </c>
    </row>
    <row r="31" spans="1:18" ht="84.95" customHeight="1" x14ac:dyDescent="0.25">
      <c r="A31" s="3" t="s">
        <v>430</v>
      </c>
      <c r="B31" s="34">
        <v>40942</v>
      </c>
      <c r="C31" s="35">
        <v>41025</v>
      </c>
      <c r="D31" s="35"/>
      <c r="E31" s="34">
        <v>41289</v>
      </c>
      <c r="F31" s="35">
        <v>41514</v>
      </c>
      <c r="G31" s="36" t="str">
        <f>+"10-NOV-2011"</f>
        <v>10-NOV-2011</v>
      </c>
      <c r="H31" s="63">
        <f t="shared" si="0"/>
        <v>1138</v>
      </c>
      <c r="I31" s="3" t="str">
        <f>+""</f>
        <v/>
      </c>
      <c r="J31" s="38"/>
      <c r="K31" s="3"/>
      <c r="L31" s="35"/>
      <c r="M31" s="3" t="s">
        <v>11</v>
      </c>
      <c r="N31" s="3" t="s">
        <v>431</v>
      </c>
      <c r="O31" s="3" t="s">
        <v>15</v>
      </c>
      <c r="P31" s="3" t="s">
        <v>67</v>
      </c>
      <c r="Q31" s="3" t="s">
        <v>43</v>
      </c>
      <c r="R31" s="22" t="s">
        <v>74</v>
      </c>
    </row>
    <row r="32" spans="1:18" ht="84.95" customHeight="1" x14ac:dyDescent="0.25">
      <c r="A32" s="3" t="s">
        <v>492</v>
      </c>
      <c r="B32" s="34">
        <v>40994</v>
      </c>
      <c r="C32" s="35">
        <v>41176</v>
      </c>
      <c r="D32" s="35"/>
      <c r="E32" s="34" t="s">
        <v>539</v>
      </c>
      <c r="F32" s="35" t="s">
        <v>539</v>
      </c>
      <c r="G32" s="36" t="str">
        <f>+"01-DEC-2011"</f>
        <v>01-DEC-2011</v>
      </c>
      <c r="H32" s="63">
        <f t="shared" si="0"/>
        <v>1117</v>
      </c>
      <c r="I32" s="3" t="str">
        <f>+""</f>
        <v/>
      </c>
      <c r="J32" s="38"/>
      <c r="K32" s="3"/>
      <c r="L32" s="35"/>
      <c r="M32" s="3" t="s">
        <v>11</v>
      </c>
      <c r="N32" s="3" t="s">
        <v>493</v>
      </c>
      <c r="O32" s="3" t="s">
        <v>15</v>
      </c>
      <c r="P32" s="3" t="s">
        <v>27</v>
      </c>
      <c r="Q32" s="3" t="s">
        <v>43</v>
      </c>
      <c r="R32" s="22" t="s">
        <v>227</v>
      </c>
    </row>
    <row r="33" spans="1:18" ht="84.95" customHeight="1" x14ac:dyDescent="0.25">
      <c r="A33" s="3" t="s">
        <v>102</v>
      </c>
      <c r="B33" s="34">
        <v>40988</v>
      </c>
      <c r="C33" s="35">
        <v>41075</v>
      </c>
      <c r="D33" s="35"/>
      <c r="E33" s="34" t="s">
        <v>539</v>
      </c>
      <c r="F33" s="35" t="s">
        <v>539</v>
      </c>
      <c r="G33" s="36" t="str">
        <f>+"28-DEC-2011"</f>
        <v>28-DEC-2011</v>
      </c>
      <c r="H33" s="63">
        <f t="shared" si="0"/>
        <v>1090</v>
      </c>
      <c r="I33" s="3" t="str">
        <f>+""</f>
        <v/>
      </c>
      <c r="J33" s="38"/>
      <c r="K33" s="3"/>
      <c r="L33" s="35"/>
      <c r="M33" s="3" t="s">
        <v>11</v>
      </c>
      <c r="N33" s="3" t="s">
        <v>103</v>
      </c>
      <c r="O33" s="3" t="s">
        <v>15</v>
      </c>
      <c r="P33" s="3" t="s">
        <v>27</v>
      </c>
      <c r="Q33" s="3" t="s">
        <v>23</v>
      </c>
      <c r="R33" s="22" t="s">
        <v>564</v>
      </c>
    </row>
    <row r="34" spans="1:18" ht="105.75" customHeight="1" x14ac:dyDescent="0.25">
      <c r="A34" s="3" t="s">
        <v>432</v>
      </c>
      <c r="B34" s="34">
        <v>40953</v>
      </c>
      <c r="C34" s="35">
        <v>40981</v>
      </c>
      <c r="D34" s="35"/>
      <c r="E34" s="34">
        <v>41289</v>
      </c>
      <c r="F34" s="35">
        <v>41514</v>
      </c>
      <c r="G34" s="36" t="str">
        <f>+"12-JAN-2012"</f>
        <v>12-JAN-2012</v>
      </c>
      <c r="H34" s="63">
        <f t="shared" si="0"/>
        <v>1075</v>
      </c>
      <c r="I34" s="3" t="str">
        <f>+""</f>
        <v/>
      </c>
      <c r="J34" s="38"/>
      <c r="K34" s="3"/>
      <c r="L34" s="35"/>
      <c r="M34" s="3" t="s">
        <v>11</v>
      </c>
      <c r="N34" s="3" t="s">
        <v>433</v>
      </c>
      <c r="O34" s="3" t="s">
        <v>15</v>
      </c>
      <c r="P34" s="3" t="s">
        <v>67</v>
      </c>
      <c r="Q34" s="3" t="s">
        <v>43</v>
      </c>
      <c r="R34" s="22" t="s">
        <v>434</v>
      </c>
    </row>
    <row r="35" spans="1:18" ht="84.95" customHeight="1" x14ac:dyDescent="0.25">
      <c r="A35" s="3" t="s">
        <v>104</v>
      </c>
      <c r="B35" s="34">
        <v>41187</v>
      </c>
      <c r="C35" s="35">
        <v>41214</v>
      </c>
      <c r="D35" s="35"/>
      <c r="E35" s="34">
        <v>41675</v>
      </c>
      <c r="F35" s="35">
        <v>41775</v>
      </c>
      <c r="G35" s="36" t="str">
        <f>+"17-JAN-2012"</f>
        <v>17-JAN-2012</v>
      </c>
      <c r="H35" s="63">
        <f t="shared" si="0"/>
        <v>1070</v>
      </c>
      <c r="I35" s="3" t="str">
        <f>+""</f>
        <v/>
      </c>
      <c r="J35" s="38"/>
      <c r="K35" s="3"/>
      <c r="L35" s="35"/>
      <c r="M35" s="3" t="s">
        <v>11</v>
      </c>
      <c r="N35" s="3" t="s">
        <v>105</v>
      </c>
      <c r="O35" s="3" t="s">
        <v>15</v>
      </c>
      <c r="P35" s="3" t="s">
        <v>16</v>
      </c>
      <c r="Q35" s="3" t="s">
        <v>14</v>
      </c>
      <c r="R35" s="22" t="s">
        <v>623</v>
      </c>
    </row>
    <row r="36" spans="1:18" ht="84.95" customHeight="1" x14ac:dyDescent="0.25">
      <c r="A36" s="3" t="s">
        <v>106</v>
      </c>
      <c r="B36" s="34">
        <v>41436</v>
      </c>
      <c r="C36" s="35" t="s">
        <v>539</v>
      </c>
      <c r="D36" s="35"/>
      <c r="E36" s="34">
        <v>41985</v>
      </c>
      <c r="F36" s="35" t="s">
        <v>539</v>
      </c>
      <c r="G36" s="36" t="str">
        <f>+"25-JAN-2012"</f>
        <v>25-JAN-2012</v>
      </c>
      <c r="H36" s="63">
        <f t="shared" si="0"/>
        <v>1062</v>
      </c>
      <c r="I36" s="3" t="str">
        <f>+""</f>
        <v/>
      </c>
      <c r="J36" s="38"/>
      <c r="K36" s="3"/>
      <c r="L36" s="35"/>
      <c r="M36" s="3" t="s">
        <v>11</v>
      </c>
      <c r="N36" s="3" t="s">
        <v>107</v>
      </c>
      <c r="O36" s="3" t="s">
        <v>15</v>
      </c>
      <c r="P36" s="3" t="s">
        <v>16</v>
      </c>
      <c r="Q36" s="3" t="s">
        <v>14</v>
      </c>
      <c r="R36" s="22" t="s">
        <v>108</v>
      </c>
    </row>
    <row r="37" spans="1:18" ht="84.95" customHeight="1" x14ac:dyDescent="0.25">
      <c r="A37" s="3" t="s">
        <v>109</v>
      </c>
      <c r="B37" s="34" t="s">
        <v>539</v>
      </c>
      <c r="C37" s="35" t="s">
        <v>539</v>
      </c>
      <c r="D37" s="35"/>
      <c r="E37" s="34" t="s">
        <v>539</v>
      </c>
      <c r="F37" s="35" t="s">
        <v>539</v>
      </c>
      <c r="G37" s="36" t="str">
        <f>+"31-JAN-2012"</f>
        <v>31-JAN-2012</v>
      </c>
      <c r="H37" s="63">
        <f t="shared" si="0"/>
        <v>1056</v>
      </c>
      <c r="I37" s="3" t="str">
        <f>+""</f>
        <v/>
      </c>
      <c r="J37" s="38"/>
      <c r="K37" s="3"/>
      <c r="L37" s="35"/>
      <c r="M37" s="3" t="s">
        <v>11</v>
      </c>
      <c r="N37" s="3" t="s">
        <v>110</v>
      </c>
      <c r="O37" s="3" t="s">
        <v>15</v>
      </c>
      <c r="P37" s="3" t="s">
        <v>16</v>
      </c>
      <c r="Q37" s="3" t="s">
        <v>23</v>
      </c>
      <c r="R37" s="22" t="s">
        <v>49</v>
      </c>
    </row>
    <row r="38" spans="1:18" ht="84.95" customHeight="1" x14ac:dyDescent="0.25">
      <c r="A38" s="3" t="s">
        <v>367</v>
      </c>
      <c r="B38" s="34">
        <v>41163</v>
      </c>
      <c r="C38" s="35">
        <v>41319</v>
      </c>
      <c r="D38" s="35"/>
      <c r="E38" s="34" t="s">
        <v>539</v>
      </c>
      <c r="F38" s="35" t="s">
        <v>539</v>
      </c>
      <c r="G38" s="36" t="str">
        <f>+"14-MAR-2012"</f>
        <v>14-MAR-2012</v>
      </c>
      <c r="H38" s="63">
        <f t="shared" si="0"/>
        <v>1013</v>
      </c>
      <c r="I38" s="3" t="str">
        <f>+""</f>
        <v/>
      </c>
      <c r="J38" s="38"/>
      <c r="K38" s="3"/>
      <c r="L38" s="35"/>
      <c r="M38" s="3" t="s">
        <v>21</v>
      </c>
      <c r="N38" s="3" t="s">
        <v>368</v>
      </c>
      <c r="O38" s="3" t="s">
        <v>15</v>
      </c>
      <c r="P38" s="3" t="s">
        <v>19</v>
      </c>
      <c r="Q38" s="3" t="s">
        <v>17</v>
      </c>
      <c r="R38" s="22" t="s">
        <v>18</v>
      </c>
    </row>
    <row r="39" spans="1:18" ht="84.95" customHeight="1" x14ac:dyDescent="0.25">
      <c r="A39" s="3" t="s">
        <v>111</v>
      </c>
      <c r="B39" s="34">
        <v>41109</v>
      </c>
      <c r="C39" s="35" t="s">
        <v>539</v>
      </c>
      <c r="D39" s="35"/>
      <c r="E39" s="34" t="s">
        <v>539</v>
      </c>
      <c r="F39" s="35" t="s">
        <v>539</v>
      </c>
      <c r="G39" s="36" t="str">
        <f>+"16-APR-2012"</f>
        <v>16-APR-2012</v>
      </c>
      <c r="H39" s="63">
        <f t="shared" si="0"/>
        <v>980</v>
      </c>
      <c r="I39" s="3" t="str">
        <f>+""</f>
        <v/>
      </c>
      <c r="J39" s="38"/>
      <c r="K39" s="3"/>
      <c r="L39" s="35"/>
      <c r="M39" s="3" t="s">
        <v>11</v>
      </c>
      <c r="N39" s="3" t="s">
        <v>112</v>
      </c>
      <c r="O39" s="3" t="s">
        <v>15</v>
      </c>
      <c r="P39" s="3" t="s">
        <v>16</v>
      </c>
      <c r="Q39" s="3" t="s">
        <v>23</v>
      </c>
      <c r="R39" s="22" t="s">
        <v>49</v>
      </c>
    </row>
    <row r="40" spans="1:18" ht="84.95" customHeight="1" x14ac:dyDescent="0.25">
      <c r="A40" s="3" t="s">
        <v>113</v>
      </c>
      <c r="B40" s="34">
        <v>41066</v>
      </c>
      <c r="C40" s="35">
        <v>41088</v>
      </c>
      <c r="D40" s="35"/>
      <c r="E40" s="34">
        <v>41366</v>
      </c>
      <c r="F40" s="35">
        <v>41684</v>
      </c>
      <c r="G40" s="36" t="str">
        <f>+"23-APR-2012"</f>
        <v>23-APR-2012</v>
      </c>
      <c r="H40" s="63">
        <f t="shared" si="0"/>
        <v>973</v>
      </c>
      <c r="I40" s="3" t="str">
        <f>+""</f>
        <v/>
      </c>
      <c r="J40" s="38"/>
      <c r="K40" s="3"/>
      <c r="L40" s="35"/>
      <c r="M40" s="3" t="s">
        <v>11</v>
      </c>
      <c r="N40" s="3" t="s">
        <v>114</v>
      </c>
      <c r="O40" s="3" t="s">
        <v>15</v>
      </c>
      <c r="P40" s="3" t="s">
        <v>19</v>
      </c>
      <c r="Q40" s="3" t="s">
        <v>17</v>
      </c>
      <c r="R40" s="22" t="s">
        <v>716</v>
      </c>
    </row>
    <row r="41" spans="1:18" ht="84.95" customHeight="1" x14ac:dyDescent="0.25">
      <c r="A41" s="3" t="s">
        <v>115</v>
      </c>
      <c r="B41" s="34">
        <v>41087</v>
      </c>
      <c r="C41" s="35">
        <v>41178</v>
      </c>
      <c r="D41" s="35"/>
      <c r="E41" s="34">
        <v>41675</v>
      </c>
      <c r="F41" s="35">
        <v>41775</v>
      </c>
      <c r="G41" s="36" t="str">
        <f>+"24-APR-2012"</f>
        <v>24-APR-2012</v>
      </c>
      <c r="H41" s="63">
        <f t="shared" si="0"/>
        <v>972</v>
      </c>
      <c r="I41" s="3" t="str">
        <f>+""</f>
        <v/>
      </c>
      <c r="J41" s="38"/>
      <c r="K41" s="3"/>
      <c r="L41" s="35"/>
      <c r="M41" s="3" t="s">
        <v>11</v>
      </c>
      <c r="N41" s="3" t="s">
        <v>116</v>
      </c>
      <c r="O41" s="3" t="s">
        <v>15</v>
      </c>
      <c r="P41" s="3" t="s">
        <v>16</v>
      </c>
      <c r="Q41" s="3" t="s">
        <v>14</v>
      </c>
      <c r="R41" s="22" t="s">
        <v>146</v>
      </c>
    </row>
    <row r="42" spans="1:18" ht="84.95" customHeight="1" x14ac:dyDescent="0.25">
      <c r="A42" s="3" t="s">
        <v>117</v>
      </c>
      <c r="B42" s="34">
        <v>41962</v>
      </c>
      <c r="C42" s="35" t="s">
        <v>539</v>
      </c>
      <c r="D42" s="35"/>
      <c r="E42" s="34" t="s">
        <v>539</v>
      </c>
      <c r="F42" s="35" t="s">
        <v>539</v>
      </c>
      <c r="G42" s="36" t="str">
        <f>+"18-MAY-2012"</f>
        <v>18-MAY-2012</v>
      </c>
      <c r="H42" s="63">
        <f t="shared" si="0"/>
        <v>948</v>
      </c>
      <c r="I42" s="3" t="str">
        <f>+""</f>
        <v/>
      </c>
      <c r="J42" s="38"/>
      <c r="K42" s="3"/>
      <c r="L42" s="35"/>
      <c r="M42" s="3" t="s">
        <v>11</v>
      </c>
      <c r="N42" s="3" t="s">
        <v>118</v>
      </c>
      <c r="O42" s="3" t="s">
        <v>15</v>
      </c>
      <c r="P42" s="3" t="s">
        <v>16</v>
      </c>
      <c r="Q42" s="3" t="s">
        <v>43</v>
      </c>
      <c r="R42" s="22" t="s">
        <v>119</v>
      </c>
    </row>
    <row r="43" spans="1:18" ht="109.5" customHeight="1" x14ac:dyDescent="0.25">
      <c r="A43" s="3" t="s">
        <v>495</v>
      </c>
      <c r="B43" s="34">
        <v>41935</v>
      </c>
      <c r="C43" s="35">
        <v>41946</v>
      </c>
      <c r="D43" s="35"/>
      <c r="E43" s="34">
        <v>41967</v>
      </c>
      <c r="F43" s="35">
        <v>41904</v>
      </c>
      <c r="G43" s="36" t="str">
        <f>+"21-JUN-2012"</f>
        <v>21-JUN-2012</v>
      </c>
      <c r="H43" s="63">
        <f t="shared" si="0"/>
        <v>914</v>
      </c>
      <c r="I43" s="3" t="str">
        <f>+""</f>
        <v/>
      </c>
      <c r="J43" s="38"/>
      <c r="K43" s="3"/>
      <c r="L43" s="35"/>
      <c r="M43" s="3" t="s">
        <v>11</v>
      </c>
      <c r="N43" s="3" t="s">
        <v>496</v>
      </c>
      <c r="O43" s="3" t="s">
        <v>15</v>
      </c>
      <c r="P43" s="3" t="s">
        <v>16</v>
      </c>
      <c r="Q43" s="3" t="s">
        <v>43</v>
      </c>
      <c r="R43" s="22" t="s">
        <v>497</v>
      </c>
    </row>
    <row r="44" spans="1:18" ht="84.95" customHeight="1" x14ac:dyDescent="0.25">
      <c r="A44" s="3" t="s">
        <v>373</v>
      </c>
      <c r="B44" s="34">
        <v>41992</v>
      </c>
      <c r="C44" s="35" t="s">
        <v>539</v>
      </c>
      <c r="D44" s="35"/>
      <c r="E44" s="34" t="s">
        <v>539</v>
      </c>
      <c r="F44" s="35" t="s">
        <v>539</v>
      </c>
      <c r="G44" s="36" t="str">
        <f>+"06-SEP-2012"</f>
        <v>06-SEP-2012</v>
      </c>
      <c r="H44" s="63">
        <f t="shared" si="0"/>
        <v>837</v>
      </c>
      <c r="I44" s="3" t="str">
        <f>+""</f>
        <v/>
      </c>
      <c r="J44" s="38"/>
      <c r="K44" s="3"/>
      <c r="L44" s="35"/>
      <c r="M44" s="3" t="s">
        <v>11</v>
      </c>
      <c r="N44" s="3" t="s">
        <v>374</v>
      </c>
      <c r="O44" s="3" t="s">
        <v>15</v>
      </c>
      <c r="P44" s="3" t="s">
        <v>27</v>
      </c>
      <c r="Q44" s="3" t="s">
        <v>17</v>
      </c>
      <c r="R44" s="22" t="s">
        <v>197</v>
      </c>
    </row>
    <row r="45" spans="1:18" ht="84.95" customHeight="1" x14ac:dyDescent="0.25">
      <c r="A45" s="3" t="s">
        <v>129</v>
      </c>
      <c r="B45" s="34">
        <v>41960</v>
      </c>
      <c r="C45" s="35">
        <v>41715</v>
      </c>
      <c r="D45" s="35"/>
      <c r="E45" s="34" t="s">
        <v>539</v>
      </c>
      <c r="F45" s="35" t="s">
        <v>539</v>
      </c>
      <c r="G45" s="36" t="str">
        <f>+"17-OCT-2012"</f>
        <v>17-OCT-2012</v>
      </c>
      <c r="H45" s="63">
        <f t="shared" si="0"/>
        <v>796</v>
      </c>
      <c r="I45" s="3" t="str">
        <f>+""</f>
        <v/>
      </c>
      <c r="J45" s="38"/>
      <c r="K45" s="3"/>
      <c r="L45" s="35"/>
      <c r="M45" s="3" t="s">
        <v>21</v>
      </c>
      <c r="N45" s="3" t="s">
        <v>130</v>
      </c>
      <c r="O45" s="3" t="s">
        <v>15</v>
      </c>
      <c r="P45" s="3" t="s">
        <v>16</v>
      </c>
      <c r="Q45" s="3" t="s">
        <v>14</v>
      </c>
      <c r="R45" s="22" t="s">
        <v>60</v>
      </c>
    </row>
    <row r="46" spans="1:18" ht="84.95" customHeight="1" x14ac:dyDescent="0.25">
      <c r="A46" s="3" t="s">
        <v>435</v>
      </c>
      <c r="B46" s="34">
        <v>41467</v>
      </c>
      <c r="C46" s="35">
        <v>41302</v>
      </c>
      <c r="D46" s="35"/>
      <c r="E46" s="34">
        <v>41558</v>
      </c>
      <c r="F46" s="35">
        <v>41624</v>
      </c>
      <c r="G46" s="36" t="str">
        <f>+"25-OCT-2012"</f>
        <v>25-OCT-2012</v>
      </c>
      <c r="H46" s="63">
        <f t="shared" si="0"/>
        <v>788</v>
      </c>
      <c r="I46" s="3" t="str">
        <f>+""</f>
        <v/>
      </c>
      <c r="J46" s="38"/>
      <c r="K46" s="3"/>
      <c r="L46" s="35">
        <v>41529</v>
      </c>
      <c r="M46" s="3" t="s">
        <v>11</v>
      </c>
      <c r="N46" s="3" t="s">
        <v>436</v>
      </c>
      <c r="O46" s="3" t="s">
        <v>15</v>
      </c>
      <c r="P46" s="3" t="s">
        <v>16</v>
      </c>
      <c r="Q46" s="3" t="s">
        <v>23</v>
      </c>
      <c r="R46" s="22" t="s">
        <v>160</v>
      </c>
    </row>
    <row r="47" spans="1:18" ht="84.95" customHeight="1" x14ac:dyDescent="0.25">
      <c r="A47" s="3" t="s">
        <v>131</v>
      </c>
      <c r="B47" s="34" t="s">
        <v>539</v>
      </c>
      <c r="C47" s="35" t="s">
        <v>539</v>
      </c>
      <c r="D47" s="35"/>
      <c r="E47" s="34" t="s">
        <v>539</v>
      </c>
      <c r="F47" s="35" t="s">
        <v>539</v>
      </c>
      <c r="G47" s="36" t="str">
        <f>+"26-OCT-2012"</f>
        <v>26-OCT-2012</v>
      </c>
      <c r="H47" s="63">
        <f t="shared" si="0"/>
        <v>787</v>
      </c>
      <c r="I47" s="3" t="str">
        <f>+""</f>
        <v/>
      </c>
      <c r="J47" s="38"/>
      <c r="K47" s="3"/>
      <c r="L47" s="35"/>
      <c r="M47" s="3" t="s">
        <v>11</v>
      </c>
      <c r="N47" s="3" t="s">
        <v>132</v>
      </c>
      <c r="O47" s="3" t="s">
        <v>15</v>
      </c>
      <c r="P47" s="3" t="s">
        <v>16</v>
      </c>
      <c r="Q47" s="3" t="s">
        <v>23</v>
      </c>
      <c r="R47" s="22" t="s">
        <v>24</v>
      </c>
    </row>
    <row r="48" spans="1:18" ht="84.95" customHeight="1" x14ac:dyDescent="0.25">
      <c r="A48" s="3" t="s">
        <v>498</v>
      </c>
      <c r="B48" s="34">
        <v>41346</v>
      </c>
      <c r="C48" s="35">
        <v>41799</v>
      </c>
      <c r="D48" s="35"/>
      <c r="E48" s="34" t="s">
        <v>539</v>
      </c>
      <c r="F48" s="35" t="s">
        <v>539</v>
      </c>
      <c r="G48" s="36" t="str">
        <f>+"08-NOV-2012"</f>
        <v>08-NOV-2012</v>
      </c>
      <c r="H48" s="63">
        <f t="shared" si="0"/>
        <v>774</v>
      </c>
      <c r="I48" s="3" t="str">
        <f>+""</f>
        <v/>
      </c>
      <c r="J48" s="38"/>
      <c r="K48" s="3"/>
      <c r="L48" s="35"/>
      <c r="M48" s="3" t="s">
        <v>21</v>
      </c>
      <c r="N48" s="3" t="s">
        <v>499</v>
      </c>
      <c r="O48" s="3" t="s">
        <v>15</v>
      </c>
      <c r="P48" s="3" t="s">
        <v>16</v>
      </c>
      <c r="Q48" s="3" t="s">
        <v>14</v>
      </c>
      <c r="R48" s="22" t="s">
        <v>705</v>
      </c>
    </row>
    <row r="49" spans="1:18" ht="84.95" customHeight="1" x14ac:dyDescent="0.25">
      <c r="A49" s="3" t="s">
        <v>144</v>
      </c>
      <c r="B49" s="34" t="s">
        <v>539</v>
      </c>
      <c r="C49" s="35" t="s">
        <v>539</v>
      </c>
      <c r="D49" s="35"/>
      <c r="E49" s="34" t="s">
        <v>539</v>
      </c>
      <c r="F49" s="35" t="s">
        <v>539</v>
      </c>
      <c r="G49" s="36" t="str">
        <f>+"15-NOV-2012"</f>
        <v>15-NOV-2012</v>
      </c>
      <c r="H49" s="63">
        <f t="shared" si="0"/>
        <v>767</v>
      </c>
      <c r="I49" s="3" t="str">
        <f>+""</f>
        <v/>
      </c>
      <c r="J49" s="38"/>
      <c r="K49" s="3"/>
      <c r="L49" s="35"/>
      <c r="M49" s="3" t="s">
        <v>11</v>
      </c>
      <c r="N49" s="3" t="s">
        <v>145</v>
      </c>
      <c r="O49" s="3" t="s">
        <v>15</v>
      </c>
      <c r="P49" s="3" t="s">
        <v>16</v>
      </c>
      <c r="Q49" s="3" t="s">
        <v>43</v>
      </c>
      <c r="R49" s="22" t="s">
        <v>146</v>
      </c>
    </row>
    <row r="50" spans="1:18" ht="84.95" customHeight="1" x14ac:dyDescent="0.25">
      <c r="A50" s="3" t="s">
        <v>141</v>
      </c>
      <c r="B50" s="34">
        <v>41285</v>
      </c>
      <c r="C50" s="35">
        <v>41296</v>
      </c>
      <c r="D50" s="35"/>
      <c r="E50" s="34">
        <v>41470</v>
      </c>
      <c r="F50" s="35">
        <v>41544</v>
      </c>
      <c r="G50" s="36" t="str">
        <f>+"15-NOV-2012"</f>
        <v>15-NOV-2012</v>
      </c>
      <c r="H50" s="63">
        <f t="shared" si="0"/>
        <v>767</v>
      </c>
      <c r="I50" s="3" t="str">
        <f>+""</f>
        <v/>
      </c>
      <c r="J50" s="38"/>
      <c r="K50" s="3"/>
      <c r="L50" s="35">
        <v>41544</v>
      </c>
      <c r="M50" s="3" t="s">
        <v>11</v>
      </c>
      <c r="N50" s="3" t="s">
        <v>142</v>
      </c>
      <c r="O50" s="3" t="s">
        <v>15</v>
      </c>
      <c r="P50" s="3" t="s">
        <v>44</v>
      </c>
      <c r="Q50" s="3" t="s">
        <v>23</v>
      </c>
      <c r="R50" s="22" t="s">
        <v>143</v>
      </c>
    </row>
    <row r="51" spans="1:18" ht="84.95" customHeight="1" x14ac:dyDescent="0.25">
      <c r="A51" s="3" t="s">
        <v>148</v>
      </c>
      <c r="B51" s="34" t="s">
        <v>539</v>
      </c>
      <c r="C51" s="35" t="s">
        <v>539</v>
      </c>
      <c r="D51" s="35"/>
      <c r="E51" s="34" t="s">
        <v>539</v>
      </c>
      <c r="F51" s="35" t="s">
        <v>539</v>
      </c>
      <c r="G51" s="36" t="str">
        <f>+"14-DEC-2012"</f>
        <v>14-DEC-2012</v>
      </c>
      <c r="H51" s="63">
        <f t="shared" si="0"/>
        <v>738</v>
      </c>
      <c r="I51" s="3" t="str">
        <f>+""</f>
        <v/>
      </c>
      <c r="J51" s="38"/>
      <c r="K51" s="3"/>
      <c r="L51" s="35"/>
      <c r="M51" s="3" t="s">
        <v>11</v>
      </c>
      <c r="N51" s="3" t="s">
        <v>149</v>
      </c>
      <c r="O51" s="3" t="s">
        <v>15</v>
      </c>
      <c r="P51" s="3" t="s">
        <v>52</v>
      </c>
      <c r="Q51" s="3" t="s">
        <v>14</v>
      </c>
      <c r="R51" s="22" t="s">
        <v>35</v>
      </c>
    </row>
    <row r="52" spans="1:18" ht="84.95" customHeight="1" x14ac:dyDescent="0.25">
      <c r="A52" s="3" t="s">
        <v>500</v>
      </c>
      <c r="B52" s="34">
        <v>41320</v>
      </c>
      <c r="C52" s="35">
        <v>41366</v>
      </c>
      <c r="D52" s="35"/>
      <c r="E52" s="34">
        <v>41991</v>
      </c>
      <c r="F52" s="35" t="s">
        <v>539</v>
      </c>
      <c r="G52" s="36" t="str">
        <f>+"20-DEC-2012"</f>
        <v>20-DEC-2012</v>
      </c>
      <c r="H52" s="63">
        <f t="shared" si="0"/>
        <v>732</v>
      </c>
      <c r="I52" s="3" t="str">
        <f>+""</f>
        <v/>
      </c>
      <c r="J52" s="38"/>
      <c r="K52" s="3"/>
      <c r="L52" s="35"/>
      <c r="M52" s="3" t="s">
        <v>21</v>
      </c>
      <c r="N52" s="3" t="s">
        <v>501</v>
      </c>
      <c r="O52" s="3" t="s">
        <v>15</v>
      </c>
      <c r="P52" s="3" t="s">
        <v>52</v>
      </c>
      <c r="Q52" s="3" t="s">
        <v>14</v>
      </c>
      <c r="R52" s="22" t="s">
        <v>565</v>
      </c>
    </row>
    <row r="53" spans="1:18" ht="84.95" customHeight="1" x14ac:dyDescent="0.25">
      <c r="A53" s="3" t="s">
        <v>502</v>
      </c>
      <c r="B53" s="34">
        <v>41444</v>
      </c>
      <c r="C53" s="35">
        <v>41583</v>
      </c>
      <c r="D53" s="35"/>
      <c r="E53" s="34" t="s">
        <v>539</v>
      </c>
      <c r="F53" s="35" t="s">
        <v>539</v>
      </c>
      <c r="G53" s="36" t="str">
        <f>+"24-JAN-2013"</f>
        <v>24-JAN-2013</v>
      </c>
      <c r="H53" s="63">
        <f t="shared" si="0"/>
        <v>697</v>
      </c>
      <c r="I53" s="3" t="str">
        <f>+""</f>
        <v/>
      </c>
      <c r="J53" s="38"/>
      <c r="K53" s="3"/>
      <c r="L53" s="35"/>
      <c r="M53" s="3" t="s">
        <v>21</v>
      </c>
      <c r="N53" s="3" t="s">
        <v>503</v>
      </c>
      <c r="O53" s="3" t="s">
        <v>15</v>
      </c>
      <c r="P53" s="3" t="s">
        <v>27</v>
      </c>
      <c r="Q53" s="3" t="s">
        <v>38</v>
      </c>
      <c r="R53" s="22" t="s">
        <v>166</v>
      </c>
    </row>
    <row r="54" spans="1:18" ht="84.95" customHeight="1" x14ac:dyDescent="0.25">
      <c r="A54" s="3" t="s">
        <v>158</v>
      </c>
      <c r="B54" s="34">
        <v>41467</v>
      </c>
      <c r="C54" s="35">
        <v>41486</v>
      </c>
      <c r="D54" s="35"/>
      <c r="E54" s="34">
        <v>41561</v>
      </c>
      <c r="F54" s="35">
        <v>41624</v>
      </c>
      <c r="G54" s="36" t="str">
        <f>+"31-JAN-2013"</f>
        <v>31-JAN-2013</v>
      </c>
      <c r="H54" s="63">
        <f t="shared" si="0"/>
        <v>690</v>
      </c>
      <c r="I54" s="3" t="str">
        <f>+""</f>
        <v/>
      </c>
      <c r="J54" s="38"/>
      <c r="K54" s="3"/>
      <c r="L54" s="35">
        <v>41529</v>
      </c>
      <c r="M54" s="3" t="s">
        <v>11</v>
      </c>
      <c r="N54" s="3" t="s">
        <v>159</v>
      </c>
      <c r="O54" s="3" t="s">
        <v>15</v>
      </c>
      <c r="P54" s="3" t="s">
        <v>16</v>
      </c>
      <c r="Q54" s="3" t="s">
        <v>23</v>
      </c>
      <c r="R54" s="22" t="s">
        <v>160</v>
      </c>
    </row>
    <row r="55" spans="1:18" ht="84.95" customHeight="1" x14ac:dyDescent="0.25">
      <c r="A55" s="3" t="s">
        <v>156</v>
      </c>
      <c r="B55" s="34">
        <v>41423</v>
      </c>
      <c r="C55" s="35">
        <v>41498</v>
      </c>
      <c r="D55" s="35"/>
      <c r="E55" s="34">
        <v>41592</v>
      </c>
      <c r="F55" s="35">
        <v>41627</v>
      </c>
      <c r="G55" s="36" t="str">
        <f>+"31-JAN-2013"</f>
        <v>31-JAN-2013</v>
      </c>
      <c r="H55" s="63">
        <f t="shared" si="0"/>
        <v>690</v>
      </c>
      <c r="I55" s="3" t="str">
        <f>+""</f>
        <v/>
      </c>
      <c r="J55" s="38"/>
      <c r="K55" s="3"/>
      <c r="L55" s="35"/>
      <c r="M55" s="3" t="s">
        <v>21</v>
      </c>
      <c r="N55" s="3" t="s">
        <v>157</v>
      </c>
      <c r="O55" s="3" t="s">
        <v>15</v>
      </c>
      <c r="P55" s="3" t="s">
        <v>27</v>
      </c>
      <c r="Q55" s="3" t="s">
        <v>17</v>
      </c>
      <c r="R55" s="22" t="s">
        <v>583</v>
      </c>
    </row>
    <row r="56" spans="1:18" ht="84.95" customHeight="1" x14ac:dyDescent="0.25">
      <c r="A56" s="3" t="s">
        <v>161</v>
      </c>
      <c r="B56" s="34" t="s">
        <v>539</v>
      </c>
      <c r="C56" s="35" t="s">
        <v>539</v>
      </c>
      <c r="D56" s="35"/>
      <c r="E56" s="34" t="s">
        <v>539</v>
      </c>
      <c r="F56" s="35">
        <v>41717</v>
      </c>
      <c r="G56" s="36" t="str">
        <f>+"05-FEB-2013"</f>
        <v>05-FEB-2013</v>
      </c>
      <c r="H56" s="63">
        <f t="shared" si="0"/>
        <v>685</v>
      </c>
      <c r="I56" s="3" t="str">
        <f>+""</f>
        <v/>
      </c>
      <c r="J56" s="38"/>
      <c r="K56" s="3"/>
      <c r="L56" s="35"/>
      <c r="M56" s="3" t="s">
        <v>11</v>
      </c>
      <c r="N56" s="3" t="s">
        <v>162</v>
      </c>
      <c r="O56" s="3" t="s">
        <v>15</v>
      </c>
      <c r="P56" s="3" t="s">
        <v>27</v>
      </c>
      <c r="Q56" s="3" t="s">
        <v>17</v>
      </c>
      <c r="R56" s="22" t="s">
        <v>163</v>
      </c>
    </row>
    <row r="57" spans="1:18" ht="84.95" customHeight="1" x14ac:dyDescent="0.25">
      <c r="A57" s="3" t="s">
        <v>377</v>
      </c>
      <c r="B57" s="34" t="s">
        <v>539</v>
      </c>
      <c r="C57" s="35" t="s">
        <v>539</v>
      </c>
      <c r="D57" s="35"/>
      <c r="E57" s="34" t="s">
        <v>539</v>
      </c>
      <c r="F57" s="35" t="s">
        <v>539</v>
      </c>
      <c r="G57" s="36" t="str">
        <f>+"07-FEB-2013"</f>
        <v>07-FEB-2013</v>
      </c>
      <c r="H57" s="63">
        <f t="shared" si="0"/>
        <v>683</v>
      </c>
      <c r="I57" s="3" t="str">
        <f>+""</f>
        <v/>
      </c>
      <c r="J57" s="38"/>
      <c r="K57" s="3"/>
      <c r="L57" s="35"/>
      <c r="M57" s="3" t="s">
        <v>11</v>
      </c>
      <c r="N57" s="3" t="s">
        <v>378</v>
      </c>
      <c r="O57" s="3" t="s">
        <v>15</v>
      </c>
      <c r="P57" s="3" t="s">
        <v>27</v>
      </c>
      <c r="Q57" s="3" t="s">
        <v>17</v>
      </c>
      <c r="R57" s="22" t="s">
        <v>655</v>
      </c>
    </row>
    <row r="58" spans="1:18" ht="84.95" customHeight="1" x14ac:dyDescent="0.25">
      <c r="A58" s="3" t="s">
        <v>504</v>
      </c>
      <c r="B58" s="34">
        <v>41360</v>
      </c>
      <c r="C58" s="35">
        <v>41396</v>
      </c>
      <c r="D58" s="35"/>
      <c r="E58" s="34" t="s">
        <v>539</v>
      </c>
      <c r="F58" s="35">
        <v>41526</v>
      </c>
      <c r="G58" s="36" t="str">
        <f>+"13-FEB-2013"</f>
        <v>13-FEB-2013</v>
      </c>
      <c r="H58" s="63">
        <f t="shared" si="0"/>
        <v>677</v>
      </c>
      <c r="I58" s="3" t="str">
        <f>+""</f>
        <v/>
      </c>
      <c r="J58" s="38"/>
      <c r="K58" s="3"/>
      <c r="L58" s="35"/>
      <c r="M58" s="3" t="s">
        <v>11</v>
      </c>
      <c r="N58" s="3" t="s">
        <v>505</v>
      </c>
      <c r="O58" s="3" t="s">
        <v>15</v>
      </c>
      <c r="P58" s="3" t="s">
        <v>67</v>
      </c>
      <c r="Q58" s="3" t="s">
        <v>38</v>
      </c>
      <c r="R58" s="22" t="s">
        <v>189</v>
      </c>
    </row>
    <row r="59" spans="1:18" ht="104.25" customHeight="1" x14ac:dyDescent="0.25">
      <c r="A59" s="3" t="s">
        <v>379</v>
      </c>
      <c r="B59" s="34" t="s">
        <v>539</v>
      </c>
      <c r="C59" s="35" t="s">
        <v>539</v>
      </c>
      <c r="D59" s="35"/>
      <c r="E59" s="34" t="s">
        <v>539</v>
      </c>
      <c r="F59" s="35" t="s">
        <v>539</v>
      </c>
      <c r="G59" s="36" t="str">
        <f>+"19-FEB-2013"</f>
        <v>19-FEB-2013</v>
      </c>
      <c r="H59" s="63">
        <f t="shared" si="0"/>
        <v>671</v>
      </c>
      <c r="I59" s="3" t="str">
        <f>+""</f>
        <v/>
      </c>
      <c r="J59" s="38"/>
      <c r="K59" s="3"/>
      <c r="L59" s="35"/>
      <c r="M59" s="3" t="s">
        <v>11</v>
      </c>
      <c r="N59" s="3" t="s">
        <v>380</v>
      </c>
      <c r="O59" s="3" t="s">
        <v>15</v>
      </c>
      <c r="P59" s="3" t="s">
        <v>16</v>
      </c>
      <c r="Q59" s="3" t="s">
        <v>23</v>
      </c>
      <c r="R59" s="22" t="s">
        <v>150</v>
      </c>
    </row>
    <row r="60" spans="1:18" ht="84.95" customHeight="1" x14ac:dyDescent="0.25">
      <c r="A60" s="3" t="s">
        <v>506</v>
      </c>
      <c r="B60" s="34">
        <v>41522</v>
      </c>
      <c r="C60" s="35">
        <v>41530</v>
      </c>
      <c r="D60" s="35"/>
      <c r="E60" s="34" t="s">
        <v>539</v>
      </c>
      <c r="F60" s="35" t="s">
        <v>539</v>
      </c>
      <c r="G60" s="36" t="str">
        <f>+"28-FEB-2013"</f>
        <v>28-FEB-2013</v>
      </c>
      <c r="H60" s="63">
        <f t="shared" si="0"/>
        <v>662</v>
      </c>
      <c r="I60" s="3" t="str">
        <f>+""</f>
        <v/>
      </c>
      <c r="J60" s="38"/>
      <c r="K60" s="3"/>
      <c r="L60" s="35"/>
      <c r="M60" s="3" t="s">
        <v>11</v>
      </c>
      <c r="N60" s="3" t="s">
        <v>507</v>
      </c>
      <c r="O60" s="3" t="s">
        <v>15</v>
      </c>
      <c r="P60" s="3" t="s">
        <v>16</v>
      </c>
      <c r="Q60" s="3" t="s">
        <v>23</v>
      </c>
      <c r="R60" s="22" t="s">
        <v>79</v>
      </c>
    </row>
    <row r="61" spans="1:18" ht="84.95" customHeight="1" x14ac:dyDescent="0.25">
      <c r="A61" s="3" t="s">
        <v>164</v>
      </c>
      <c r="B61" s="34">
        <v>41501</v>
      </c>
      <c r="C61" s="35">
        <v>41551</v>
      </c>
      <c r="D61" s="35"/>
      <c r="E61" s="34">
        <v>41660</v>
      </c>
      <c r="F61" s="35">
        <v>41717</v>
      </c>
      <c r="G61" s="36" t="str">
        <f>+"28-FEB-2013"</f>
        <v>28-FEB-2013</v>
      </c>
      <c r="H61" s="63">
        <f t="shared" si="0"/>
        <v>662</v>
      </c>
      <c r="I61" s="3" t="str">
        <f>+""</f>
        <v/>
      </c>
      <c r="J61" s="38"/>
      <c r="K61" s="3"/>
      <c r="L61" s="35"/>
      <c r="M61" s="3" t="s">
        <v>11</v>
      </c>
      <c r="N61" s="3" t="s">
        <v>165</v>
      </c>
      <c r="O61" s="3" t="s">
        <v>15</v>
      </c>
      <c r="P61" s="3" t="s">
        <v>16</v>
      </c>
      <c r="Q61" s="3" t="s">
        <v>23</v>
      </c>
      <c r="R61" s="22" t="s">
        <v>49</v>
      </c>
    </row>
    <row r="62" spans="1:18" ht="84.95" customHeight="1" x14ac:dyDescent="0.25">
      <c r="A62" s="3" t="s">
        <v>169</v>
      </c>
      <c r="B62" s="34">
        <v>41474</v>
      </c>
      <c r="C62" s="35" t="s">
        <v>539</v>
      </c>
      <c r="D62" s="35"/>
      <c r="E62" s="34" t="s">
        <v>539</v>
      </c>
      <c r="F62" s="35" t="s">
        <v>539</v>
      </c>
      <c r="G62" s="36" t="str">
        <f>+"01-MAR-2013"</f>
        <v>01-MAR-2013</v>
      </c>
      <c r="H62" s="63">
        <f t="shared" si="0"/>
        <v>661</v>
      </c>
      <c r="I62" s="3" t="str">
        <f>+""</f>
        <v/>
      </c>
      <c r="J62" s="38"/>
      <c r="K62" s="3"/>
      <c r="L62" s="35"/>
      <c r="M62" s="3" t="s">
        <v>21</v>
      </c>
      <c r="N62" s="3" t="s">
        <v>170</v>
      </c>
      <c r="O62" s="3" t="s">
        <v>15</v>
      </c>
      <c r="P62" s="3" t="s">
        <v>27</v>
      </c>
      <c r="Q62" s="3" t="s">
        <v>17</v>
      </c>
      <c r="R62" s="22" t="s">
        <v>147</v>
      </c>
    </row>
    <row r="63" spans="1:18" ht="84.95" customHeight="1" x14ac:dyDescent="0.25">
      <c r="A63" s="3" t="s">
        <v>171</v>
      </c>
      <c r="B63" s="34" t="s">
        <v>539</v>
      </c>
      <c r="C63" s="35" t="s">
        <v>539</v>
      </c>
      <c r="D63" s="35"/>
      <c r="E63" s="34" t="s">
        <v>539</v>
      </c>
      <c r="F63" s="35" t="s">
        <v>539</v>
      </c>
      <c r="G63" s="36" t="str">
        <f>+"04-MAR-2013"</f>
        <v>04-MAR-2013</v>
      </c>
      <c r="H63" s="63">
        <f t="shared" si="0"/>
        <v>658</v>
      </c>
      <c r="I63" s="3" t="str">
        <f>+""</f>
        <v/>
      </c>
      <c r="J63" s="38"/>
      <c r="K63" s="3"/>
      <c r="L63" s="35"/>
      <c r="M63" s="3" t="s">
        <v>21</v>
      </c>
      <c r="N63" s="3" t="s">
        <v>172</v>
      </c>
      <c r="O63" s="3" t="s">
        <v>15</v>
      </c>
      <c r="P63" s="3" t="s">
        <v>27</v>
      </c>
      <c r="Q63" s="3" t="s">
        <v>17</v>
      </c>
      <c r="R63" s="22" t="s">
        <v>99</v>
      </c>
    </row>
    <row r="64" spans="1:18" ht="84.95" customHeight="1" x14ac:dyDescent="0.25">
      <c r="A64" s="3" t="s">
        <v>167</v>
      </c>
      <c r="B64" s="34">
        <v>41467</v>
      </c>
      <c r="C64" s="35">
        <v>41486</v>
      </c>
      <c r="D64" s="35"/>
      <c r="E64" s="34">
        <v>41561</v>
      </c>
      <c r="F64" s="35">
        <v>41624</v>
      </c>
      <c r="G64" s="36" t="str">
        <f>+"15-MAR-2013"</f>
        <v>15-MAR-2013</v>
      </c>
      <c r="H64" s="63">
        <f t="shared" si="0"/>
        <v>647</v>
      </c>
      <c r="I64" s="3" t="str">
        <f>+""</f>
        <v/>
      </c>
      <c r="J64" s="38"/>
      <c r="K64" s="3"/>
      <c r="L64" s="35">
        <v>41529</v>
      </c>
      <c r="M64" s="3" t="s">
        <v>11</v>
      </c>
      <c r="N64" s="3" t="s">
        <v>168</v>
      </c>
      <c r="O64" s="3" t="s">
        <v>15</v>
      </c>
      <c r="P64" s="3" t="s">
        <v>16</v>
      </c>
      <c r="Q64" s="3" t="s">
        <v>23</v>
      </c>
      <c r="R64" s="22" t="s">
        <v>160</v>
      </c>
    </row>
    <row r="65" spans="1:18" ht="84.95" customHeight="1" x14ac:dyDescent="0.25">
      <c r="A65" s="3" t="s">
        <v>175</v>
      </c>
      <c r="B65" s="34">
        <v>41467</v>
      </c>
      <c r="C65" s="35">
        <v>41486</v>
      </c>
      <c r="D65" s="35"/>
      <c r="E65" s="34">
        <v>41561</v>
      </c>
      <c r="F65" s="35">
        <v>41624</v>
      </c>
      <c r="G65" s="36" t="str">
        <f>+"18-MAR-2013"</f>
        <v>18-MAR-2013</v>
      </c>
      <c r="H65" s="63">
        <f t="shared" si="0"/>
        <v>644</v>
      </c>
      <c r="I65" s="3" t="str">
        <f>+""</f>
        <v/>
      </c>
      <c r="J65" s="38"/>
      <c r="K65" s="3"/>
      <c r="L65" s="35">
        <v>41529</v>
      </c>
      <c r="M65" s="3" t="s">
        <v>11</v>
      </c>
      <c r="N65" s="3" t="s">
        <v>176</v>
      </c>
      <c r="O65" s="3" t="s">
        <v>15</v>
      </c>
      <c r="P65" s="3" t="s">
        <v>16</v>
      </c>
      <c r="Q65" s="3" t="s">
        <v>23</v>
      </c>
      <c r="R65" s="22" t="s">
        <v>160</v>
      </c>
    </row>
    <row r="66" spans="1:18" ht="84.95" customHeight="1" x14ac:dyDescent="0.25">
      <c r="A66" s="3" t="s">
        <v>173</v>
      </c>
      <c r="B66" s="34">
        <v>41467</v>
      </c>
      <c r="C66" s="35">
        <v>41486</v>
      </c>
      <c r="D66" s="35"/>
      <c r="E66" s="34">
        <v>41561</v>
      </c>
      <c r="F66" s="35">
        <v>41624</v>
      </c>
      <c r="G66" s="36" t="str">
        <f>+"19-MAR-2013"</f>
        <v>19-MAR-2013</v>
      </c>
      <c r="H66" s="63">
        <f t="shared" ref="H66:H129" si="1">DATE(2014, 12, 22) - G66</f>
        <v>643</v>
      </c>
      <c r="I66" s="3" t="str">
        <f>+""</f>
        <v/>
      </c>
      <c r="J66" s="38"/>
      <c r="K66" s="3"/>
      <c r="L66" s="35">
        <v>41529</v>
      </c>
      <c r="M66" s="3" t="s">
        <v>11</v>
      </c>
      <c r="N66" s="3" t="s">
        <v>174</v>
      </c>
      <c r="O66" s="3" t="s">
        <v>15</v>
      </c>
      <c r="P66" s="3" t="s">
        <v>16</v>
      </c>
      <c r="Q66" s="3" t="s">
        <v>23</v>
      </c>
      <c r="R66" s="22" t="s">
        <v>160</v>
      </c>
    </row>
    <row r="67" spans="1:18" ht="84.95" customHeight="1" x14ac:dyDescent="0.25">
      <c r="A67" s="3" t="s">
        <v>510</v>
      </c>
      <c r="B67" s="34">
        <v>41443</v>
      </c>
      <c r="C67" s="35">
        <v>41487</v>
      </c>
      <c r="D67" s="35"/>
      <c r="E67" s="34">
        <v>42024</v>
      </c>
      <c r="F67" s="35" t="s">
        <v>539</v>
      </c>
      <c r="G67" s="36" t="str">
        <f>+"21-MAR-2013"</f>
        <v>21-MAR-2013</v>
      </c>
      <c r="H67" s="63">
        <f t="shared" si="1"/>
        <v>641</v>
      </c>
      <c r="I67" s="3" t="str">
        <f>+""</f>
        <v/>
      </c>
      <c r="J67" s="38"/>
      <c r="K67" s="3"/>
      <c r="L67" s="35"/>
      <c r="M67" s="3" t="s">
        <v>11</v>
      </c>
      <c r="N67" s="3" t="s">
        <v>511</v>
      </c>
      <c r="O67" s="3" t="s">
        <v>15</v>
      </c>
      <c r="P67" s="3" t="s">
        <v>16</v>
      </c>
      <c r="Q67" s="3" t="s">
        <v>43</v>
      </c>
      <c r="R67" s="22" t="s">
        <v>35</v>
      </c>
    </row>
    <row r="68" spans="1:18" ht="84.95" customHeight="1" x14ac:dyDescent="0.25">
      <c r="A68" s="3" t="s">
        <v>508</v>
      </c>
      <c r="B68" s="34" t="s">
        <v>539</v>
      </c>
      <c r="C68" s="35" t="s">
        <v>539</v>
      </c>
      <c r="D68" s="35"/>
      <c r="E68" s="34" t="s">
        <v>539</v>
      </c>
      <c r="F68" s="35" t="s">
        <v>539</v>
      </c>
      <c r="G68" s="36" t="str">
        <f>+"21-MAR-2013"</f>
        <v>21-MAR-2013</v>
      </c>
      <c r="H68" s="63">
        <f t="shared" si="1"/>
        <v>641</v>
      </c>
      <c r="I68" s="3" t="str">
        <f>+""</f>
        <v/>
      </c>
      <c r="J68" s="38"/>
      <c r="K68" s="3"/>
      <c r="L68" s="35"/>
      <c r="M68" s="3" t="s">
        <v>21</v>
      </c>
      <c r="N68" s="3" t="s">
        <v>509</v>
      </c>
      <c r="O68" s="3" t="s">
        <v>15</v>
      </c>
      <c r="P68" s="3" t="s">
        <v>27</v>
      </c>
      <c r="Q68" s="3" t="s">
        <v>17</v>
      </c>
      <c r="R68" s="22" t="s">
        <v>79</v>
      </c>
    </row>
    <row r="69" spans="1:18" ht="84.95" customHeight="1" x14ac:dyDescent="0.25">
      <c r="A69" s="3" t="s">
        <v>437</v>
      </c>
      <c r="B69" s="34">
        <v>41285</v>
      </c>
      <c r="C69" s="35">
        <v>41799</v>
      </c>
      <c r="D69" s="35"/>
      <c r="E69" s="34">
        <v>41470</v>
      </c>
      <c r="F69" s="35">
        <v>41544</v>
      </c>
      <c r="G69" s="36" t="str">
        <f>+"21-MAR-2013"</f>
        <v>21-MAR-2013</v>
      </c>
      <c r="H69" s="63">
        <f t="shared" si="1"/>
        <v>641</v>
      </c>
      <c r="I69" s="3" t="str">
        <f>+""</f>
        <v/>
      </c>
      <c r="J69" s="38"/>
      <c r="K69" s="3"/>
      <c r="L69" s="35">
        <v>41544</v>
      </c>
      <c r="M69" s="3" t="s">
        <v>11</v>
      </c>
      <c r="N69" s="3" t="s">
        <v>438</v>
      </c>
      <c r="O69" s="3" t="s">
        <v>15</v>
      </c>
      <c r="P69" s="3" t="s">
        <v>16</v>
      </c>
      <c r="Q69" s="3" t="s">
        <v>23</v>
      </c>
      <c r="R69" s="22" t="s">
        <v>143</v>
      </c>
    </row>
    <row r="70" spans="1:18" ht="84.95" customHeight="1" x14ac:dyDescent="0.25">
      <c r="A70" s="3" t="s">
        <v>177</v>
      </c>
      <c r="B70" s="34">
        <v>41414</v>
      </c>
      <c r="C70" s="35">
        <v>41432</v>
      </c>
      <c r="D70" s="35"/>
      <c r="E70" s="34">
        <v>41652</v>
      </c>
      <c r="F70" s="35">
        <v>41688</v>
      </c>
      <c r="G70" s="36" t="str">
        <f>+"02-APR-2013"</f>
        <v>02-APR-2013</v>
      </c>
      <c r="H70" s="63">
        <f t="shared" si="1"/>
        <v>629</v>
      </c>
      <c r="I70" s="3" t="str">
        <f>+""</f>
        <v/>
      </c>
      <c r="J70" s="38"/>
      <c r="K70" s="3"/>
      <c r="L70" s="35"/>
      <c r="M70" s="3" t="s">
        <v>11</v>
      </c>
      <c r="N70" s="3" t="s">
        <v>178</v>
      </c>
      <c r="O70" s="3" t="s">
        <v>15</v>
      </c>
      <c r="P70" s="3" t="s">
        <v>16</v>
      </c>
      <c r="Q70" s="3" t="s">
        <v>23</v>
      </c>
      <c r="R70" s="22" t="s">
        <v>79</v>
      </c>
    </row>
    <row r="71" spans="1:18" ht="111.75" customHeight="1" x14ac:dyDescent="0.25">
      <c r="A71" s="3" t="s">
        <v>381</v>
      </c>
      <c r="B71" s="34">
        <v>41695</v>
      </c>
      <c r="C71" s="35">
        <v>42017</v>
      </c>
      <c r="D71" s="35"/>
      <c r="E71" s="34" t="s">
        <v>539</v>
      </c>
      <c r="F71" s="35">
        <v>41716</v>
      </c>
      <c r="G71" s="36" t="str">
        <f>+"11-APR-2013"</f>
        <v>11-APR-2013</v>
      </c>
      <c r="H71" s="63">
        <f t="shared" si="1"/>
        <v>620</v>
      </c>
      <c r="I71" s="3" t="str">
        <f>+""</f>
        <v/>
      </c>
      <c r="J71" s="38"/>
      <c r="K71" s="3"/>
      <c r="L71" s="35"/>
      <c r="M71" s="3" t="s">
        <v>11</v>
      </c>
      <c r="N71" s="3" t="s">
        <v>382</v>
      </c>
      <c r="O71" s="3" t="s">
        <v>15</v>
      </c>
      <c r="P71" s="3" t="s">
        <v>27</v>
      </c>
      <c r="Q71" s="3" t="s">
        <v>23</v>
      </c>
      <c r="R71" s="22" t="s">
        <v>35</v>
      </c>
    </row>
    <row r="72" spans="1:18" ht="84.95" customHeight="1" x14ac:dyDescent="0.25">
      <c r="A72" s="3" t="s">
        <v>179</v>
      </c>
      <c r="B72" s="34">
        <v>41428</v>
      </c>
      <c r="C72" s="35">
        <v>41467</v>
      </c>
      <c r="D72" s="35"/>
      <c r="E72" s="34">
        <v>41921</v>
      </c>
      <c r="F72" s="35" t="s">
        <v>539</v>
      </c>
      <c r="G72" s="36" t="str">
        <f>+"18-APR-2013"</f>
        <v>18-APR-2013</v>
      </c>
      <c r="H72" s="63">
        <f t="shared" si="1"/>
        <v>613</v>
      </c>
      <c r="I72" s="3" t="str">
        <f>+""</f>
        <v/>
      </c>
      <c r="J72" s="38"/>
      <c r="K72" s="3"/>
      <c r="L72" s="35"/>
      <c r="M72" s="3" t="s">
        <v>11</v>
      </c>
      <c r="N72" s="3" t="s">
        <v>180</v>
      </c>
      <c r="O72" s="3" t="s">
        <v>15</v>
      </c>
      <c r="P72" s="3" t="s">
        <v>13</v>
      </c>
      <c r="Q72" s="3" t="s">
        <v>43</v>
      </c>
      <c r="R72" s="22" t="s">
        <v>18</v>
      </c>
    </row>
    <row r="73" spans="1:18" ht="84.95" customHeight="1" x14ac:dyDescent="0.25">
      <c r="A73" s="3" t="s">
        <v>185</v>
      </c>
      <c r="B73" s="34">
        <v>41464</v>
      </c>
      <c r="C73" s="35">
        <v>41488</v>
      </c>
      <c r="D73" s="35"/>
      <c r="E73" s="34">
        <v>41596</v>
      </c>
      <c r="F73" s="35">
        <v>41800</v>
      </c>
      <c r="G73" s="36" t="str">
        <f>+"24-MAY-2013"</f>
        <v>24-MAY-2013</v>
      </c>
      <c r="H73" s="63">
        <f t="shared" si="1"/>
        <v>577</v>
      </c>
      <c r="I73" s="3" t="str">
        <f>+""</f>
        <v/>
      </c>
      <c r="J73" s="38"/>
      <c r="K73" s="3"/>
      <c r="L73" s="35"/>
      <c r="M73" s="3" t="s">
        <v>11</v>
      </c>
      <c r="N73" s="3" t="s">
        <v>186</v>
      </c>
      <c r="O73" s="3" t="s">
        <v>15</v>
      </c>
      <c r="P73" s="3" t="s">
        <v>19</v>
      </c>
      <c r="Q73" s="3" t="s">
        <v>17</v>
      </c>
      <c r="R73" s="22" t="s">
        <v>79</v>
      </c>
    </row>
    <row r="74" spans="1:18" ht="84.95" customHeight="1" x14ac:dyDescent="0.25">
      <c r="A74" s="3" t="s">
        <v>183</v>
      </c>
      <c r="B74" s="34">
        <v>41464</v>
      </c>
      <c r="C74" s="35">
        <v>41486</v>
      </c>
      <c r="D74" s="35"/>
      <c r="E74" s="34" t="s">
        <v>539</v>
      </c>
      <c r="F74" s="35" t="s">
        <v>539</v>
      </c>
      <c r="G74" s="36" t="str">
        <f>+"31-MAY-2013"</f>
        <v>31-MAY-2013</v>
      </c>
      <c r="H74" s="63">
        <f t="shared" si="1"/>
        <v>570</v>
      </c>
      <c r="I74" s="3" t="str">
        <f>+""</f>
        <v/>
      </c>
      <c r="J74" s="38"/>
      <c r="K74" s="3"/>
      <c r="L74" s="35"/>
      <c r="M74" s="3" t="s">
        <v>11</v>
      </c>
      <c r="N74" s="3" t="s">
        <v>184</v>
      </c>
      <c r="O74" s="3" t="s">
        <v>15</v>
      </c>
      <c r="P74" s="3" t="s">
        <v>16</v>
      </c>
      <c r="Q74" s="3" t="s">
        <v>23</v>
      </c>
      <c r="R74" s="22" t="s">
        <v>79</v>
      </c>
    </row>
    <row r="75" spans="1:18" ht="84.95" customHeight="1" x14ac:dyDescent="0.25">
      <c r="A75" s="3" t="s">
        <v>187</v>
      </c>
      <c r="B75" s="34">
        <v>41509</v>
      </c>
      <c r="C75" s="35">
        <v>41520</v>
      </c>
      <c r="D75" s="35"/>
      <c r="E75" s="34" t="s">
        <v>539</v>
      </c>
      <c r="F75" s="35">
        <v>41719</v>
      </c>
      <c r="G75" s="36" t="str">
        <f>+"13-JUN-2013"</f>
        <v>13-JUN-2013</v>
      </c>
      <c r="H75" s="63">
        <f t="shared" si="1"/>
        <v>557</v>
      </c>
      <c r="I75" s="3" t="str">
        <f>+""</f>
        <v/>
      </c>
      <c r="J75" s="38"/>
      <c r="K75" s="3"/>
      <c r="L75" s="35"/>
      <c r="M75" s="3" t="s">
        <v>11</v>
      </c>
      <c r="N75" s="3" t="s">
        <v>188</v>
      </c>
      <c r="O75" s="3" t="s">
        <v>15</v>
      </c>
      <c r="P75" s="3" t="s">
        <v>67</v>
      </c>
      <c r="Q75" s="3" t="s">
        <v>23</v>
      </c>
      <c r="R75" s="22" t="s">
        <v>189</v>
      </c>
    </row>
    <row r="76" spans="1:18" ht="105" customHeight="1" x14ac:dyDescent="0.25">
      <c r="A76" s="3" t="s">
        <v>442</v>
      </c>
      <c r="B76" s="34" t="s">
        <v>558</v>
      </c>
      <c r="C76" s="35" t="s">
        <v>539</v>
      </c>
      <c r="D76" s="35"/>
      <c r="E76" s="34">
        <v>41765</v>
      </c>
      <c r="F76" s="35" t="s">
        <v>539</v>
      </c>
      <c r="G76" s="36" t="str">
        <f>+"27-JUN-2013"</f>
        <v>27-JUN-2013</v>
      </c>
      <c r="H76" s="63">
        <f t="shared" si="1"/>
        <v>543</v>
      </c>
      <c r="I76" s="3" t="str">
        <f>+""</f>
        <v/>
      </c>
      <c r="J76" s="38"/>
      <c r="K76" s="3"/>
      <c r="L76" s="35"/>
      <c r="M76" s="3" t="s">
        <v>21</v>
      </c>
      <c r="N76" s="3" t="s">
        <v>443</v>
      </c>
      <c r="O76" s="3" t="s">
        <v>15</v>
      </c>
      <c r="P76" s="3" t="s">
        <v>98</v>
      </c>
      <c r="Q76" s="3" t="s">
        <v>23</v>
      </c>
      <c r="R76" s="22" t="s">
        <v>79</v>
      </c>
    </row>
    <row r="77" spans="1:18" ht="84.95" customHeight="1" x14ac:dyDescent="0.25">
      <c r="A77" s="3" t="s">
        <v>193</v>
      </c>
      <c r="B77" s="34" t="s">
        <v>539</v>
      </c>
      <c r="C77" s="35" t="s">
        <v>539</v>
      </c>
      <c r="D77" s="35"/>
      <c r="E77" s="34" t="s">
        <v>539</v>
      </c>
      <c r="F77" s="35" t="s">
        <v>539</v>
      </c>
      <c r="G77" s="36" t="str">
        <f>+"28-JUN-2013"</f>
        <v>28-JUN-2013</v>
      </c>
      <c r="H77" s="63">
        <f t="shared" si="1"/>
        <v>542</v>
      </c>
      <c r="I77" s="3" t="str">
        <f>+""</f>
        <v/>
      </c>
      <c r="J77" s="38"/>
      <c r="K77" s="3"/>
      <c r="L77" s="35"/>
      <c r="M77" s="3" t="s">
        <v>11</v>
      </c>
      <c r="N77" s="3" t="s">
        <v>194</v>
      </c>
      <c r="O77" s="3" t="s">
        <v>15</v>
      </c>
      <c r="P77" s="3" t="s">
        <v>16</v>
      </c>
      <c r="Q77" s="3" t="s">
        <v>38</v>
      </c>
      <c r="R77" s="22" t="s">
        <v>166</v>
      </c>
    </row>
    <row r="78" spans="1:18" ht="84.95" customHeight="1" x14ac:dyDescent="0.25">
      <c r="A78" s="3" t="s">
        <v>195</v>
      </c>
      <c r="B78" s="34">
        <v>41660</v>
      </c>
      <c r="C78" s="35">
        <v>41600</v>
      </c>
      <c r="D78" s="35"/>
      <c r="E78" s="34">
        <v>41809</v>
      </c>
      <c r="F78" s="35">
        <v>41811</v>
      </c>
      <c r="G78" s="36" t="str">
        <f>+"01-JUL-2013"</f>
        <v>01-JUL-2013</v>
      </c>
      <c r="H78" s="63">
        <f t="shared" si="1"/>
        <v>539</v>
      </c>
      <c r="I78" s="3" t="str">
        <f>+""</f>
        <v/>
      </c>
      <c r="J78" s="38"/>
      <c r="K78" s="3"/>
      <c r="L78" s="35"/>
      <c r="M78" s="3" t="s">
        <v>11</v>
      </c>
      <c r="N78" s="3" t="s">
        <v>196</v>
      </c>
      <c r="O78" s="3" t="s">
        <v>15</v>
      </c>
      <c r="P78" s="3" t="s">
        <v>19</v>
      </c>
      <c r="Q78" s="3" t="s">
        <v>38</v>
      </c>
      <c r="R78" s="22" t="s">
        <v>99</v>
      </c>
    </row>
    <row r="79" spans="1:18" ht="84.95" customHeight="1" x14ac:dyDescent="0.25">
      <c r="A79" s="3" t="s">
        <v>383</v>
      </c>
      <c r="B79" s="34">
        <v>41863</v>
      </c>
      <c r="C79" s="35" t="s">
        <v>539</v>
      </c>
      <c r="D79" s="35"/>
      <c r="E79" s="34">
        <v>42046</v>
      </c>
      <c r="F79" s="35" t="s">
        <v>539</v>
      </c>
      <c r="G79" s="36" t="str">
        <f>+"12-JUL-2013"</f>
        <v>12-JUL-2013</v>
      </c>
      <c r="H79" s="63">
        <f t="shared" si="1"/>
        <v>528</v>
      </c>
      <c r="I79" s="3" t="str">
        <f>+""</f>
        <v/>
      </c>
      <c r="J79" s="38"/>
      <c r="K79" s="3"/>
      <c r="L79" s="35"/>
      <c r="M79" s="3" t="s">
        <v>11</v>
      </c>
      <c r="N79" s="3" t="s">
        <v>384</v>
      </c>
      <c r="O79" s="3" t="s">
        <v>15</v>
      </c>
      <c r="P79" s="3" t="s">
        <v>27</v>
      </c>
      <c r="Q79" s="3" t="s">
        <v>17</v>
      </c>
      <c r="R79" s="22" t="s">
        <v>30</v>
      </c>
    </row>
    <row r="80" spans="1:18" ht="84.95" customHeight="1" x14ac:dyDescent="0.25">
      <c r="A80" s="3" t="s">
        <v>385</v>
      </c>
      <c r="B80" s="34" t="s">
        <v>539</v>
      </c>
      <c r="C80" s="35" t="s">
        <v>539</v>
      </c>
      <c r="D80" s="35"/>
      <c r="E80" s="34" t="s">
        <v>539</v>
      </c>
      <c r="F80" s="35" t="s">
        <v>539</v>
      </c>
      <c r="G80" s="36" t="str">
        <f>+"05-AUG-2013"</f>
        <v>05-AUG-2013</v>
      </c>
      <c r="H80" s="63">
        <f t="shared" si="1"/>
        <v>504</v>
      </c>
      <c r="I80" s="3" t="str">
        <f>+""</f>
        <v/>
      </c>
      <c r="J80" s="38"/>
      <c r="K80" s="3"/>
      <c r="L80" s="35"/>
      <c r="M80" s="3" t="s">
        <v>11</v>
      </c>
      <c r="N80" s="3" t="s">
        <v>386</v>
      </c>
      <c r="O80" s="3" t="s">
        <v>15</v>
      </c>
      <c r="P80" s="3" t="s">
        <v>98</v>
      </c>
      <c r="Q80" s="3" t="s">
        <v>38</v>
      </c>
      <c r="R80" s="22" t="s">
        <v>108</v>
      </c>
    </row>
    <row r="81" spans="1:18" ht="84.95" customHeight="1" x14ac:dyDescent="0.25">
      <c r="A81" s="3" t="s">
        <v>198</v>
      </c>
      <c r="B81" s="34" t="s">
        <v>539</v>
      </c>
      <c r="C81" s="35" t="s">
        <v>539</v>
      </c>
      <c r="D81" s="35"/>
      <c r="E81" s="34" t="s">
        <v>539</v>
      </c>
      <c r="F81" s="35" t="s">
        <v>539</v>
      </c>
      <c r="G81" s="36" t="str">
        <f>+"13-AUG-2013"</f>
        <v>13-AUG-2013</v>
      </c>
      <c r="H81" s="63">
        <f t="shared" si="1"/>
        <v>496</v>
      </c>
      <c r="I81" s="3" t="str">
        <f>+""</f>
        <v/>
      </c>
      <c r="J81" s="38"/>
      <c r="K81" s="3"/>
      <c r="L81" s="35"/>
      <c r="M81" s="3" t="s">
        <v>21</v>
      </c>
      <c r="N81" s="3" t="s">
        <v>199</v>
      </c>
      <c r="O81" s="3" t="s">
        <v>15</v>
      </c>
      <c r="P81" s="3" t="s">
        <v>16</v>
      </c>
      <c r="Q81" s="3" t="s">
        <v>38</v>
      </c>
      <c r="R81" s="22" t="s">
        <v>688</v>
      </c>
    </row>
    <row r="82" spans="1:18" ht="84.95" customHeight="1" x14ac:dyDescent="0.25">
      <c r="A82" s="3" t="s">
        <v>200</v>
      </c>
      <c r="B82" s="34">
        <v>41625</v>
      </c>
      <c r="C82" s="35" t="s">
        <v>539</v>
      </c>
      <c r="D82" s="35"/>
      <c r="E82" s="34" t="s">
        <v>539</v>
      </c>
      <c r="F82" s="35" t="s">
        <v>539</v>
      </c>
      <c r="G82" s="36" t="str">
        <f>+"28-AUG-2013"</f>
        <v>28-AUG-2013</v>
      </c>
      <c r="H82" s="63">
        <f t="shared" si="1"/>
        <v>481</v>
      </c>
      <c r="I82" s="3" t="str">
        <f>+""</f>
        <v/>
      </c>
      <c r="J82" s="38"/>
      <c r="K82" s="3"/>
      <c r="L82" s="35"/>
      <c r="M82" s="3" t="s">
        <v>11</v>
      </c>
      <c r="N82" s="3" t="s">
        <v>201</v>
      </c>
      <c r="O82" s="3" t="s">
        <v>15</v>
      </c>
      <c r="P82" s="3" t="s">
        <v>16</v>
      </c>
      <c r="Q82" s="3" t="s">
        <v>23</v>
      </c>
      <c r="R82" s="22" t="s">
        <v>166</v>
      </c>
    </row>
    <row r="83" spans="1:18" ht="84.95" customHeight="1" x14ac:dyDescent="0.25">
      <c r="A83" s="3" t="s">
        <v>204</v>
      </c>
      <c r="B83" s="34">
        <v>41575</v>
      </c>
      <c r="C83" s="35">
        <v>41585</v>
      </c>
      <c r="D83" s="35"/>
      <c r="E83" s="34" t="s">
        <v>539</v>
      </c>
      <c r="F83" s="35">
        <v>41625</v>
      </c>
      <c r="G83" s="36" t="str">
        <f>+"30-AUG-2013"</f>
        <v>30-AUG-2013</v>
      </c>
      <c r="H83" s="63">
        <f t="shared" si="1"/>
        <v>479</v>
      </c>
      <c r="I83" s="3" t="str">
        <f>+""</f>
        <v/>
      </c>
      <c r="J83" s="38"/>
      <c r="K83" s="3"/>
      <c r="L83" s="35"/>
      <c r="M83" s="3" t="s">
        <v>11</v>
      </c>
      <c r="N83" s="3" t="s">
        <v>205</v>
      </c>
      <c r="O83" s="3" t="s">
        <v>15</v>
      </c>
      <c r="P83" s="3" t="s">
        <v>16</v>
      </c>
      <c r="Q83" s="3" t="s">
        <v>38</v>
      </c>
      <c r="R83" s="22" t="s">
        <v>206</v>
      </c>
    </row>
    <row r="84" spans="1:18" ht="84.95" customHeight="1" x14ac:dyDescent="0.25">
      <c r="A84" s="3" t="s">
        <v>202</v>
      </c>
      <c r="B84" s="34">
        <v>41575</v>
      </c>
      <c r="C84" s="35">
        <v>41585</v>
      </c>
      <c r="D84" s="35"/>
      <c r="E84" s="34" t="s">
        <v>539</v>
      </c>
      <c r="F84" s="35">
        <v>41625</v>
      </c>
      <c r="G84" s="36" t="str">
        <f>+"30-AUG-2013"</f>
        <v>30-AUG-2013</v>
      </c>
      <c r="H84" s="63">
        <f t="shared" si="1"/>
        <v>479</v>
      </c>
      <c r="I84" s="3" t="str">
        <f>+""</f>
        <v/>
      </c>
      <c r="J84" s="38"/>
      <c r="K84" s="3"/>
      <c r="L84" s="35"/>
      <c r="M84" s="3" t="s">
        <v>11</v>
      </c>
      <c r="N84" s="3" t="s">
        <v>203</v>
      </c>
      <c r="O84" s="3" t="s">
        <v>15</v>
      </c>
      <c r="P84" s="3" t="s">
        <v>16</v>
      </c>
      <c r="Q84" s="3" t="s">
        <v>38</v>
      </c>
      <c r="R84" s="22" t="s">
        <v>206</v>
      </c>
    </row>
    <row r="85" spans="1:18" ht="84.95" customHeight="1" x14ac:dyDescent="0.25">
      <c r="A85" s="3" t="s">
        <v>209</v>
      </c>
      <c r="B85" s="34">
        <v>41575</v>
      </c>
      <c r="C85" s="35">
        <v>41585</v>
      </c>
      <c r="D85" s="35"/>
      <c r="E85" s="34" t="s">
        <v>539</v>
      </c>
      <c r="F85" s="35">
        <v>41625</v>
      </c>
      <c r="G85" s="36" t="str">
        <f>+"03-SEP-2013"</f>
        <v>03-SEP-2013</v>
      </c>
      <c r="H85" s="63">
        <f t="shared" si="1"/>
        <v>475</v>
      </c>
      <c r="I85" s="3" t="str">
        <f>+""</f>
        <v/>
      </c>
      <c r="J85" s="38"/>
      <c r="K85" s="3"/>
      <c r="L85" s="35"/>
      <c r="M85" s="3" t="s">
        <v>11</v>
      </c>
      <c r="N85" s="3" t="s">
        <v>210</v>
      </c>
      <c r="O85" s="3" t="s">
        <v>15</v>
      </c>
      <c r="P85" s="3" t="s">
        <v>16</v>
      </c>
      <c r="Q85" s="3" t="s">
        <v>38</v>
      </c>
      <c r="R85" s="22" t="s">
        <v>206</v>
      </c>
    </row>
    <row r="86" spans="1:18" ht="84.95" customHeight="1" x14ac:dyDescent="0.25">
      <c r="A86" s="3" t="s">
        <v>207</v>
      </c>
      <c r="B86" s="34">
        <v>41575</v>
      </c>
      <c r="C86" s="35">
        <v>41585</v>
      </c>
      <c r="D86" s="35"/>
      <c r="E86" s="34" t="s">
        <v>539</v>
      </c>
      <c r="F86" s="35">
        <v>41625</v>
      </c>
      <c r="G86" s="36" t="str">
        <f>+"03-SEP-2013"</f>
        <v>03-SEP-2013</v>
      </c>
      <c r="H86" s="63">
        <f t="shared" si="1"/>
        <v>475</v>
      </c>
      <c r="I86" s="3" t="str">
        <f>+""</f>
        <v/>
      </c>
      <c r="J86" s="38"/>
      <c r="K86" s="3"/>
      <c r="L86" s="35"/>
      <c r="M86" s="3" t="s">
        <v>11</v>
      </c>
      <c r="N86" s="3" t="s">
        <v>208</v>
      </c>
      <c r="O86" s="3" t="s">
        <v>15</v>
      </c>
      <c r="P86" s="3" t="s">
        <v>16</v>
      </c>
      <c r="Q86" s="3" t="s">
        <v>38</v>
      </c>
      <c r="R86" s="22" t="s">
        <v>206</v>
      </c>
    </row>
    <row r="87" spans="1:18" ht="84.95" customHeight="1" x14ac:dyDescent="0.25">
      <c r="A87" s="3" t="s">
        <v>211</v>
      </c>
      <c r="B87" s="34">
        <v>41575</v>
      </c>
      <c r="C87" s="35">
        <v>41585</v>
      </c>
      <c r="D87" s="35"/>
      <c r="E87" s="34" t="s">
        <v>539</v>
      </c>
      <c r="F87" s="35">
        <v>41625</v>
      </c>
      <c r="G87" s="36" t="str">
        <f>+"04-SEP-2013"</f>
        <v>04-SEP-2013</v>
      </c>
      <c r="H87" s="63">
        <f t="shared" si="1"/>
        <v>474</v>
      </c>
      <c r="I87" s="3" t="str">
        <f>+""</f>
        <v/>
      </c>
      <c r="J87" s="38"/>
      <c r="K87" s="3"/>
      <c r="L87" s="35"/>
      <c r="M87" s="3" t="s">
        <v>11</v>
      </c>
      <c r="N87" s="3" t="s">
        <v>212</v>
      </c>
      <c r="O87" s="3" t="s">
        <v>15</v>
      </c>
      <c r="P87" s="3" t="s">
        <v>16</v>
      </c>
      <c r="Q87" s="3" t="s">
        <v>38</v>
      </c>
      <c r="R87" s="22" t="s">
        <v>206</v>
      </c>
    </row>
    <row r="88" spans="1:18" ht="84.95" customHeight="1" x14ac:dyDescent="0.25">
      <c r="A88" s="3" t="s">
        <v>213</v>
      </c>
      <c r="B88" s="34">
        <v>41611</v>
      </c>
      <c r="C88" s="35">
        <v>41705</v>
      </c>
      <c r="D88" s="35"/>
      <c r="E88" s="34">
        <v>41800</v>
      </c>
      <c r="F88" s="35">
        <v>41857</v>
      </c>
      <c r="G88" s="36" t="str">
        <f>+"16-SEP-2013"</f>
        <v>16-SEP-2013</v>
      </c>
      <c r="H88" s="63">
        <f t="shared" si="1"/>
        <v>462</v>
      </c>
      <c r="I88" s="3" t="str">
        <f>+""</f>
        <v/>
      </c>
      <c r="J88" s="38"/>
      <c r="K88" s="3"/>
      <c r="L88" s="35"/>
      <c r="M88" s="3" t="s">
        <v>11</v>
      </c>
      <c r="N88" s="3" t="s">
        <v>214</v>
      </c>
      <c r="O88" s="3" t="s">
        <v>15</v>
      </c>
      <c r="P88" s="3" t="s">
        <v>67</v>
      </c>
      <c r="Q88" s="3" t="s">
        <v>38</v>
      </c>
      <c r="R88" s="22" t="s">
        <v>65</v>
      </c>
    </row>
    <row r="89" spans="1:18" ht="84.95" customHeight="1" x14ac:dyDescent="0.25">
      <c r="A89" s="3" t="s">
        <v>512</v>
      </c>
      <c r="B89" s="34">
        <v>41571</v>
      </c>
      <c r="C89" s="35">
        <v>41592</v>
      </c>
      <c r="D89" s="35"/>
      <c r="E89" s="34">
        <v>41803</v>
      </c>
      <c r="F89" s="35">
        <v>41890</v>
      </c>
      <c r="G89" s="36" t="str">
        <f>+"19-SEP-2013"</f>
        <v>19-SEP-2013</v>
      </c>
      <c r="H89" s="63">
        <f t="shared" si="1"/>
        <v>459</v>
      </c>
      <c r="I89" s="3" t="str">
        <f>+""</f>
        <v/>
      </c>
      <c r="J89" s="38"/>
      <c r="K89" s="3"/>
      <c r="L89" s="35"/>
      <c r="M89" s="3" t="s">
        <v>11</v>
      </c>
      <c r="N89" s="3" t="s">
        <v>513</v>
      </c>
      <c r="O89" s="3" t="s">
        <v>15</v>
      </c>
      <c r="P89" s="3" t="s">
        <v>16</v>
      </c>
      <c r="Q89" s="3" t="s">
        <v>14</v>
      </c>
      <c r="R89" s="22" t="s">
        <v>73</v>
      </c>
    </row>
    <row r="90" spans="1:18" ht="84.95" customHeight="1" x14ac:dyDescent="0.25">
      <c r="A90" s="3" t="s">
        <v>444</v>
      </c>
      <c r="B90" s="34">
        <v>41626</v>
      </c>
      <c r="C90" s="35">
        <v>41669</v>
      </c>
      <c r="D90" s="35"/>
      <c r="E90" s="34">
        <v>41816</v>
      </c>
      <c r="F90" s="35">
        <v>41891</v>
      </c>
      <c r="G90" s="36" t="str">
        <f>+"19-SEP-2013"</f>
        <v>19-SEP-2013</v>
      </c>
      <c r="H90" s="63">
        <f t="shared" si="1"/>
        <v>459</v>
      </c>
      <c r="I90" s="3" t="str">
        <f>+""</f>
        <v/>
      </c>
      <c r="J90" s="38"/>
      <c r="K90" s="3"/>
      <c r="L90" s="35"/>
      <c r="M90" s="3" t="s">
        <v>11</v>
      </c>
      <c r="N90" s="3" t="s">
        <v>445</v>
      </c>
      <c r="O90" s="3" t="s">
        <v>15</v>
      </c>
      <c r="P90" s="3" t="s">
        <v>52</v>
      </c>
      <c r="Q90" s="3" t="s">
        <v>43</v>
      </c>
      <c r="R90" s="22" t="s">
        <v>108</v>
      </c>
    </row>
    <row r="91" spans="1:18" ht="84.95" customHeight="1" x14ac:dyDescent="0.25">
      <c r="A91" s="3" t="s">
        <v>224</v>
      </c>
      <c r="B91" s="34">
        <v>41618</v>
      </c>
      <c r="C91" s="35">
        <v>41688</v>
      </c>
      <c r="D91" s="35"/>
      <c r="E91" s="34" t="s">
        <v>539</v>
      </c>
      <c r="F91" s="35" t="s">
        <v>539</v>
      </c>
      <c r="G91" s="36" t="str">
        <f>+"20-SEP-2013"</f>
        <v>20-SEP-2013</v>
      </c>
      <c r="H91" s="63">
        <f t="shared" si="1"/>
        <v>458</v>
      </c>
      <c r="I91" s="3" t="str">
        <f>+""</f>
        <v/>
      </c>
      <c r="J91" s="38"/>
      <c r="K91" s="3"/>
      <c r="L91" s="35"/>
      <c r="M91" s="3" t="s">
        <v>21</v>
      </c>
      <c r="N91" s="3" t="s">
        <v>666</v>
      </c>
      <c r="O91" s="3" t="s">
        <v>15</v>
      </c>
      <c r="P91" s="3" t="s">
        <v>19</v>
      </c>
      <c r="Q91" s="3" t="s">
        <v>17</v>
      </c>
      <c r="R91" s="22" t="s">
        <v>18</v>
      </c>
    </row>
    <row r="92" spans="1:18" ht="84.95" customHeight="1" x14ac:dyDescent="0.25">
      <c r="A92" s="3" t="s">
        <v>221</v>
      </c>
      <c r="B92" s="34" t="s">
        <v>539</v>
      </c>
      <c r="C92" s="35" t="s">
        <v>539</v>
      </c>
      <c r="D92" s="35"/>
      <c r="E92" s="34" t="s">
        <v>539</v>
      </c>
      <c r="F92" s="35" t="s">
        <v>539</v>
      </c>
      <c r="G92" s="36" t="str">
        <f>+"23-SEP-2013"</f>
        <v>23-SEP-2013</v>
      </c>
      <c r="H92" s="63">
        <f t="shared" si="1"/>
        <v>455</v>
      </c>
      <c r="I92" s="3" t="str">
        <f>+""</f>
        <v/>
      </c>
      <c r="J92" s="38"/>
      <c r="K92" s="3"/>
      <c r="L92" s="35"/>
      <c r="M92" s="3" t="s">
        <v>21</v>
      </c>
      <c r="N92" s="3" t="s">
        <v>222</v>
      </c>
      <c r="O92" s="3" t="s">
        <v>15</v>
      </c>
      <c r="P92" s="3" t="s">
        <v>98</v>
      </c>
      <c r="Q92" s="3" t="s">
        <v>38</v>
      </c>
      <c r="R92" s="22" t="s">
        <v>223</v>
      </c>
    </row>
    <row r="93" spans="1:18" ht="84.95" customHeight="1" x14ac:dyDescent="0.25">
      <c r="A93" s="3" t="s">
        <v>219</v>
      </c>
      <c r="B93" s="34" t="s">
        <v>539</v>
      </c>
      <c r="C93" s="35" t="s">
        <v>539</v>
      </c>
      <c r="D93" s="35"/>
      <c r="E93" s="34" t="s">
        <v>539</v>
      </c>
      <c r="F93" s="35" t="s">
        <v>539</v>
      </c>
      <c r="G93" s="36" t="str">
        <f>+"23-SEP-2013"</f>
        <v>23-SEP-2013</v>
      </c>
      <c r="H93" s="63">
        <f t="shared" si="1"/>
        <v>455</v>
      </c>
      <c r="I93" s="3" t="str">
        <f>+""</f>
        <v/>
      </c>
      <c r="J93" s="38"/>
      <c r="K93" s="3"/>
      <c r="L93" s="35"/>
      <c r="M93" s="3" t="s">
        <v>21</v>
      </c>
      <c r="N93" s="3" t="s">
        <v>220</v>
      </c>
      <c r="O93" s="3" t="s">
        <v>15</v>
      </c>
      <c r="P93" s="3" t="s">
        <v>27</v>
      </c>
      <c r="Q93" s="3" t="s">
        <v>38</v>
      </c>
      <c r="R93" s="22" t="s">
        <v>53</v>
      </c>
    </row>
    <row r="94" spans="1:18" ht="84.95" customHeight="1" x14ac:dyDescent="0.25">
      <c r="A94" s="3" t="s">
        <v>215</v>
      </c>
      <c r="B94" s="34" t="s">
        <v>539</v>
      </c>
      <c r="C94" s="35" t="s">
        <v>539</v>
      </c>
      <c r="D94" s="35"/>
      <c r="E94" s="34" t="s">
        <v>539</v>
      </c>
      <c r="F94" s="35" t="s">
        <v>539</v>
      </c>
      <c r="G94" s="36" t="str">
        <f>+"25-SEP-2013"</f>
        <v>25-SEP-2013</v>
      </c>
      <c r="H94" s="63">
        <f t="shared" si="1"/>
        <v>453</v>
      </c>
      <c r="I94" s="3" t="str">
        <f>+""</f>
        <v/>
      </c>
      <c r="J94" s="38"/>
      <c r="K94" s="3"/>
      <c r="L94" s="35"/>
      <c r="M94" s="3" t="s">
        <v>11</v>
      </c>
      <c r="N94" s="3" t="s">
        <v>216</v>
      </c>
      <c r="O94" s="3" t="s">
        <v>15</v>
      </c>
      <c r="P94" s="3" t="s">
        <v>16</v>
      </c>
      <c r="Q94" s="3" t="s">
        <v>38</v>
      </c>
      <c r="R94" s="22" t="s">
        <v>166</v>
      </c>
    </row>
    <row r="95" spans="1:18" ht="84.95" customHeight="1" x14ac:dyDescent="0.25">
      <c r="A95" s="3" t="s">
        <v>217</v>
      </c>
      <c r="B95" s="34">
        <v>41708</v>
      </c>
      <c r="C95" s="35">
        <v>41799</v>
      </c>
      <c r="D95" s="35"/>
      <c r="E95" s="34">
        <v>41897</v>
      </c>
      <c r="F95" s="35" t="s">
        <v>539</v>
      </c>
      <c r="G95" s="36" t="str">
        <f>+"30-SEP-2013"</f>
        <v>30-SEP-2013</v>
      </c>
      <c r="H95" s="63">
        <f t="shared" si="1"/>
        <v>448</v>
      </c>
      <c r="I95" s="3" t="str">
        <f>+""</f>
        <v/>
      </c>
      <c r="J95" s="38"/>
      <c r="K95" s="3"/>
      <c r="L95" s="35"/>
      <c r="M95" s="3" t="s">
        <v>11</v>
      </c>
      <c r="N95" s="3" t="s">
        <v>218</v>
      </c>
      <c r="O95" s="3" t="s">
        <v>15</v>
      </c>
      <c r="P95" s="3" t="s">
        <v>16</v>
      </c>
      <c r="Q95" s="3" t="s">
        <v>38</v>
      </c>
      <c r="R95" s="22" t="s">
        <v>99</v>
      </c>
    </row>
    <row r="96" spans="1:18" ht="102" customHeight="1" x14ac:dyDescent="0.25">
      <c r="A96" s="3" t="s">
        <v>446</v>
      </c>
      <c r="B96" s="34">
        <v>41648</v>
      </c>
      <c r="C96" s="35">
        <v>41681</v>
      </c>
      <c r="D96" s="35"/>
      <c r="E96" s="34">
        <v>41913</v>
      </c>
      <c r="F96" s="35" t="s">
        <v>539</v>
      </c>
      <c r="G96" s="36" t="str">
        <f>+"03-OCT-2013"</f>
        <v>03-OCT-2013</v>
      </c>
      <c r="H96" s="63">
        <f t="shared" si="1"/>
        <v>445</v>
      </c>
      <c r="I96" s="3" t="str">
        <f>+""</f>
        <v/>
      </c>
      <c r="J96" s="38"/>
      <c r="K96" s="3"/>
      <c r="L96" s="35"/>
      <c r="M96" s="3" t="s">
        <v>11</v>
      </c>
      <c r="N96" s="3" t="s">
        <v>665</v>
      </c>
      <c r="O96" s="3" t="s">
        <v>15</v>
      </c>
      <c r="P96" s="3" t="s">
        <v>27</v>
      </c>
      <c r="Q96" s="3" t="s">
        <v>38</v>
      </c>
      <c r="R96" s="22" t="s">
        <v>163</v>
      </c>
    </row>
    <row r="97" spans="1:18" ht="106.5" customHeight="1" x14ac:dyDescent="0.25">
      <c r="A97" s="3" t="s">
        <v>387</v>
      </c>
      <c r="B97" s="34">
        <v>41647</v>
      </c>
      <c r="C97" s="35">
        <v>41684</v>
      </c>
      <c r="D97" s="35"/>
      <c r="E97" s="34" t="s">
        <v>539</v>
      </c>
      <c r="F97" s="35" t="s">
        <v>539</v>
      </c>
      <c r="G97" s="36" t="str">
        <f>+"10-OCT-2013"</f>
        <v>10-OCT-2013</v>
      </c>
      <c r="H97" s="63">
        <f t="shared" si="1"/>
        <v>438</v>
      </c>
      <c r="I97" s="3" t="str">
        <f>+""</f>
        <v/>
      </c>
      <c r="J97" s="38"/>
      <c r="K97" s="3"/>
      <c r="L97" s="35"/>
      <c r="M97" s="3" t="s">
        <v>11</v>
      </c>
      <c r="N97" s="3" t="s">
        <v>388</v>
      </c>
      <c r="O97" s="3" t="s">
        <v>15</v>
      </c>
      <c r="P97" s="3" t="s">
        <v>98</v>
      </c>
      <c r="Q97" s="3" t="s">
        <v>38</v>
      </c>
      <c r="R97" s="22" t="s">
        <v>389</v>
      </c>
    </row>
    <row r="98" spans="1:18" ht="84.95" customHeight="1" x14ac:dyDescent="0.25">
      <c r="A98" s="3" t="s">
        <v>225</v>
      </c>
      <c r="B98" s="34">
        <v>41703</v>
      </c>
      <c r="C98" s="35" t="s">
        <v>539</v>
      </c>
      <c r="D98" s="35"/>
      <c r="E98" s="34" t="s">
        <v>539</v>
      </c>
      <c r="F98" s="35" t="s">
        <v>539</v>
      </c>
      <c r="G98" s="36" t="str">
        <f>+"10-OCT-2013"</f>
        <v>10-OCT-2013</v>
      </c>
      <c r="H98" s="63">
        <f t="shared" si="1"/>
        <v>438</v>
      </c>
      <c r="I98" s="3" t="str">
        <f>+""</f>
        <v/>
      </c>
      <c r="J98" s="38"/>
      <c r="K98" s="3"/>
      <c r="L98" s="35"/>
      <c r="M98" s="3" t="s">
        <v>21</v>
      </c>
      <c r="N98" s="3" t="s">
        <v>226</v>
      </c>
      <c r="O98" s="3" t="s">
        <v>15</v>
      </c>
      <c r="P98" s="3" t="s">
        <v>19</v>
      </c>
      <c r="Q98" s="3" t="s">
        <v>38</v>
      </c>
      <c r="R98" s="22" t="s">
        <v>65</v>
      </c>
    </row>
    <row r="99" spans="1:18" ht="84.95" customHeight="1" x14ac:dyDescent="0.25">
      <c r="A99" s="3" t="s">
        <v>232</v>
      </c>
      <c r="B99" s="34" t="s">
        <v>539</v>
      </c>
      <c r="C99" s="35" t="s">
        <v>539</v>
      </c>
      <c r="D99" s="35"/>
      <c r="E99" s="34" t="s">
        <v>539</v>
      </c>
      <c r="F99" s="35" t="s">
        <v>539</v>
      </c>
      <c r="G99" s="36" t="str">
        <f>+"22-OCT-2013"</f>
        <v>22-OCT-2013</v>
      </c>
      <c r="H99" s="63">
        <f t="shared" si="1"/>
        <v>426</v>
      </c>
      <c r="I99" s="3" t="str">
        <f>+""</f>
        <v/>
      </c>
      <c r="J99" s="38"/>
      <c r="K99" s="3"/>
      <c r="L99" s="35"/>
      <c r="M99" s="3" t="s">
        <v>21</v>
      </c>
      <c r="N99" s="3" t="s">
        <v>233</v>
      </c>
      <c r="O99" s="3" t="s">
        <v>15</v>
      </c>
      <c r="P99" s="3" t="s">
        <v>27</v>
      </c>
      <c r="Q99" s="3" t="s">
        <v>38</v>
      </c>
      <c r="R99" s="22" t="s">
        <v>65</v>
      </c>
    </row>
    <row r="100" spans="1:18" ht="84.95" customHeight="1" x14ac:dyDescent="0.25">
      <c r="A100" s="3" t="s">
        <v>228</v>
      </c>
      <c r="B100" s="34" t="s">
        <v>539</v>
      </c>
      <c r="C100" s="35" t="s">
        <v>539</v>
      </c>
      <c r="D100" s="35"/>
      <c r="E100" s="34" t="s">
        <v>539</v>
      </c>
      <c r="F100" s="35" t="s">
        <v>539</v>
      </c>
      <c r="G100" s="36" t="str">
        <f>+"25-OCT-2013"</f>
        <v>25-OCT-2013</v>
      </c>
      <c r="H100" s="63">
        <f t="shared" si="1"/>
        <v>423</v>
      </c>
      <c r="I100" s="3" t="str">
        <f>+""</f>
        <v/>
      </c>
      <c r="J100" s="38"/>
      <c r="K100" s="3"/>
      <c r="L100" s="35"/>
      <c r="M100" s="3" t="s">
        <v>11</v>
      </c>
      <c r="N100" s="3" t="s">
        <v>229</v>
      </c>
      <c r="O100" s="3" t="s">
        <v>15</v>
      </c>
      <c r="P100" s="3" t="s">
        <v>16</v>
      </c>
      <c r="Q100" s="3" t="s">
        <v>14</v>
      </c>
      <c r="R100" s="22" t="s">
        <v>24</v>
      </c>
    </row>
    <row r="101" spans="1:18" ht="84.95" customHeight="1" x14ac:dyDescent="0.25">
      <c r="A101" s="3" t="s">
        <v>230</v>
      </c>
      <c r="B101" s="34" t="s">
        <v>539</v>
      </c>
      <c r="C101" s="35" t="s">
        <v>539</v>
      </c>
      <c r="D101" s="35"/>
      <c r="E101" s="34" t="s">
        <v>539</v>
      </c>
      <c r="F101" s="35" t="s">
        <v>539</v>
      </c>
      <c r="G101" s="36" t="str">
        <f>+"28-OCT-2013"</f>
        <v>28-OCT-2013</v>
      </c>
      <c r="H101" s="63">
        <f t="shared" si="1"/>
        <v>420</v>
      </c>
      <c r="I101" s="3" t="str">
        <f>+""</f>
        <v/>
      </c>
      <c r="J101" s="38"/>
      <c r="K101" s="3"/>
      <c r="L101" s="35"/>
      <c r="M101" s="3" t="s">
        <v>11</v>
      </c>
      <c r="N101" s="3" t="s">
        <v>231</v>
      </c>
      <c r="O101" s="3" t="s">
        <v>15</v>
      </c>
      <c r="P101" s="3" t="s">
        <v>16</v>
      </c>
      <c r="Q101" s="3" t="s">
        <v>38</v>
      </c>
      <c r="R101" s="22" t="s">
        <v>24</v>
      </c>
    </row>
    <row r="102" spans="1:18" ht="84.95" customHeight="1" x14ac:dyDescent="0.25">
      <c r="A102" s="3" t="s">
        <v>237</v>
      </c>
      <c r="B102" s="34" t="s">
        <v>539</v>
      </c>
      <c r="C102" s="35" t="s">
        <v>539</v>
      </c>
      <c r="D102" s="35"/>
      <c r="E102" s="34" t="s">
        <v>539</v>
      </c>
      <c r="F102" s="35" t="s">
        <v>539</v>
      </c>
      <c r="G102" s="36" t="str">
        <f>+"06-NOV-2013"</f>
        <v>06-NOV-2013</v>
      </c>
      <c r="H102" s="63">
        <f t="shared" si="1"/>
        <v>411</v>
      </c>
      <c r="I102" s="3" t="str">
        <f>+""</f>
        <v/>
      </c>
      <c r="J102" s="38"/>
      <c r="K102" s="3"/>
      <c r="L102" s="35"/>
      <c r="M102" s="3" t="s">
        <v>21</v>
      </c>
      <c r="N102" s="3" t="s">
        <v>238</v>
      </c>
      <c r="O102" s="3" t="s">
        <v>15</v>
      </c>
      <c r="P102" s="3" t="s">
        <v>27</v>
      </c>
      <c r="Q102" s="3" t="s">
        <v>23</v>
      </c>
      <c r="R102" s="22" t="s">
        <v>65</v>
      </c>
    </row>
    <row r="103" spans="1:18" ht="84.95" customHeight="1" x14ac:dyDescent="0.25">
      <c r="A103" s="3" t="s">
        <v>390</v>
      </c>
      <c r="B103" s="34">
        <v>41652</v>
      </c>
      <c r="C103" s="35">
        <v>41787</v>
      </c>
      <c r="D103" s="35"/>
      <c r="E103" s="34">
        <v>41869</v>
      </c>
      <c r="F103" s="35">
        <v>41904</v>
      </c>
      <c r="G103" s="36" t="str">
        <f>+"12-NOV-2013"</f>
        <v>12-NOV-2013</v>
      </c>
      <c r="H103" s="63">
        <f t="shared" si="1"/>
        <v>405</v>
      </c>
      <c r="I103" s="3" t="str">
        <f>+""</f>
        <v/>
      </c>
      <c r="J103" s="38"/>
      <c r="K103" s="3"/>
      <c r="L103" s="35"/>
      <c r="M103" s="3" t="s">
        <v>11</v>
      </c>
      <c r="N103" s="3" t="s">
        <v>391</v>
      </c>
      <c r="O103" s="3" t="s">
        <v>15</v>
      </c>
      <c r="P103" s="3" t="s">
        <v>16</v>
      </c>
      <c r="Q103" s="3" t="s">
        <v>14</v>
      </c>
      <c r="R103" s="22" t="s">
        <v>146</v>
      </c>
    </row>
    <row r="104" spans="1:18" ht="84.95" customHeight="1" x14ac:dyDescent="0.25">
      <c r="A104" s="3" t="s">
        <v>234</v>
      </c>
      <c r="B104" s="34">
        <v>41681</v>
      </c>
      <c r="C104" s="35">
        <v>41725</v>
      </c>
      <c r="D104" s="35"/>
      <c r="E104" s="34">
        <v>41911</v>
      </c>
      <c r="F104" s="35" t="s">
        <v>539</v>
      </c>
      <c r="G104" s="36" t="str">
        <f>+"12-NOV-2013"</f>
        <v>12-NOV-2013</v>
      </c>
      <c r="H104" s="63">
        <f t="shared" si="1"/>
        <v>405</v>
      </c>
      <c r="I104" s="3" t="str">
        <f>+""</f>
        <v/>
      </c>
      <c r="J104" s="38"/>
      <c r="K104" s="3"/>
      <c r="L104" s="35"/>
      <c r="M104" s="3" t="s">
        <v>11</v>
      </c>
      <c r="N104" s="3" t="s">
        <v>235</v>
      </c>
      <c r="O104" s="3" t="s">
        <v>15</v>
      </c>
      <c r="P104" s="3" t="s">
        <v>16</v>
      </c>
      <c r="Q104" s="3" t="s">
        <v>38</v>
      </c>
      <c r="R104" s="22" t="s">
        <v>236</v>
      </c>
    </row>
    <row r="105" spans="1:18" ht="84.95" customHeight="1" x14ac:dyDescent="0.25">
      <c r="A105" s="3" t="s">
        <v>518</v>
      </c>
      <c r="B105" s="34">
        <v>41696</v>
      </c>
      <c r="C105" s="35">
        <v>41911</v>
      </c>
      <c r="D105" s="35"/>
      <c r="E105" s="34" t="s">
        <v>539</v>
      </c>
      <c r="F105" s="35" t="s">
        <v>539</v>
      </c>
      <c r="G105" s="36" t="str">
        <f>+"14-NOV-2013"</f>
        <v>14-NOV-2013</v>
      </c>
      <c r="H105" s="63">
        <f t="shared" si="1"/>
        <v>403</v>
      </c>
      <c r="I105" s="3" t="str">
        <f>+""</f>
        <v/>
      </c>
      <c r="J105" s="38"/>
      <c r="K105" s="3"/>
      <c r="L105" s="35"/>
      <c r="M105" s="3" t="s">
        <v>21</v>
      </c>
      <c r="N105" s="3" t="s">
        <v>519</v>
      </c>
      <c r="O105" s="3" t="s">
        <v>15</v>
      </c>
      <c r="P105" s="3" t="s">
        <v>16</v>
      </c>
      <c r="Q105" s="3" t="s">
        <v>38</v>
      </c>
      <c r="R105" s="22" t="s">
        <v>166</v>
      </c>
    </row>
    <row r="106" spans="1:18" ht="84.95" customHeight="1" x14ac:dyDescent="0.25">
      <c r="A106" s="3" t="s">
        <v>516</v>
      </c>
      <c r="B106" s="34" t="s">
        <v>539</v>
      </c>
      <c r="C106" s="35">
        <v>41774</v>
      </c>
      <c r="D106" s="35"/>
      <c r="E106" s="34" t="s">
        <v>539</v>
      </c>
      <c r="F106" s="35" t="s">
        <v>539</v>
      </c>
      <c r="G106" s="36" t="str">
        <f>+"14-NOV-2013"</f>
        <v>14-NOV-2013</v>
      </c>
      <c r="H106" s="63">
        <f t="shared" si="1"/>
        <v>403</v>
      </c>
      <c r="I106" s="3" t="str">
        <f>+""</f>
        <v/>
      </c>
      <c r="J106" s="38"/>
      <c r="K106" s="3"/>
      <c r="L106" s="35"/>
      <c r="M106" s="3" t="s">
        <v>21</v>
      </c>
      <c r="N106" s="3" t="s">
        <v>517</v>
      </c>
      <c r="O106" s="3" t="s">
        <v>15</v>
      </c>
      <c r="P106" s="3" t="s">
        <v>16</v>
      </c>
      <c r="Q106" s="3" t="s">
        <v>14</v>
      </c>
      <c r="R106" s="22" t="s">
        <v>189</v>
      </c>
    </row>
    <row r="107" spans="1:18" ht="84.95" customHeight="1" x14ac:dyDescent="0.25">
      <c r="A107" s="3" t="s">
        <v>514</v>
      </c>
      <c r="B107" s="34">
        <v>41619</v>
      </c>
      <c r="C107" s="35">
        <v>41661</v>
      </c>
      <c r="D107" s="35"/>
      <c r="E107" s="34" t="s">
        <v>539</v>
      </c>
      <c r="F107" s="35" t="s">
        <v>539</v>
      </c>
      <c r="G107" s="36" t="str">
        <f>+"14-NOV-2013"</f>
        <v>14-NOV-2013</v>
      </c>
      <c r="H107" s="63">
        <f t="shared" si="1"/>
        <v>403</v>
      </c>
      <c r="I107" s="3" t="str">
        <f>+""</f>
        <v/>
      </c>
      <c r="J107" s="38"/>
      <c r="K107" s="3"/>
      <c r="L107" s="35"/>
      <c r="M107" s="3" t="s">
        <v>21</v>
      </c>
      <c r="N107" s="3" t="s">
        <v>515</v>
      </c>
      <c r="O107" s="3" t="s">
        <v>15</v>
      </c>
      <c r="P107" s="3" t="s">
        <v>16</v>
      </c>
      <c r="Q107" s="3" t="s">
        <v>38</v>
      </c>
      <c r="R107" s="22" t="s">
        <v>122</v>
      </c>
    </row>
    <row r="108" spans="1:18" ht="84.95" customHeight="1" x14ac:dyDescent="0.25">
      <c r="A108" s="3" t="s">
        <v>243</v>
      </c>
      <c r="B108" s="34">
        <v>41878</v>
      </c>
      <c r="C108" s="35" t="s">
        <v>539</v>
      </c>
      <c r="D108" s="35"/>
      <c r="E108" s="34" t="s">
        <v>539</v>
      </c>
      <c r="F108" s="35" t="s">
        <v>539</v>
      </c>
      <c r="G108" s="36" t="str">
        <f>+"02-DEC-2013"</f>
        <v>02-DEC-2013</v>
      </c>
      <c r="H108" s="63">
        <f t="shared" si="1"/>
        <v>385</v>
      </c>
      <c r="I108" s="3" t="str">
        <f>+""</f>
        <v/>
      </c>
      <c r="J108" s="38"/>
      <c r="K108" s="3"/>
      <c r="L108" s="35"/>
      <c r="M108" s="3" t="s">
        <v>21</v>
      </c>
      <c r="N108" s="3" t="s">
        <v>244</v>
      </c>
      <c r="O108" s="3" t="s">
        <v>15</v>
      </c>
      <c r="P108" s="3" t="s">
        <v>27</v>
      </c>
      <c r="Q108" s="3" t="s">
        <v>43</v>
      </c>
      <c r="R108" s="22" t="s">
        <v>163</v>
      </c>
    </row>
    <row r="109" spans="1:18" ht="84.95" customHeight="1" x14ac:dyDescent="0.25">
      <c r="A109" s="3" t="s">
        <v>239</v>
      </c>
      <c r="B109" s="34">
        <v>41787</v>
      </c>
      <c r="C109" s="35">
        <v>41934</v>
      </c>
      <c r="D109" s="35"/>
      <c r="E109" s="34" t="s">
        <v>539</v>
      </c>
      <c r="F109" s="35" t="s">
        <v>539</v>
      </c>
      <c r="G109" s="36" t="str">
        <f>+"02-DEC-2013"</f>
        <v>02-DEC-2013</v>
      </c>
      <c r="H109" s="63">
        <f t="shared" si="1"/>
        <v>385</v>
      </c>
      <c r="I109" s="3" t="str">
        <f>+""</f>
        <v/>
      </c>
      <c r="J109" s="38"/>
      <c r="K109" s="3"/>
      <c r="L109" s="35"/>
      <c r="M109" s="3" t="s">
        <v>21</v>
      </c>
      <c r="N109" s="3" t="s">
        <v>240</v>
      </c>
      <c r="O109" s="3" t="s">
        <v>15</v>
      </c>
      <c r="P109" s="3" t="s">
        <v>19</v>
      </c>
      <c r="Q109" s="3" t="s">
        <v>17</v>
      </c>
      <c r="R109" s="22" t="s">
        <v>30</v>
      </c>
    </row>
    <row r="110" spans="1:18" ht="84.95" customHeight="1" x14ac:dyDescent="0.25">
      <c r="A110" s="3" t="s">
        <v>241</v>
      </c>
      <c r="B110" s="34">
        <v>41765</v>
      </c>
      <c r="C110" s="35" t="s">
        <v>539</v>
      </c>
      <c r="D110" s="35"/>
      <c r="E110" s="34" t="s">
        <v>539</v>
      </c>
      <c r="F110" s="35" t="s">
        <v>539</v>
      </c>
      <c r="G110" s="36" t="str">
        <f>+"04-DEC-2013"</f>
        <v>04-DEC-2013</v>
      </c>
      <c r="H110" s="63">
        <f t="shared" si="1"/>
        <v>383</v>
      </c>
      <c r="I110" s="3" t="str">
        <f>+""</f>
        <v/>
      </c>
      <c r="J110" s="38"/>
      <c r="K110" s="3"/>
      <c r="L110" s="35"/>
      <c r="M110" s="3" t="s">
        <v>21</v>
      </c>
      <c r="N110" s="3" t="s">
        <v>242</v>
      </c>
      <c r="O110" s="3" t="s">
        <v>15</v>
      </c>
      <c r="P110" s="3" t="s">
        <v>27</v>
      </c>
      <c r="Q110" s="3" t="s">
        <v>43</v>
      </c>
      <c r="R110" s="22" t="s">
        <v>53</v>
      </c>
    </row>
    <row r="111" spans="1:18" ht="84.95" customHeight="1" x14ac:dyDescent="0.25">
      <c r="A111" s="3" t="s">
        <v>392</v>
      </c>
      <c r="B111" s="34">
        <v>41759</v>
      </c>
      <c r="C111" s="35">
        <v>41822</v>
      </c>
      <c r="D111" s="35"/>
      <c r="E111" s="34">
        <v>41974</v>
      </c>
      <c r="F111" s="35">
        <v>41780</v>
      </c>
      <c r="G111" s="36" t="str">
        <f>+"06-DEC-2013"</f>
        <v>06-DEC-2013</v>
      </c>
      <c r="H111" s="63">
        <f t="shared" si="1"/>
        <v>381</v>
      </c>
      <c r="I111" s="3" t="str">
        <f>+""</f>
        <v/>
      </c>
      <c r="J111" s="38"/>
      <c r="K111" s="3"/>
      <c r="L111" s="35"/>
      <c r="M111" s="3" t="s">
        <v>11</v>
      </c>
      <c r="N111" s="3" t="s">
        <v>393</v>
      </c>
      <c r="O111" s="3" t="s">
        <v>15</v>
      </c>
      <c r="P111" s="3" t="s">
        <v>27</v>
      </c>
      <c r="Q111" s="3" t="s">
        <v>43</v>
      </c>
      <c r="R111" s="22" t="s">
        <v>589</v>
      </c>
    </row>
    <row r="112" spans="1:18" ht="84.95" customHeight="1" x14ac:dyDescent="0.25">
      <c r="A112" s="3" t="s">
        <v>521</v>
      </c>
      <c r="B112" s="34">
        <v>41681</v>
      </c>
      <c r="C112" s="35">
        <v>41821</v>
      </c>
      <c r="D112" s="35"/>
      <c r="E112" s="34" t="s">
        <v>539</v>
      </c>
      <c r="F112" s="35" t="s">
        <v>539</v>
      </c>
      <c r="G112" s="36" t="str">
        <f>+"19-DEC-2013"</f>
        <v>19-DEC-2013</v>
      </c>
      <c r="H112" s="63">
        <f t="shared" si="1"/>
        <v>368</v>
      </c>
      <c r="I112" s="3" t="str">
        <f>+""</f>
        <v/>
      </c>
      <c r="J112" s="38"/>
      <c r="K112" s="3"/>
      <c r="L112" s="35"/>
      <c r="M112" s="3" t="s">
        <v>21</v>
      </c>
      <c r="N112" s="3" t="s">
        <v>522</v>
      </c>
      <c r="O112" s="3" t="s">
        <v>15</v>
      </c>
      <c r="P112" s="3" t="s">
        <v>19</v>
      </c>
      <c r="Q112" s="3" t="s">
        <v>17</v>
      </c>
      <c r="R112" s="22" t="s">
        <v>122</v>
      </c>
    </row>
    <row r="113" spans="1:18" ht="84.95" customHeight="1" x14ac:dyDescent="0.25">
      <c r="A113" s="3" t="s">
        <v>520</v>
      </c>
      <c r="B113" s="34">
        <v>41695</v>
      </c>
      <c r="C113" s="35">
        <v>41765</v>
      </c>
      <c r="D113" s="35"/>
      <c r="E113" s="34" t="s">
        <v>539</v>
      </c>
      <c r="F113" s="35" t="s">
        <v>539</v>
      </c>
      <c r="G113" s="36" t="str">
        <f>+"19-DEC-2013"</f>
        <v>19-DEC-2013</v>
      </c>
      <c r="H113" s="63">
        <f t="shared" si="1"/>
        <v>368</v>
      </c>
      <c r="I113" s="3" t="str">
        <f>+""</f>
        <v/>
      </c>
      <c r="J113" s="38"/>
      <c r="K113" s="3"/>
      <c r="L113" s="35"/>
      <c r="M113" s="3" t="s">
        <v>11</v>
      </c>
      <c r="N113" s="3" t="s">
        <v>494</v>
      </c>
      <c r="O113" s="3" t="s">
        <v>15</v>
      </c>
      <c r="P113" s="3" t="s">
        <v>16</v>
      </c>
      <c r="Q113" s="3" t="s">
        <v>43</v>
      </c>
      <c r="R113" s="22" t="s">
        <v>285</v>
      </c>
    </row>
    <row r="114" spans="1:18" ht="84.95" customHeight="1" x14ac:dyDescent="0.25">
      <c r="A114" s="3" t="s">
        <v>245</v>
      </c>
      <c r="B114" s="34">
        <v>41932</v>
      </c>
      <c r="C114" s="35">
        <v>41746</v>
      </c>
      <c r="D114" s="35"/>
      <c r="E114" s="34">
        <v>41918</v>
      </c>
      <c r="F114" s="35" t="s">
        <v>539</v>
      </c>
      <c r="G114" s="36" t="str">
        <f>+"19-DEC-2013"</f>
        <v>19-DEC-2013</v>
      </c>
      <c r="H114" s="63">
        <f t="shared" si="1"/>
        <v>368</v>
      </c>
      <c r="I114" s="3" t="str">
        <f>+""</f>
        <v/>
      </c>
      <c r="J114" s="38"/>
      <c r="K114" s="3"/>
      <c r="L114" s="35"/>
      <c r="M114" s="3" t="s">
        <v>11</v>
      </c>
      <c r="N114" s="3" t="s">
        <v>246</v>
      </c>
      <c r="O114" s="3" t="s">
        <v>15</v>
      </c>
      <c r="P114" s="3" t="s">
        <v>67</v>
      </c>
      <c r="Q114" s="3" t="s">
        <v>38</v>
      </c>
      <c r="R114" s="22" t="s">
        <v>622</v>
      </c>
    </row>
    <row r="115" spans="1:18" ht="84.95" customHeight="1" x14ac:dyDescent="0.25">
      <c r="A115" s="3" t="s">
        <v>247</v>
      </c>
      <c r="B115" s="34">
        <v>41711</v>
      </c>
      <c r="C115" s="35">
        <v>41764</v>
      </c>
      <c r="D115" s="35"/>
      <c r="E115" s="34" t="s">
        <v>539</v>
      </c>
      <c r="F115" s="35">
        <v>41733</v>
      </c>
      <c r="G115" s="36" t="str">
        <f>+"20-DEC-2013"</f>
        <v>20-DEC-2013</v>
      </c>
      <c r="H115" s="63">
        <f t="shared" si="1"/>
        <v>367</v>
      </c>
      <c r="I115" s="3" t="str">
        <f>+""</f>
        <v/>
      </c>
      <c r="J115" s="38"/>
      <c r="K115" s="3"/>
      <c r="L115" s="35"/>
      <c r="M115" s="3" t="s">
        <v>11</v>
      </c>
      <c r="N115" s="3" t="s">
        <v>248</v>
      </c>
      <c r="O115" s="3" t="s">
        <v>15</v>
      </c>
      <c r="P115" s="3" t="s">
        <v>67</v>
      </c>
      <c r="Q115" s="3" t="s">
        <v>23</v>
      </c>
      <c r="R115" s="22" t="s">
        <v>18</v>
      </c>
    </row>
    <row r="116" spans="1:18" ht="84.95" customHeight="1" x14ac:dyDescent="0.25">
      <c r="A116" s="3" t="s">
        <v>249</v>
      </c>
      <c r="B116" s="34">
        <v>41932</v>
      </c>
      <c r="C116" s="35" t="s">
        <v>539</v>
      </c>
      <c r="D116" s="35"/>
      <c r="E116" s="34" t="s">
        <v>539</v>
      </c>
      <c r="F116" s="35" t="s">
        <v>539</v>
      </c>
      <c r="G116" s="36" t="str">
        <f>+"23-DEC-2013"</f>
        <v>23-DEC-2013</v>
      </c>
      <c r="H116" s="63">
        <f t="shared" si="1"/>
        <v>364</v>
      </c>
      <c r="I116" s="3" t="str">
        <f>+""</f>
        <v/>
      </c>
      <c r="J116" s="38"/>
      <c r="K116" s="3"/>
      <c r="L116" s="35"/>
      <c r="M116" s="3" t="s">
        <v>21</v>
      </c>
      <c r="N116" s="3" t="s">
        <v>667</v>
      </c>
      <c r="O116" s="3" t="s">
        <v>15</v>
      </c>
      <c r="P116" s="3" t="s">
        <v>52</v>
      </c>
      <c r="Q116" s="3" t="s">
        <v>14</v>
      </c>
      <c r="R116" s="22" t="s">
        <v>108</v>
      </c>
    </row>
    <row r="117" spans="1:18" ht="84.95" customHeight="1" x14ac:dyDescent="0.25">
      <c r="A117" s="3" t="s">
        <v>250</v>
      </c>
      <c r="B117" s="34">
        <v>41730</v>
      </c>
      <c r="C117" s="35">
        <v>41746</v>
      </c>
      <c r="D117" s="35"/>
      <c r="E117" s="34">
        <v>41807</v>
      </c>
      <c r="F117" s="35">
        <v>41855</v>
      </c>
      <c r="G117" s="36" t="str">
        <f>+"02-JAN-2014"</f>
        <v>02-JAN-2014</v>
      </c>
      <c r="H117" s="63">
        <f t="shared" si="1"/>
        <v>354</v>
      </c>
      <c r="I117" s="3" t="str">
        <f>+""</f>
        <v/>
      </c>
      <c r="J117" s="38"/>
      <c r="K117" s="3"/>
      <c r="L117" s="35"/>
      <c r="M117" s="3" t="s">
        <v>11</v>
      </c>
      <c r="N117" s="3" t="s">
        <v>251</v>
      </c>
      <c r="O117" s="3" t="s">
        <v>15</v>
      </c>
      <c r="P117" s="3" t="s">
        <v>19</v>
      </c>
      <c r="Q117" s="3" t="s">
        <v>38</v>
      </c>
      <c r="R117" s="22" t="s">
        <v>53</v>
      </c>
    </row>
    <row r="118" spans="1:18" ht="84.95" customHeight="1" x14ac:dyDescent="0.25">
      <c r="A118" s="3" t="s">
        <v>394</v>
      </c>
      <c r="B118" s="34">
        <v>41792</v>
      </c>
      <c r="C118" s="35" t="s">
        <v>539</v>
      </c>
      <c r="D118" s="35"/>
      <c r="E118" s="34" t="s">
        <v>539</v>
      </c>
      <c r="F118" s="35" t="s">
        <v>539</v>
      </c>
      <c r="G118" s="36" t="str">
        <f>+"10-JAN-2014"</f>
        <v>10-JAN-2014</v>
      </c>
      <c r="H118" s="63">
        <f t="shared" si="1"/>
        <v>346</v>
      </c>
      <c r="I118" s="3" t="str">
        <f>+""</f>
        <v/>
      </c>
      <c r="J118" s="38"/>
      <c r="K118" s="3"/>
      <c r="L118" s="35"/>
      <c r="M118" s="3" t="s">
        <v>11</v>
      </c>
      <c r="N118" s="3" t="s">
        <v>395</v>
      </c>
      <c r="O118" s="3" t="s">
        <v>15</v>
      </c>
      <c r="P118" s="3" t="s">
        <v>67</v>
      </c>
      <c r="Q118" s="3" t="s">
        <v>23</v>
      </c>
      <c r="R118" s="22" t="s">
        <v>35</v>
      </c>
    </row>
    <row r="119" spans="1:18" ht="84.95" customHeight="1" x14ac:dyDescent="0.25">
      <c r="A119" s="3" t="s">
        <v>252</v>
      </c>
      <c r="B119" s="34">
        <v>41708</v>
      </c>
      <c r="C119" s="35">
        <v>41731</v>
      </c>
      <c r="D119" s="35"/>
      <c r="E119" s="34">
        <v>41757</v>
      </c>
      <c r="F119" s="35">
        <v>41775</v>
      </c>
      <c r="G119" s="36" t="str">
        <f>+"10-JAN-2014"</f>
        <v>10-JAN-2014</v>
      </c>
      <c r="H119" s="63">
        <f t="shared" si="1"/>
        <v>346</v>
      </c>
      <c r="I119" s="3" t="str">
        <f>+""</f>
        <v/>
      </c>
      <c r="J119" s="38"/>
      <c r="K119" s="3"/>
      <c r="L119" s="35"/>
      <c r="M119" s="3" t="s">
        <v>11</v>
      </c>
      <c r="N119" s="3" t="s">
        <v>253</v>
      </c>
      <c r="O119" s="3" t="s">
        <v>15</v>
      </c>
      <c r="P119" s="3" t="s">
        <v>16</v>
      </c>
      <c r="Q119" s="3" t="s">
        <v>14</v>
      </c>
      <c r="R119" s="22" t="s">
        <v>623</v>
      </c>
    </row>
    <row r="120" spans="1:18" ht="102" customHeight="1" x14ac:dyDescent="0.25">
      <c r="A120" s="3" t="s">
        <v>447</v>
      </c>
      <c r="B120" s="34">
        <v>41746</v>
      </c>
      <c r="C120" s="35">
        <v>41802</v>
      </c>
      <c r="D120" s="35"/>
      <c r="E120" s="34">
        <v>41842</v>
      </c>
      <c r="F120" s="35">
        <v>41908</v>
      </c>
      <c r="G120" s="36" t="str">
        <f>+"16-JAN-2014"</f>
        <v>16-JAN-2014</v>
      </c>
      <c r="H120" s="63">
        <f t="shared" si="1"/>
        <v>340</v>
      </c>
      <c r="I120" s="3" t="str">
        <f>+""</f>
        <v/>
      </c>
      <c r="J120" s="38"/>
      <c r="K120" s="3"/>
      <c r="L120" s="35"/>
      <c r="M120" s="3" t="s">
        <v>11</v>
      </c>
      <c r="N120" s="3" t="s">
        <v>448</v>
      </c>
      <c r="O120" s="3" t="s">
        <v>15</v>
      </c>
      <c r="P120" s="3" t="s">
        <v>52</v>
      </c>
      <c r="Q120" s="3" t="s">
        <v>38</v>
      </c>
      <c r="R120" s="22" t="s">
        <v>227</v>
      </c>
    </row>
    <row r="121" spans="1:18" ht="84.95" customHeight="1" x14ac:dyDescent="0.25">
      <c r="A121" s="3" t="s">
        <v>254</v>
      </c>
      <c r="B121" s="34">
        <v>41744</v>
      </c>
      <c r="C121" s="35">
        <v>41773</v>
      </c>
      <c r="D121" s="35"/>
      <c r="E121" s="34">
        <v>41836</v>
      </c>
      <c r="F121" s="35" t="s">
        <v>539</v>
      </c>
      <c r="G121" s="36" t="str">
        <f>+"17-JAN-2014"</f>
        <v>17-JAN-2014</v>
      </c>
      <c r="H121" s="63">
        <f t="shared" si="1"/>
        <v>339</v>
      </c>
      <c r="I121" s="3" t="str">
        <f>+""</f>
        <v/>
      </c>
      <c r="J121" s="38"/>
      <c r="K121" s="3"/>
      <c r="L121" s="35"/>
      <c r="M121" s="3" t="s">
        <v>21</v>
      </c>
      <c r="N121" s="3" t="s">
        <v>718</v>
      </c>
      <c r="O121" s="3" t="s">
        <v>15</v>
      </c>
      <c r="P121" s="3" t="s">
        <v>19</v>
      </c>
      <c r="Q121" s="3" t="s">
        <v>17</v>
      </c>
      <c r="R121" s="22" t="s">
        <v>79</v>
      </c>
    </row>
    <row r="122" spans="1:18" ht="84.95" customHeight="1" x14ac:dyDescent="0.25">
      <c r="A122" s="3" t="s">
        <v>255</v>
      </c>
      <c r="B122" s="34">
        <v>41905</v>
      </c>
      <c r="C122" s="35" t="s">
        <v>539</v>
      </c>
      <c r="D122" s="35"/>
      <c r="E122" s="34" t="s">
        <v>539</v>
      </c>
      <c r="F122" s="35" t="s">
        <v>539</v>
      </c>
      <c r="G122" s="36" t="str">
        <f>+"27-JAN-2014"</f>
        <v>27-JAN-2014</v>
      </c>
      <c r="H122" s="63">
        <f t="shared" si="1"/>
        <v>329</v>
      </c>
      <c r="I122" s="3" t="str">
        <f>+""</f>
        <v/>
      </c>
      <c r="J122" s="38"/>
      <c r="K122" s="3"/>
      <c r="L122" s="35"/>
      <c r="M122" s="3" t="s">
        <v>21</v>
      </c>
      <c r="N122" s="3" t="s">
        <v>256</v>
      </c>
      <c r="O122" s="3" t="s">
        <v>15</v>
      </c>
      <c r="P122" s="3" t="s">
        <v>27</v>
      </c>
      <c r="Q122" s="3" t="s">
        <v>43</v>
      </c>
      <c r="R122" s="22" t="s">
        <v>30</v>
      </c>
    </row>
    <row r="123" spans="1:18" ht="84.95" customHeight="1" x14ac:dyDescent="0.25">
      <c r="A123" s="3" t="s">
        <v>259</v>
      </c>
      <c r="B123" s="34">
        <v>41877</v>
      </c>
      <c r="C123" s="35" t="s">
        <v>539</v>
      </c>
      <c r="D123" s="35"/>
      <c r="E123" s="34" t="s">
        <v>539</v>
      </c>
      <c r="F123" s="35" t="s">
        <v>539</v>
      </c>
      <c r="G123" s="36" t="str">
        <f>+"30-JAN-2014"</f>
        <v>30-JAN-2014</v>
      </c>
      <c r="H123" s="63">
        <f t="shared" si="1"/>
        <v>326</v>
      </c>
      <c r="I123" s="3" t="str">
        <f>+""</f>
        <v/>
      </c>
      <c r="J123" s="38"/>
      <c r="K123" s="3"/>
      <c r="L123" s="35"/>
      <c r="M123" s="3" t="s">
        <v>21</v>
      </c>
      <c r="N123" s="3" t="s">
        <v>260</v>
      </c>
      <c r="O123" s="3" t="s">
        <v>15</v>
      </c>
      <c r="P123" s="3" t="s">
        <v>27</v>
      </c>
      <c r="Q123" s="3" t="s">
        <v>43</v>
      </c>
      <c r="R123" s="22" t="s">
        <v>163</v>
      </c>
    </row>
    <row r="124" spans="1:18" ht="84.95" customHeight="1" x14ac:dyDescent="0.25">
      <c r="A124" s="3" t="s">
        <v>261</v>
      </c>
      <c r="B124" s="34">
        <v>41878</v>
      </c>
      <c r="C124" s="35" t="s">
        <v>539</v>
      </c>
      <c r="D124" s="35"/>
      <c r="E124" s="34" t="s">
        <v>539</v>
      </c>
      <c r="F124" s="35" t="s">
        <v>539</v>
      </c>
      <c r="G124" s="36" t="str">
        <f>+"31-JAN-2014"</f>
        <v>31-JAN-2014</v>
      </c>
      <c r="H124" s="63">
        <f t="shared" si="1"/>
        <v>325</v>
      </c>
      <c r="I124" s="3" t="str">
        <f>+""</f>
        <v/>
      </c>
      <c r="J124" s="38"/>
      <c r="K124" s="3"/>
      <c r="L124" s="35"/>
      <c r="M124" s="3" t="s">
        <v>21</v>
      </c>
      <c r="N124" s="3" t="s">
        <v>262</v>
      </c>
      <c r="O124" s="3" t="s">
        <v>15</v>
      </c>
      <c r="P124" s="3" t="s">
        <v>27</v>
      </c>
      <c r="Q124" s="3" t="s">
        <v>43</v>
      </c>
      <c r="R124" s="22" t="s">
        <v>163</v>
      </c>
    </row>
    <row r="125" spans="1:18" ht="84.95" customHeight="1" x14ac:dyDescent="0.25">
      <c r="A125" s="3" t="s">
        <v>257</v>
      </c>
      <c r="B125" s="34">
        <v>41731</v>
      </c>
      <c r="C125" s="35">
        <v>41774</v>
      </c>
      <c r="D125" s="35"/>
      <c r="E125" s="34" t="s">
        <v>539</v>
      </c>
      <c r="F125" s="35" t="s">
        <v>539</v>
      </c>
      <c r="G125" s="36" t="str">
        <f>+"31-JAN-2014"</f>
        <v>31-JAN-2014</v>
      </c>
      <c r="H125" s="63">
        <f t="shared" si="1"/>
        <v>325</v>
      </c>
      <c r="I125" s="3" t="str">
        <f>+""</f>
        <v/>
      </c>
      <c r="J125" s="38"/>
      <c r="K125" s="3"/>
      <c r="L125" s="35"/>
      <c r="M125" s="3" t="s">
        <v>11</v>
      </c>
      <c r="N125" s="3" t="s">
        <v>258</v>
      </c>
      <c r="O125" s="3" t="s">
        <v>15</v>
      </c>
      <c r="P125" s="3" t="s">
        <v>16</v>
      </c>
      <c r="Q125" s="3" t="s">
        <v>23</v>
      </c>
      <c r="R125" s="22" t="s">
        <v>49</v>
      </c>
    </row>
    <row r="126" spans="1:18" ht="84.95" customHeight="1" x14ac:dyDescent="0.25">
      <c r="A126" s="3" t="s">
        <v>523</v>
      </c>
      <c r="B126" s="34">
        <v>41746</v>
      </c>
      <c r="C126" s="35">
        <v>41779</v>
      </c>
      <c r="D126" s="35"/>
      <c r="E126" s="34" t="s">
        <v>539</v>
      </c>
      <c r="F126" s="35" t="s">
        <v>539</v>
      </c>
      <c r="G126" s="36" t="str">
        <f>+"05-FEB-2014"</f>
        <v>05-FEB-2014</v>
      </c>
      <c r="H126" s="63">
        <f t="shared" si="1"/>
        <v>320</v>
      </c>
      <c r="I126" s="3" t="str">
        <f>+""</f>
        <v/>
      </c>
      <c r="J126" s="38"/>
      <c r="K126" s="3"/>
      <c r="L126" s="35"/>
      <c r="M126" s="3" t="s">
        <v>11</v>
      </c>
      <c r="N126" s="3" t="s">
        <v>668</v>
      </c>
      <c r="O126" s="3" t="s">
        <v>15</v>
      </c>
      <c r="P126" s="3" t="s">
        <v>16</v>
      </c>
      <c r="Q126" s="3" t="s">
        <v>38</v>
      </c>
      <c r="R126" s="22" t="s">
        <v>524</v>
      </c>
    </row>
    <row r="127" spans="1:18" ht="84.95" customHeight="1" x14ac:dyDescent="0.25">
      <c r="A127" s="3" t="s">
        <v>398</v>
      </c>
      <c r="B127" s="34">
        <v>41828</v>
      </c>
      <c r="C127" s="35" t="s">
        <v>539</v>
      </c>
      <c r="D127" s="35"/>
      <c r="E127" s="34" t="s">
        <v>539</v>
      </c>
      <c r="F127" s="35" t="s">
        <v>539</v>
      </c>
      <c r="G127" s="36" t="str">
        <f>+"18-FEB-2014"</f>
        <v>18-FEB-2014</v>
      </c>
      <c r="H127" s="63">
        <f t="shared" si="1"/>
        <v>307</v>
      </c>
      <c r="I127" s="3" t="str">
        <f>+""</f>
        <v/>
      </c>
      <c r="J127" s="38"/>
      <c r="K127" s="3"/>
      <c r="L127" s="35"/>
      <c r="M127" s="3" t="s">
        <v>11</v>
      </c>
      <c r="N127" s="3" t="s">
        <v>399</v>
      </c>
      <c r="O127" s="3" t="s">
        <v>15</v>
      </c>
      <c r="P127" s="3" t="s">
        <v>27</v>
      </c>
      <c r="Q127" s="3" t="s">
        <v>23</v>
      </c>
      <c r="R127" s="22" t="s">
        <v>400</v>
      </c>
    </row>
    <row r="128" spans="1:18" ht="112.5" customHeight="1" x14ac:dyDescent="0.25">
      <c r="A128" s="3" t="s">
        <v>401</v>
      </c>
      <c r="B128" s="34">
        <v>41814</v>
      </c>
      <c r="C128" s="35" t="s">
        <v>539</v>
      </c>
      <c r="D128" s="35"/>
      <c r="E128" s="34" t="s">
        <v>539</v>
      </c>
      <c r="F128" s="35" t="s">
        <v>539</v>
      </c>
      <c r="G128" s="36" t="str">
        <f>+"25-FEB-2014"</f>
        <v>25-FEB-2014</v>
      </c>
      <c r="H128" s="63">
        <f t="shared" si="1"/>
        <v>300</v>
      </c>
      <c r="I128" s="3" t="str">
        <f>+""</f>
        <v/>
      </c>
      <c r="J128" s="38"/>
      <c r="K128" s="3"/>
      <c r="L128" s="35"/>
      <c r="M128" s="3" t="s">
        <v>11</v>
      </c>
      <c r="N128" s="3" t="s">
        <v>402</v>
      </c>
      <c r="O128" s="3" t="s">
        <v>15</v>
      </c>
      <c r="P128" s="3" t="s">
        <v>19</v>
      </c>
      <c r="Q128" s="3" t="s">
        <v>17</v>
      </c>
      <c r="R128" s="22" t="s">
        <v>403</v>
      </c>
    </row>
    <row r="129" spans="1:18" ht="84.95" customHeight="1" x14ac:dyDescent="0.25">
      <c r="A129" s="3" t="s">
        <v>264</v>
      </c>
      <c r="B129" s="34">
        <v>41778</v>
      </c>
      <c r="C129" s="35">
        <v>41794</v>
      </c>
      <c r="D129" s="35"/>
      <c r="E129" s="34" t="s">
        <v>539</v>
      </c>
      <c r="F129" s="35" t="s">
        <v>539</v>
      </c>
      <c r="G129" s="36" t="str">
        <f>+"28-FEB-2014"</f>
        <v>28-FEB-2014</v>
      </c>
      <c r="H129" s="63">
        <f t="shared" si="1"/>
        <v>297</v>
      </c>
      <c r="I129" s="3" t="str">
        <f>+""</f>
        <v/>
      </c>
      <c r="J129" s="38"/>
      <c r="K129" s="3"/>
      <c r="L129" s="35"/>
      <c r="M129" s="3" t="s">
        <v>11</v>
      </c>
      <c r="N129" s="3" t="s">
        <v>265</v>
      </c>
      <c r="O129" s="3" t="s">
        <v>15</v>
      </c>
      <c r="P129" s="3" t="s">
        <v>16</v>
      </c>
      <c r="Q129" s="3" t="s">
        <v>23</v>
      </c>
      <c r="R129" s="22" t="s">
        <v>49</v>
      </c>
    </row>
    <row r="130" spans="1:18" ht="84.95" customHeight="1" x14ac:dyDescent="0.25">
      <c r="A130" s="3" t="s">
        <v>270</v>
      </c>
      <c r="B130" s="34" t="s">
        <v>539</v>
      </c>
      <c r="C130" s="35" t="s">
        <v>539</v>
      </c>
      <c r="D130" s="35"/>
      <c r="E130" s="34" t="s">
        <v>539</v>
      </c>
      <c r="F130" s="35" t="s">
        <v>539</v>
      </c>
      <c r="G130" s="36" t="str">
        <f>+"05-MAR-2014"</f>
        <v>05-MAR-2014</v>
      </c>
      <c r="H130" s="63">
        <f t="shared" ref="H130:H193" si="2">DATE(2014, 12, 22) - G130</f>
        <v>292</v>
      </c>
      <c r="I130" s="3" t="str">
        <f>+""</f>
        <v/>
      </c>
      <c r="J130" s="38"/>
      <c r="K130" s="3"/>
      <c r="L130" s="35"/>
      <c r="M130" s="3" t="s">
        <v>21</v>
      </c>
      <c r="N130" s="3" t="s">
        <v>271</v>
      </c>
      <c r="O130" s="3" t="s">
        <v>15</v>
      </c>
      <c r="P130" s="3" t="s">
        <v>27</v>
      </c>
      <c r="Q130" s="3" t="s">
        <v>43</v>
      </c>
      <c r="R130" s="22" t="s">
        <v>53</v>
      </c>
    </row>
    <row r="131" spans="1:18" ht="102.75" customHeight="1" x14ac:dyDescent="0.25">
      <c r="A131" s="3" t="s">
        <v>268</v>
      </c>
      <c r="B131" s="34" t="s">
        <v>539</v>
      </c>
      <c r="C131" s="35" t="s">
        <v>539</v>
      </c>
      <c r="D131" s="35"/>
      <c r="E131" s="34" t="s">
        <v>539</v>
      </c>
      <c r="F131" s="35" t="s">
        <v>539</v>
      </c>
      <c r="G131" s="36" t="str">
        <f>+"10-MAR-2014"</f>
        <v>10-MAR-2014</v>
      </c>
      <c r="H131" s="63">
        <f t="shared" si="2"/>
        <v>287</v>
      </c>
      <c r="I131" s="3" t="str">
        <f>+""</f>
        <v/>
      </c>
      <c r="J131" s="38"/>
      <c r="K131" s="3"/>
      <c r="L131" s="35"/>
      <c r="M131" s="3" t="s">
        <v>21</v>
      </c>
      <c r="N131" s="3" t="s">
        <v>269</v>
      </c>
      <c r="O131" s="3" t="s">
        <v>15</v>
      </c>
      <c r="P131" s="3" t="s">
        <v>27</v>
      </c>
      <c r="Q131" s="3" t="s">
        <v>38</v>
      </c>
      <c r="R131" s="22" t="s">
        <v>66</v>
      </c>
    </row>
    <row r="132" spans="1:18" ht="84.95" customHeight="1" x14ac:dyDescent="0.25">
      <c r="A132" s="3" t="s">
        <v>527</v>
      </c>
      <c r="B132" s="34">
        <v>41758</v>
      </c>
      <c r="C132" s="35">
        <v>41827</v>
      </c>
      <c r="D132" s="35"/>
      <c r="E132" s="34" t="s">
        <v>539</v>
      </c>
      <c r="F132" s="35" t="s">
        <v>539</v>
      </c>
      <c r="G132" s="36" t="str">
        <f>+"13-MAR-2014"</f>
        <v>13-MAR-2014</v>
      </c>
      <c r="H132" s="63">
        <f t="shared" si="2"/>
        <v>284</v>
      </c>
      <c r="I132" s="3" t="str">
        <f>+""</f>
        <v/>
      </c>
      <c r="J132" s="38"/>
      <c r="K132" s="3"/>
      <c r="L132" s="35"/>
      <c r="M132" s="3" t="s">
        <v>21</v>
      </c>
      <c r="N132" s="3" t="s">
        <v>528</v>
      </c>
      <c r="O132" s="3" t="s">
        <v>15</v>
      </c>
      <c r="P132" s="3" t="s">
        <v>67</v>
      </c>
      <c r="Q132" s="3" t="s">
        <v>38</v>
      </c>
      <c r="R132" s="22" t="s">
        <v>65</v>
      </c>
    </row>
    <row r="133" spans="1:18" ht="105" customHeight="1" x14ac:dyDescent="0.25">
      <c r="A133" s="3" t="s">
        <v>525</v>
      </c>
      <c r="B133" s="34" t="s">
        <v>539</v>
      </c>
      <c r="C133" s="35" t="s">
        <v>539</v>
      </c>
      <c r="D133" s="35"/>
      <c r="E133" s="34" t="s">
        <v>539</v>
      </c>
      <c r="F133" s="35" t="s">
        <v>539</v>
      </c>
      <c r="G133" s="36" t="str">
        <f>+"13-MAR-2014"</f>
        <v>13-MAR-2014</v>
      </c>
      <c r="H133" s="63">
        <f t="shared" si="2"/>
        <v>284</v>
      </c>
      <c r="I133" s="3" t="str">
        <f>+""</f>
        <v/>
      </c>
      <c r="J133" s="38"/>
      <c r="K133" s="3"/>
      <c r="L133" s="35"/>
      <c r="M133" s="3" t="s">
        <v>11</v>
      </c>
      <c r="N133" s="3" t="s">
        <v>526</v>
      </c>
      <c r="O133" s="3" t="s">
        <v>15</v>
      </c>
      <c r="P133" s="3" t="s">
        <v>67</v>
      </c>
      <c r="Q133" s="3" t="s">
        <v>38</v>
      </c>
      <c r="R133" s="22" t="s">
        <v>65</v>
      </c>
    </row>
    <row r="134" spans="1:18" ht="84.95" customHeight="1" x14ac:dyDescent="0.25">
      <c r="A134" s="3" t="s">
        <v>266</v>
      </c>
      <c r="B134" s="34">
        <v>41843</v>
      </c>
      <c r="C134" s="35">
        <v>41915</v>
      </c>
      <c r="D134" s="35"/>
      <c r="E134" s="34">
        <v>41990</v>
      </c>
      <c r="F134" s="35" t="s">
        <v>539</v>
      </c>
      <c r="G134" s="36" t="str">
        <f>+"14-MAR-2014"</f>
        <v>14-MAR-2014</v>
      </c>
      <c r="H134" s="63">
        <f t="shared" si="2"/>
        <v>283</v>
      </c>
      <c r="I134" s="3" t="str">
        <f>+""</f>
        <v/>
      </c>
      <c r="J134" s="38"/>
      <c r="K134" s="3"/>
      <c r="L134" s="35"/>
      <c r="M134" s="3" t="s">
        <v>11</v>
      </c>
      <c r="N134" s="3" t="s">
        <v>267</v>
      </c>
      <c r="O134" s="3" t="s">
        <v>15</v>
      </c>
      <c r="P134" s="3" t="s">
        <v>27</v>
      </c>
      <c r="Q134" s="3" t="s">
        <v>38</v>
      </c>
      <c r="R134" s="22" t="s">
        <v>30</v>
      </c>
    </row>
    <row r="135" spans="1:18" ht="84.95" customHeight="1" x14ac:dyDescent="0.25">
      <c r="A135" s="52" t="s">
        <v>677</v>
      </c>
      <c r="B135" s="35" t="s">
        <v>539</v>
      </c>
      <c r="C135" s="35" t="s">
        <v>539</v>
      </c>
      <c r="D135" s="35"/>
      <c r="E135" s="35" t="s">
        <v>539</v>
      </c>
      <c r="F135" s="35" t="s">
        <v>539</v>
      </c>
      <c r="G135" s="52" t="str">
        <f>+"24-MAR-2014"</f>
        <v>24-MAR-2014</v>
      </c>
      <c r="H135" s="63">
        <f t="shared" si="2"/>
        <v>273</v>
      </c>
      <c r="I135" s="3"/>
      <c r="J135" s="38"/>
      <c r="K135" s="3"/>
      <c r="L135" s="35"/>
      <c r="M135" s="3" t="s">
        <v>11</v>
      </c>
      <c r="N135" s="3" t="s">
        <v>683</v>
      </c>
      <c r="O135" s="3" t="s">
        <v>15</v>
      </c>
      <c r="P135" s="3" t="s">
        <v>19</v>
      </c>
      <c r="Q135" s="52" t="s">
        <v>43</v>
      </c>
      <c r="R135" s="45" t="s">
        <v>682</v>
      </c>
    </row>
    <row r="136" spans="1:18" ht="84.95" customHeight="1" x14ac:dyDescent="0.25">
      <c r="A136" s="3" t="s">
        <v>272</v>
      </c>
      <c r="B136" s="34">
        <v>41829</v>
      </c>
      <c r="C136" s="35">
        <v>41844</v>
      </c>
      <c r="D136" s="35"/>
      <c r="E136" s="34" t="s">
        <v>539</v>
      </c>
      <c r="F136" s="35" t="s">
        <v>539</v>
      </c>
      <c r="G136" s="36" t="str">
        <f>+"24-MAR-2014"</f>
        <v>24-MAR-2014</v>
      </c>
      <c r="H136" s="63">
        <f t="shared" si="2"/>
        <v>273</v>
      </c>
      <c r="I136" s="3" t="str">
        <f>+""</f>
        <v/>
      </c>
      <c r="J136" s="38"/>
      <c r="K136" s="3"/>
      <c r="L136" s="35"/>
      <c r="M136" s="3" t="s">
        <v>11</v>
      </c>
      <c r="N136" s="3" t="s">
        <v>273</v>
      </c>
      <c r="O136" s="3" t="s">
        <v>15</v>
      </c>
      <c r="P136" s="3" t="s">
        <v>16</v>
      </c>
      <c r="Q136" s="3" t="s">
        <v>38</v>
      </c>
      <c r="R136" s="22" t="s">
        <v>274</v>
      </c>
    </row>
    <row r="137" spans="1:18" ht="84.95" customHeight="1" x14ac:dyDescent="0.25">
      <c r="A137" s="3" t="s">
        <v>529</v>
      </c>
      <c r="B137" s="34" t="s">
        <v>539</v>
      </c>
      <c r="C137" s="35" t="s">
        <v>539</v>
      </c>
      <c r="D137" s="35"/>
      <c r="E137" s="34" t="s">
        <v>539</v>
      </c>
      <c r="F137" s="35" t="s">
        <v>539</v>
      </c>
      <c r="G137" s="36" t="str">
        <f>+"27-MAR-2014"</f>
        <v>27-MAR-2014</v>
      </c>
      <c r="H137" s="63">
        <f t="shared" si="2"/>
        <v>270</v>
      </c>
      <c r="I137" s="3" t="str">
        <f>+""</f>
        <v/>
      </c>
      <c r="J137" s="38"/>
      <c r="K137" s="3"/>
      <c r="L137" s="35"/>
      <c r="M137" s="3" t="s">
        <v>21</v>
      </c>
      <c r="N137" s="3" t="s">
        <v>530</v>
      </c>
      <c r="O137" s="3" t="s">
        <v>15</v>
      </c>
      <c r="P137" s="3" t="s">
        <v>16</v>
      </c>
      <c r="Q137" s="3" t="s">
        <v>38</v>
      </c>
      <c r="R137" s="22" t="s">
        <v>119</v>
      </c>
    </row>
    <row r="138" spans="1:18" ht="112.5" customHeight="1" x14ac:dyDescent="0.25">
      <c r="A138" s="3" t="s">
        <v>275</v>
      </c>
      <c r="B138" s="34">
        <v>41778</v>
      </c>
      <c r="C138" s="35">
        <v>41789</v>
      </c>
      <c r="D138" s="35"/>
      <c r="E138" s="34">
        <v>42038</v>
      </c>
      <c r="F138" s="35" t="s">
        <v>539</v>
      </c>
      <c r="G138" s="36" t="str">
        <f>+"01-APR-2014"</f>
        <v>01-APR-2014</v>
      </c>
      <c r="H138" s="63">
        <f t="shared" si="2"/>
        <v>265</v>
      </c>
      <c r="I138" s="3" t="str">
        <f>+""</f>
        <v/>
      </c>
      <c r="J138" s="38"/>
      <c r="K138" s="3"/>
      <c r="L138" s="35"/>
      <c r="M138" s="3" t="s">
        <v>11</v>
      </c>
      <c r="N138" s="3" t="s">
        <v>276</v>
      </c>
      <c r="O138" s="3" t="s">
        <v>15</v>
      </c>
      <c r="P138" s="3" t="s">
        <v>16</v>
      </c>
      <c r="Q138" s="3" t="s">
        <v>23</v>
      </c>
      <c r="R138" s="22" t="s">
        <v>79</v>
      </c>
    </row>
    <row r="139" spans="1:18" ht="84.95" customHeight="1" x14ac:dyDescent="0.25">
      <c r="A139" s="3" t="s">
        <v>288</v>
      </c>
      <c r="B139" s="34">
        <v>41814</v>
      </c>
      <c r="C139" s="35" t="s">
        <v>539</v>
      </c>
      <c r="D139" s="35"/>
      <c r="E139" s="34" t="s">
        <v>539</v>
      </c>
      <c r="F139" s="35" t="s">
        <v>539</v>
      </c>
      <c r="G139" s="36" t="str">
        <f>+"04-APR-2014"</f>
        <v>04-APR-2014</v>
      </c>
      <c r="H139" s="63">
        <f t="shared" si="2"/>
        <v>262</v>
      </c>
      <c r="I139" s="3" t="str">
        <f>+""</f>
        <v/>
      </c>
      <c r="J139" s="38"/>
      <c r="K139" s="3"/>
      <c r="L139" s="35"/>
      <c r="M139" s="3" t="s">
        <v>11</v>
      </c>
      <c r="N139" s="3" t="s">
        <v>289</v>
      </c>
      <c r="O139" s="3" t="s">
        <v>15</v>
      </c>
      <c r="P139" s="3" t="s">
        <v>27</v>
      </c>
      <c r="Q139" s="3" t="s">
        <v>43</v>
      </c>
      <c r="R139" s="22" t="s">
        <v>66</v>
      </c>
    </row>
    <row r="140" spans="1:18" ht="84.95" customHeight="1" x14ac:dyDescent="0.25">
      <c r="A140" s="3" t="s">
        <v>277</v>
      </c>
      <c r="B140" s="34" t="s">
        <v>539</v>
      </c>
      <c r="C140" s="35" t="s">
        <v>539</v>
      </c>
      <c r="D140" s="35"/>
      <c r="E140" s="34" t="s">
        <v>539</v>
      </c>
      <c r="F140" s="35" t="s">
        <v>539</v>
      </c>
      <c r="G140" s="36" t="str">
        <f>+"07-APR-2014"</f>
        <v>07-APR-2014</v>
      </c>
      <c r="H140" s="63">
        <f t="shared" si="2"/>
        <v>259</v>
      </c>
      <c r="I140" s="3" t="str">
        <f>+""</f>
        <v/>
      </c>
      <c r="J140" s="38"/>
      <c r="K140" s="3"/>
      <c r="L140" s="35"/>
      <c r="M140" s="3" t="s">
        <v>11</v>
      </c>
      <c r="N140" s="3" t="s">
        <v>278</v>
      </c>
      <c r="O140" s="3" t="s">
        <v>15</v>
      </c>
      <c r="P140" s="3" t="s">
        <v>16</v>
      </c>
      <c r="Q140" s="3" t="s">
        <v>43</v>
      </c>
      <c r="R140" s="22" t="s">
        <v>24</v>
      </c>
    </row>
    <row r="141" spans="1:18" ht="84.95" customHeight="1" x14ac:dyDescent="0.25">
      <c r="A141" s="3" t="s">
        <v>281</v>
      </c>
      <c r="B141" s="34">
        <v>41864</v>
      </c>
      <c r="C141" s="35">
        <v>41911</v>
      </c>
      <c r="D141" s="35"/>
      <c r="E141" s="34" t="s">
        <v>539</v>
      </c>
      <c r="F141" s="35" t="s">
        <v>539</v>
      </c>
      <c r="G141" s="36" t="str">
        <f>+"11-APR-2014"</f>
        <v>11-APR-2014</v>
      </c>
      <c r="H141" s="63">
        <f t="shared" si="2"/>
        <v>255</v>
      </c>
      <c r="I141" s="3" t="str">
        <f>+""</f>
        <v/>
      </c>
      <c r="J141" s="38"/>
      <c r="K141" s="3"/>
      <c r="L141" s="35"/>
      <c r="M141" s="3" t="s">
        <v>11</v>
      </c>
      <c r="N141" s="3" t="s">
        <v>282</v>
      </c>
      <c r="O141" s="3" t="s">
        <v>15</v>
      </c>
      <c r="P141" s="3" t="s">
        <v>16</v>
      </c>
      <c r="Q141" s="3" t="s">
        <v>38</v>
      </c>
      <c r="R141" s="22" t="s">
        <v>166</v>
      </c>
    </row>
    <row r="142" spans="1:18" ht="84.95" customHeight="1" x14ac:dyDescent="0.25">
      <c r="A142" s="3" t="s">
        <v>279</v>
      </c>
      <c r="B142" s="34">
        <v>41822</v>
      </c>
      <c r="C142" s="35">
        <v>41865</v>
      </c>
      <c r="D142" s="35"/>
      <c r="E142" s="34">
        <v>41990</v>
      </c>
      <c r="F142" s="35" t="s">
        <v>539</v>
      </c>
      <c r="G142" s="36" t="str">
        <f>+"11-APR-2014"</f>
        <v>11-APR-2014</v>
      </c>
      <c r="H142" s="63">
        <f t="shared" si="2"/>
        <v>255</v>
      </c>
      <c r="I142" s="3" t="str">
        <f>+""</f>
        <v/>
      </c>
      <c r="J142" s="38"/>
      <c r="K142" s="3"/>
      <c r="L142" s="35"/>
      <c r="M142" s="3" t="s">
        <v>11</v>
      </c>
      <c r="N142" s="3" t="s">
        <v>280</v>
      </c>
      <c r="O142" s="3" t="s">
        <v>15</v>
      </c>
      <c r="P142" s="3" t="s">
        <v>27</v>
      </c>
      <c r="Q142" s="3" t="s">
        <v>38</v>
      </c>
      <c r="R142" s="22" t="s">
        <v>35</v>
      </c>
    </row>
    <row r="143" spans="1:18" ht="84.95" customHeight="1" x14ac:dyDescent="0.25">
      <c r="A143" s="3" t="s">
        <v>286</v>
      </c>
      <c r="B143" s="34">
        <v>41961</v>
      </c>
      <c r="C143" s="35">
        <v>41968</v>
      </c>
      <c r="D143" s="35"/>
      <c r="E143" s="34">
        <v>42082</v>
      </c>
      <c r="F143" s="35" t="s">
        <v>539</v>
      </c>
      <c r="G143" s="36" t="str">
        <f>+"15-APR-2014"</f>
        <v>15-APR-2014</v>
      </c>
      <c r="H143" s="63">
        <f t="shared" si="2"/>
        <v>251</v>
      </c>
      <c r="I143" s="3" t="str">
        <f>+""</f>
        <v/>
      </c>
      <c r="J143" s="38"/>
      <c r="K143" s="3"/>
      <c r="L143" s="35"/>
      <c r="M143" s="3" t="s">
        <v>11</v>
      </c>
      <c r="N143" s="3" t="s">
        <v>287</v>
      </c>
      <c r="O143" s="3" t="s">
        <v>15</v>
      </c>
      <c r="P143" s="3" t="s">
        <v>16</v>
      </c>
      <c r="Q143" s="3" t="s">
        <v>23</v>
      </c>
      <c r="R143" s="22" t="s">
        <v>79</v>
      </c>
    </row>
    <row r="144" spans="1:18" ht="84.95" customHeight="1" x14ac:dyDescent="0.25">
      <c r="A144" s="3" t="s">
        <v>283</v>
      </c>
      <c r="B144" s="34">
        <v>41801</v>
      </c>
      <c r="C144" s="35">
        <v>41817</v>
      </c>
      <c r="D144" s="35"/>
      <c r="E144" s="34" t="s">
        <v>539</v>
      </c>
      <c r="F144" s="35" t="s">
        <v>539</v>
      </c>
      <c r="G144" s="36" t="str">
        <f>+"15-APR-2014"</f>
        <v>15-APR-2014</v>
      </c>
      <c r="H144" s="63">
        <f t="shared" si="2"/>
        <v>251</v>
      </c>
      <c r="I144" s="3" t="str">
        <f>+""</f>
        <v/>
      </c>
      <c r="J144" s="38"/>
      <c r="K144" s="3"/>
      <c r="L144" s="35"/>
      <c r="M144" s="3" t="s">
        <v>11</v>
      </c>
      <c r="N144" s="3" t="s">
        <v>284</v>
      </c>
      <c r="O144" s="3" t="s">
        <v>15</v>
      </c>
      <c r="P144" s="3" t="s">
        <v>16</v>
      </c>
      <c r="Q144" s="3" t="s">
        <v>23</v>
      </c>
      <c r="R144" s="22" t="s">
        <v>79</v>
      </c>
    </row>
    <row r="145" spans="1:18" ht="84.95" customHeight="1" x14ac:dyDescent="0.25">
      <c r="A145" s="3" t="s">
        <v>292</v>
      </c>
      <c r="B145" s="34">
        <v>41821</v>
      </c>
      <c r="C145" s="35" t="s">
        <v>539</v>
      </c>
      <c r="D145" s="35"/>
      <c r="E145" s="34" t="s">
        <v>539</v>
      </c>
      <c r="F145" s="35" t="s">
        <v>539</v>
      </c>
      <c r="G145" s="36" t="str">
        <f>+"22-APR-2014"</f>
        <v>22-APR-2014</v>
      </c>
      <c r="H145" s="63">
        <f t="shared" si="2"/>
        <v>244</v>
      </c>
      <c r="I145" s="3" t="str">
        <f>+""</f>
        <v/>
      </c>
      <c r="J145" s="38"/>
      <c r="K145" s="3"/>
      <c r="L145" s="35"/>
      <c r="M145" s="3" t="s">
        <v>11</v>
      </c>
      <c r="N145" s="3" t="s">
        <v>293</v>
      </c>
      <c r="O145" s="3" t="s">
        <v>15</v>
      </c>
      <c r="P145" s="3" t="s">
        <v>19</v>
      </c>
      <c r="Q145" s="3" t="s">
        <v>23</v>
      </c>
      <c r="R145" s="22" t="s">
        <v>66</v>
      </c>
    </row>
    <row r="146" spans="1:18" ht="84.95" customHeight="1" x14ac:dyDescent="0.25">
      <c r="A146" s="3" t="s">
        <v>294</v>
      </c>
      <c r="B146" s="34" t="s">
        <v>539</v>
      </c>
      <c r="C146" s="35" t="s">
        <v>539</v>
      </c>
      <c r="D146" s="35"/>
      <c r="E146" s="34" t="s">
        <v>539</v>
      </c>
      <c r="F146" s="35" t="s">
        <v>539</v>
      </c>
      <c r="G146" s="36" t="str">
        <f>+"23-APR-2014"</f>
        <v>23-APR-2014</v>
      </c>
      <c r="H146" s="63">
        <f t="shared" si="2"/>
        <v>243</v>
      </c>
      <c r="I146" s="3" t="str">
        <f>+""</f>
        <v/>
      </c>
      <c r="J146" s="38"/>
      <c r="K146" s="3"/>
      <c r="L146" s="35"/>
      <c r="M146" s="3" t="s">
        <v>21</v>
      </c>
      <c r="N146" s="3" t="s">
        <v>295</v>
      </c>
      <c r="O146" s="3" t="s">
        <v>15</v>
      </c>
      <c r="P146" s="3" t="s">
        <v>27</v>
      </c>
      <c r="Q146" s="3" t="s">
        <v>43</v>
      </c>
      <c r="R146" s="22" t="s">
        <v>53</v>
      </c>
    </row>
    <row r="147" spans="1:18" ht="84.95" customHeight="1" x14ac:dyDescent="0.25">
      <c r="A147" s="3" t="s">
        <v>408</v>
      </c>
      <c r="B147" s="34" t="s">
        <v>539</v>
      </c>
      <c r="C147" s="35" t="s">
        <v>539</v>
      </c>
      <c r="D147" s="35"/>
      <c r="E147" s="34" t="s">
        <v>539</v>
      </c>
      <c r="F147" s="35" t="s">
        <v>539</v>
      </c>
      <c r="G147" s="36" t="str">
        <f>+"25-APR-2014"</f>
        <v>25-APR-2014</v>
      </c>
      <c r="H147" s="63">
        <f t="shared" si="2"/>
        <v>241</v>
      </c>
      <c r="I147" s="3" t="str">
        <f>+""</f>
        <v/>
      </c>
      <c r="J147" s="38"/>
      <c r="K147" s="3"/>
      <c r="L147" s="35"/>
      <c r="M147" s="3"/>
      <c r="N147" s="3" t="s">
        <v>409</v>
      </c>
      <c r="O147" s="3" t="s">
        <v>15</v>
      </c>
      <c r="P147" s="3" t="s">
        <v>16</v>
      </c>
      <c r="Q147" s="3" t="s">
        <v>43</v>
      </c>
      <c r="R147" s="22" t="s">
        <v>66</v>
      </c>
    </row>
    <row r="148" spans="1:18" ht="84.95" customHeight="1" x14ac:dyDescent="0.25">
      <c r="A148" s="3" t="s">
        <v>406</v>
      </c>
      <c r="B148" s="34">
        <v>41852</v>
      </c>
      <c r="C148" s="35" t="s">
        <v>539</v>
      </c>
      <c r="D148" s="35"/>
      <c r="E148" s="34" t="s">
        <v>539</v>
      </c>
      <c r="F148" s="35" t="s">
        <v>539</v>
      </c>
      <c r="G148" s="36" t="str">
        <f>+"25-APR-2014"</f>
        <v>25-APR-2014</v>
      </c>
      <c r="H148" s="63">
        <f t="shared" si="2"/>
        <v>241</v>
      </c>
      <c r="I148" s="3" t="str">
        <f>+""</f>
        <v/>
      </c>
      <c r="J148" s="38"/>
      <c r="K148" s="3"/>
      <c r="L148" s="35"/>
      <c r="M148" s="3" t="s">
        <v>11</v>
      </c>
      <c r="N148" s="3" t="s">
        <v>407</v>
      </c>
      <c r="O148" s="3" t="s">
        <v>15</v>
      </c>
      <c r="P148" s="3" t="s">
        <v>16</v>
      </c>
      <c r="Q148" s="3" t="s">
        <v>23</v>
      </c>
      <c r="R148" s="22" t="s">
        <v>30</v>
      </c>
    </row>
    <row r="149" spans="1:18" ht="84.95" customHeight="1" x14ac:dyDescent="0.25">
      <c r="A149" s="3" t="s">
        <v>404</v>
      </c>
      <c r="B149" s="34" t="s">
        <v>540</v>
      </c>
      <c r="C149" s="35" t="s">
        <v>539</v>
      </c>
      <c r="D149" s="35"/>
      <c r="E149" s="34" t="s">
        <v>539</v>
      </c>
      <c r="F149" s="35" t="s">
        <v>539</v>
      </c>
      <c r="G149" s="36" t="str">
        <f>+"25-APR-2014"</f>
        <v>25-APR-2014</v>
      </c>
      <c r="H149" s="63">
        <f t="shared" si="2"/>
        <v>241</v>
      </c>
      <c r="I149" s="3" t="str">
        <f>+""</f>
        <v/>
      </c>
      <c r="J149" s="38"/>
      <c r="K149" s="3"/>
      <c r="L149" s="35"/>
      <c r="M149" s="3"/>
      <c r="N149" s="3" t="s">
        <v>405</v>
      </c>
      <c r="O149" s="3" t="s">
        <v>15</v>
      </c>
      <c r="P149" s="3" t="s">
        <v>27</v>
      </c>
      <c r="Q149" s="3" t="s">
        <v>38</v>
      </c>
      <c r="R149" s="22" t="s">
        <v>49</v>
      </c>
    </row>
    <row r="150" spans="1:18" ht="84.95" customHeight="1" x14ac:dyDescent="0.25">
      <c r="A150" s="3" t="s">
        <v>290</v>
      </c>
      <c r="B150" s="34">
        <v>41813</v>
      </c>
      <c r="C150" s="35">
        <v>41848</v>
      </c>
      <c r="D150" s="35"/>
      <c r="E150" s="34" t="s">
        <v>539</v>
      </c>
      <c r="F150" s="35" t="s">
        <v>539</v>
      </c>
      <c r="G150" s="36" t="str">
        <f>+"29-APR-2014"</f>
        <v>29-APR-2014</v>
      </c>
      <c r="H150" s="63">
        <f t="shared" si="2"/>
        <v>237</v>
      </c>
      <c r="I150" s="3" t="str">
        <f>+""</f>
        <v/>
      </c>
      <c r="J150" s="38"/>
      <c r="K150" s="3"/>
      <c r="L150" s="35"/>
      <c r="M150" s="3" t="s">
        <v>21</v>
      </c>
      <c r="N150" s="3" t="s">
        <v>291</v>
      </c>
      <c r="O150" s="3" t="s">
        <v>15</v>
      </c>
      <c r="P150" s="3" t="s">
        <v>16</v>
      </c>
      <c r="Q150" s="3" t="s">
        <v>43</v>
      </c>
      <c r="R150" s="22" t="s">
        <v>285</v>
      </c>
    </row>
    <row r="151" spans="1:18" ht="102.75" customHeight="1" x14ac:dyDescent="0.25">
      <c r="A151" s="3" t="s">
        <v>296</v>
      </c>
      <c r="B151" s="34">
        <v>41934</v>
      </c>
      <c r="C151" s="35" t="s">
        <v>539</v>
      </c>
      <c r="D151" s="35"/>
      <c r="E151" s="34">
        <v>41992</v>
      </c>
      <c r="F151" s="35" t="s">
        <v>539</v>
      </c>
      <c r="G151" s="36" t="str">
        <f>+"30-APR-2014"</f>
        <v>30-APR-2014</v>
      </c>
      <c r="H151" s="63">
        <f t="shared" si="2"/>
        <v>236</v>
      </c>
      <c r="I151" s="3" t="str">
        <f>+""</f>
        <v/>
      </c>
      <c r="J151" s="38"/>
      <c r="K151" s="3"/>
      <c r="L151" s="35"/>
      <c r="M151" s="3" t="s">
        <v>21</v>
      </c>
      <c r="N151" s="3" t="s">
        <v>297</v>
      </c>
      <c r="O151" s="3" t="s">
        <v>15</v>
      </c>
      <c r="P151" s="3" t="s">
        <v>16</v>
      </c>
      <c r="Q151" s="3" t="s">
        <v>43</v>
      </c>
      <c r="R151" s="22" t="s">
        <v>119</v>
      </c>
    </row>
    <row r="152" spans="1:18" ht="84.95" customHeight="1" x14ac:dyDescent="0.25">
      <c r="A152" s="3" t="s">
        <v>531</v>
      </c>
      <c r="B152" s="34">
        <v>41857</v>
      </c>
      <c r="C152" s="35" t="s">
        <v>539</v>
      </c>
      <c r="D152" s="35"/>
      <c r="E152" s="34" t="s">
        <v>539</v>
      </c>
      <c r="F152" s="35" t="s">
        <v>539</v>
      </c>
      <c r="G152" s="36" t="str">
        <f>+"01-MAY-2014"</f>
        <v>01-MAY-2014</v>
      </c>
      <c r="H152" s="63">
        <f t="shared" si="2"/>
        <v>235</v>
      </c>
      <c r="I152" s="3" t="str">
        <f>+""</f>
        <v/>
      </c>
      <c r="J152" s="38"/>
      <c r="K152" s="3"/>
      <c r="L152" s="35"/>
      <c r="M152" s="3" t="s">
        <v>21</v>
      </c>
      <c r="N152" s="3" t="s">
        <v>532</v>
      </c>
      <c r="O152" s="3" t="s">
        <v>15</v>
      </c>
      <c r="P152" s="3" t="s">
        <v>27</v>
      </c>
      <c r="Q152" s="3" t="s">
        <v>14</v>
      </c>
      <c r="R152" s="22" t="s">
        <v>455</v>
      </c>
    </row>
    <row r="153" spans="1:18" ht="84.95" customHeight="1" x14ac:dyDescent="0.25">
      <c r="A153" s="3" t="s">
        <v>304</v>
      </c>
      <c r="B153" s="34">
        <v>41813</v>
      </c>
      <c r="C153" s="35">
        <v>41848</v>
      </c>
      <c r="D153" s="35"/>
      <c r="E153" s="34" t="s">
        <v>539</v>
      </c>
      <c r="F153" s="35" t="s">
        <v>539</v>
      </c>
      <c r="G153" s="36" t="str">
        <f>+"01-MAY-2014"</f>
        <v>01-MAY-2014</v>
      </c>
      <c r="H153" s="63">
        <f t="shared" si="2"/>
        <v>235</v>
      </c>
      <c r="I153" s="3" t="str">
        <f>+""</f>
        <v/>
      </c>
      <c r="J153" s="38"/>
      <c r="K153" s="3"/>
      <c r="L153" s="35"/>
      <c r="M153" s="3" t="s">
        <v>21</v>
      </c>
      <c r="N153" s="3" t="s">
        <v>305</v>
      </c>
      <c r="O153" s="3" t="s">
        <v>15</v>
      </c>
      <c r="P153" s="3" t="s">
        <v>16</v>
      </c>
      <c r="Q153" s="3" t="s">
        <v>43</v>
      </c>
      <c r="R153" s="22" t="s">
        <v>285</v>
      </c>
    </row>
    <row r="154" spans="1:18" ht="84.95" customHeight="1" x14ac:dyDescent="0.25">
      <c r="A154" s="3" t="s">
        <v>302</v>
      </c>
      <c r="B154" s="34">
        <v>41813</v>
      </c>
      <c r="C154" s="35">
        <v>41848</v>
      </c>
      <c r="D154" s="35"/>
      <c r="E154" s="34" t="s">
        <v>539</v>
      </c>
      <c r="F154" s="35" t="s">
        <v>539</v>
      </c>
      <c r="G154" s="36" t="str">
        <f>+"01-MAY-2014"</f>
        <v>01-MAY-2014</v>
      </c>
      <c r="H154" s="63">
        <f t="shared" si="2"/>
        <v>235</v>
      </c>
      <c r="I154" s="3" t="str">
        <f>+""</f>
        <v/>
      </c>
      <c r="J154" s="38"/>
      <c r="K154" s="3"/>
      <c r="L154" s="35"/>
      <c r="M154" s="3" t="s">
        <v>21</v>
      </c>
      <c r="N154" s="3" t="s">
        <v>303</v>
      </c>
      <c r="O154" s="3" t="s">
        <v>15</v>
      </c>
      <c r="P154" s="3" t="s">
        <v>16</v>
      </c>
      <c r="Q154" s="3" t="s">
        <v>43</v>
      </c>
      <c r="R154" s="22" t="s">
        <v>285</v>
      </c>
    </row>
    <row r="155" spans="1:18" ht="84.95" customHeight="1" x14ac:dyDescent="0.25">
      <c r="A155" s="3" t="s">
        <v>300</v>
      </c>
      <c r="B155" s="34">
        <v>41813</v>
      </c>
      <c r="C155" s="35">
        <v>41848</v>
      </c>
      <c r="D155" s="35"/>
      <c r="E155" s="34" t="s">
        <v>539</v>
      </c>
      <c r="F155" s="35" t="s">
        <v>539</v>
      </c>
      <c r="G155" s="36" t="str">
        <f>+"01-MAY-2014"</f>
        <v>01-MAY-2014</v>
      </c>
      <c r="H155" s="63">
        <f t="shared" si="2"/>
        <v>235</v>
      </c>
      <c r="I155" s="3" t="str">
        <f>+""</f>
        <v/>
      </c>
      <c r="J155" s="38"/>
      <c r="K155" s="3"/>
      <c r="L155" s="35"/>
      <c r="M155" s="3" t="s">
        <v>21</v>
      </c>
      <c r="N155" s="3" t="s">
        <v>301</v>
      </c>
      <c r="O155" s="3" t="s">
        <v>15</v>
      </c>
      <c r="P155" s="3" t="s">
        <v>16</v>
      </c>
      <c r="Q155" s="3" t="s">
        <v>43</v>
      </c>
      <c r="R155" s="22" t="s">
        <v>285</v>
      </c>
    </row>
    <row r="156" spans="1:18" ht="84.95" customHeight="1" x14ac:dyDescent="0.25">
      <c r="A156" s="3" t="s">
        <v>416</v>
      </c>
      <c r="B156" s="34">
        <v>41866</v>
      </c>
      <c r="C156" s="35">
        <v>41932</v>
      </c>
      <c r="D156" s="35"/>
      <c r="E156" s="34">
        <v>41991</v>
      </c>
      <c r="F156" s="35" t="s">
        <v>539</v>
      </c>
      <c r="G156" s="36" t="str">
        <f>+"02-MAY-2014"</f>
        <v>02-MAY-2014</v>
      </c>
      <c r="H156" s="63">
        <f t="shared" si="2"/>
        <v>234</v>
      </c>
      <c r="I156" s="3" t="str">
        <f>+""</f>
        <v/>
      </c>
      <c r="J156" s="38"/>
      <c r="K156" s="3"/>
      <c r="L156" s="35"/>
      <c r="M156" s="3" t="s">
        <v>11</v>
      </c>
      <c r="N156" s="3" t="s">
        <v>417</v>
      </c>
      <c r="O156" s="3" t="s">
        <v>15</v>
      </c>
      <c r="P156" s="3" t="s">
        <v>44</v>
      </c>
      <c r="Q156" s="3" t="s">
        <v>43</v>
      </c>
      <c r="R156" s="22" t="s">
        <v>60</v>
      </c>
    </row>
    <row r="157" spans="1:18" ht="84.95" customHeight="1" x14ac:dyDescent="0.25">
      <c r="A157" s="3" t="s">
        <v>298</v>
      </c>
      <c r="B157" s="34" t="s">
        <v>539</v>
      </c>
      <c r="C157" s="35" t="s">
        <v>539</v>
      </c>
      <c r="D157" s="35"/>
      <c r="E157" s="34" t="s">
        <v>539</v>
      </c>
      <c r="F157" s="35" t="s">
        <v>539</v>
      </c>
      <c r="G157" s="36" t="str">
        <f>+"02-MAY-2014"</f>
        <v>02-MAY-2014</v>
      </c>
      <c r="H157" s="63">
        <f t="shared" si="2"/>
        <v>234</v>
      </c>
      <c r="I157" s="3" t="str">
        <f>+""</f>
        <v/>
      </c>
      <c r="J157" s="38"/>
      <c r="K157" s="3"/>
      <c r="L157" s="35"/>
      <c r="M157" s="3" t="s">
        <v>21</v>
      </c>
      <c r="N157" s="3" t="s">
        <v>299</v>
      </c>
      <c r="O157" s="3" t="s">
        <v>15</v>
      </c>
      <c r="P157" s="3" t="s">
        <v>27</v>
      </c>
      <c r="Q157" s="3" t="s">
        <v>38</v>
      </c>
      <c r="R157" s="22" t="s">
        <v>163</v>
      </c>
    </row>
    <row r="158" spans="1:18" ht="84.95" customHeight="1" x14ac:dyDescent="0.25">
      <c r="A158" s="3" t="s">
        <v>533</v>
      </c>
      <c r="B158" s="34">
        <v>41864</v>
      </c>
      <c r="C158" s="35">
        <v>41908</v>
      </c>
      <c r="D158" s="35"/>
      <c r="E158" s="34" t="s">
        <v>539</v>
      </c>
      <c r="F158" s="35" t="s">
        <v>539</v>
      </c>
      <c r="G158" s="36" t="str">
        <f>+"15-MAY-2014"</f>
        <v>15-MAY-2014</v>
      </c>
      <c r="H158" s="63">
        <f t="shared" si="2"/>
        <v>221</v>
      </c>
      <c r="I158" s="3" t="str">
        <f>+""</f>
        <v/>
      </c>
      <c r="J158" s="38"/>
      <c r="K158" s="3"/>
      <c r="L158" s="35"/>
      <c r="M158" s="3" t="s">
        <v>21</v>
      </c>
      <c r="N158" s="3" t="s">
        <v>534</v>
      </c>
      <c r="O158" s="3" t="s">
        <v>15</v>
      </c>
      <c r="P158" s="3" t="s">
        <v>44</v>
      </c>
      <c r="Q158" s="3" t="s">
        <v>43</v>
      </c>
      <c r="R158" s="22" t="s">
        <v>163</v>
      </c>
    </row>
    <row r="159" spans="1:18" ht="84.95" customHeight="1" x14ac:dyDescent="0.25">
      <c r="A159" s="3" t="s">
        <v>449</v>
      </c>
      <c r="B159" s="34" t="s">
        <v>539</v>
      </c>
      <c r="C159" s="35" t="s">
        <v>539</v>
      </c>
      <c r="D159" s="35"/>
      <c r="E159" s="34" t="s">
        <v>539</v>
      </c>
      <c r="F159" s="35" t="s">
        <v>539</v>
      </c>
      <c r="G159" s="36" t="str">
        <f>+"15-MAY-2014"</f>
        <v>15-MAY-2014</v>
      </c>
      <c r="H159" s="63">
        <f t="shared" si="2"/>
        <v>221</v>
      </c>
      <c r="I159" s="3" t="str">
        <f>+""</f>
        <v/>
      </c>
      <c r="J159" s="38"/>
      <c r="K159" s="3"/>
      <c r="L159" s="35"/>
      <c r="M159" s="3" t="s">
        <v>21</v>
      </c>
      <c r="N159" s="3" t="s">
        <v>450</v>
      </c>
      <c r="O159" s="3" t="s">
        <v>15</v>
      </c>
      <c r="P159" s="3" t="s">
        <v>27</v>
      </c>
      <c r="Q159" s="3" t="s">
        <v>17</v>
      </c>
      <c r="R159" s="22" t="s">
        <v>79</v>
      </c>
    </row>
    <row r="160" spans="1:18" ht="84.95" customHeight="1" x14ac:dyDescent="0.25">
      <c r="A160" s="3" t="s">
        <v>412</v>
      </c>
      <c r="B160" s="34" t="s">
        <v>539</v>
      </c>
      <c r="C160" s="35" t="s">
        <v>539</v>
      </c>
      <c r="D160" s="35"/>
      <c r="E160" s="34" t="s">
        <v>539</v>
      </c>
      <c r="F160" s="35" t="s">
        <v>539</v>
      </c>
      <c r="G160" s="36" t="str">
        <f>+"15-MAY-2014"</f>
        <v>15-MAY-2014</v>
      </c>
      <c r="H160" s="63">
        <f t="shared" si="2"/>
        <v>221</v>
      </c>
      <c r="I160" s="3" t="str">
        <f>+""</f>
        <v/>
      </c>
      <c r="J160" s="38"/>
      <c r="K160" s="3"/>
      <c r="L160" s="35"/>
      <c r="M160" s="3"/>
      <c r="N160" s="3" t="s">
        <v>413</v>
      </c>
      <c r="O160" s="3" t="s">
        <v>15</v>
      </c>
      <c r="P160" s="3" t="s">
        <v>16</v>
      </c>
      <c r="Q160" s="3" t="s">
        <v>23</v>
      </c>
      <c r="R160" s="22" t="s">
        <v>66</v>
      </c>
    </row>
    <row r="161" spans="1:18" ht="84.95" customHeight="1" x14ac:dyDescent="0.25">
      <c r="A161" s="3" t="s">
        <v>410</v>
      </c>
      <c r="B161" s="34">
        <v>41863</v>
      </c>
      <c r="C161" s="35" t="s">
        <v>539</v>
      </c>
      <c r="D161" s="35"/>
      <c r="E161" s="34">
        <v>42046</v>
      </c>
      <c r="F161" s="35" t="s">
        <v>539</v>
      </c>
      <c r="G161" s="36" t="str">
        <f>+"15-MAY-2014"</f>
        <v>15-MAY-2014</v>
      </c>
      <c r="H161" s="63">
        <f t="shared" si="2"/>
        <v>221</v>
      </c>
      <c r="I161" s="3" t="str">
        <f>+""</f>
        <v/>
      </c>
      <c r="J161" s="38"/>
      <c r="K161" s="3"/>
      <c r="L161" s="35"/>
      <c r="M161" s="3" t="s">
        <v>11</v>
      </c>
      <c r="N161" s="3" t="s">
        <v>411</v>
      </c>
      <c r="O161" s="3" t="s">
        <v>15</v>
      </c>
      <c r="P161" s="3" t="s">
        <v>27</v>
      </c>
      <c r="Q161" s="3" t="s">
        <v>17</v>
      </c>
      <c r="R161" s="22" t="s">
        <v>30</v>
      </c>
    </row>
    <row r="162" spans="1:18" ht="84.95" customHeight="1" x14ac:dyDescent="0.25">
      <c r="A162" s="3" t="s">
        <v>414</v>
      </c>
      <c r="B162" s="34">
        <v>41892</v>
      </c>
      <c r="C162" s="35">
        <v>41906</v>
      </c>
      <c r="D162" s="35"/>
      <c r="E162" s="34">
        <v>42011</v>
      </c>
      <c r="F162" s="35" t="s">
        <v>539</v>
      </c>
      <c r="G162" s="36" t="str">
        <f>+"16-MAY-2014"</f>
        <v>16-MAY-2014</v>
      </c>
      <c r="H162" s="63">
        <f t="shared" si="2"/>
        <v>220</v>
      </c>
      <c r="I162" s="3" t="str">
        <f>+""</f>
        <v/>
      </c>
      <c r="J162" s="38"/>
      <c r="K162" s="3"/>
      <c r="L162" s="35"/>
      <c r="M162" s="3" t="s">
        <v>11</v>
      </c>
      <c r="N162" s="3" t="s">
        <v>415</v>
      </c>
      <c r="O162" s="3" t="s">
        <v>15</v>
      </c>
      <c r="P162" s="3" t="s">
        <v>16</v>
      </c>
      <c r="Q162" s="3" t="s">
        <v>38</v>
      </c>
      <c r="R162" s="22" t="s">
        <v>625</v>
      </c>
    </row>
    <row r="163" spans="1:18" ht="84.95" customHeight="1" x14ac:dyDescent="0.25">
      <c r="A163" s="3" t="s">
        <v>306</v>
      </c>
      <c r="B163" s="34">
        <v>41912</v>
      </c>
      <c r="C163" s="35" t="s">
        <v>539</v>
      </c>
      <c r="D163" s="35"/>
      <c r="E163" s="34" t="s">
        <v>539</v>
      </c>
      <c r="F163" s="35" t="s">
        <v>539</v>
      </c>
      <c r="G163" s="36" t="str">
        <f>+"27-MAY-2014"</f>
        <v>27-MAY-2014</v>
      </c>
      <c r="H163" s="63">
        <f t="shared" si="2"/>
        <v>209</v>
      </c>
      <c r="I163" s="3" t="str">
        <f>+""</f>
        <v/>
      </c>
      <c r="J163" s="38"/>
      <c r="K163" s="3"/>
      <c r="L163" s="35"/>
      <c r="M163" s="3" t="s">
        <v>11</v>
      </c>
      <c r="N163" s="3" t="s">
        <v>307</v>
      </c>
      <c r="O163" s="3" t="s">
        <v>15</v>
      </c>
      <c r="P163" s="3" t="s">
        <v>16</v>
      </c>
      <c r="Q163" s="3" t="s">
        <v>23</v>
      </c>
      <c r="R163" s="22" t="s">
        <v>80</v>
      </c>
    </row>
    <row r="164" spans="1:18" ht="84.95" customHeight="1" x14ac:dyDescent="0.25">
      <c r="A164" s="3" t="s">
        <v>310</v>
      </c>
      <c r="B164" s="34">
        <v>41848</v>
      </c>
      <c r="C164" s="35">
        <v>41855</v>
      </c>
      <c r="D164" s="35"/>
      <c r="E164" s="34">
        <v>41989</v>
      </c>
      <c r="F164" s="35" t="s">
        <v>539</v>
      </c>
      <c r="G164" s="36" t="str">
        <f>+"30-MAY-2014"</f>
        <v>30-MAY-2014</v>
      </c>
      <c r="H164" s="63">
        <f t="shared" si="2"/>
        <v>206</v>
      </c>
      <c r="I164" s="3" t="str">
        <f>+""</f>
        <v/>
      </c>
      <c r="J164" s="38"/>
      <c r="K164" s="3"/>
      <c r="L164" s="35"/>
      <c r="M164" s="3" t="s">
        <v>11</v>
      </c>
      <c r="N164" s="3" t="s">
        <v>311</v>
      </c>
      <c r="O164" s="3" t="s">
        <v>15</v>
      </c>
      <c r="P164" s="3" t="s">
        <v>16</v>
      </c>
      <c r="Q164" s="3" t="s">
        <v>23</v>
      </c>
      <c r="R164" s="22" t="s">
        <v>79</v>
      </c>
    </row>
    <row r="165" spans="1:18" ht="84.95" customHeight="1" x14ac:dyDescent="0.25">
      <c r="A165" s="3" t="s">
        <v>308</v>
      </c>
      <c r="B165" s="34">
        <v>41887</v>
      </c>
      <c r="C165" s="35" t="s">
        <v>539</v>
      </c>
      <c r="D165" s="35"/>
      <c r="E165" s="34">
        <v>41893</v>
      </c>
      <c r="F165" s="35">
        <v>41911</v>
      </c>
      <c r="G165" s="36" t="str">
        <f>+"30-MAY-2014"</f>
        <v>30-MAY-2014</v>
      </c>
      <c r="H165" s="63">
        <f t="shared" si="2"/>
        <v>206</v>
      </c>
      <c r="I165" s="3" t="str">
        <f>+""</f>
        <v/>
      </c>
      <c r="J165" s="38"/>
      <c r="K165" s="3"/>
      <c r="L165" s="35"/>
      <c r="M165" s="3" t="s">
        <v>11</v>
      </c>
      <c r="N165" s="3" t="s">
        <v>309</v>
      </c>
      <c r="O165" s="3" t="s">
        <v>15</v>
      </c>
      <c r="P165" s="3" t="s">
        <v>16</v>
      </c>
      <c r="Q165" s="3" t="s">
        <v>23</v>
      </c>
      <c r="R165" s="22" t="s">
        <v>53</v>
      </c>
    </row>
    <row r="166" spans="1:18" ht="84.95" customHeight="1" x14ac:dyDescent="0.25">
      <c r="A166" s="3" t="s">
        <v>317</v>
      </c>
      <c r="B166" s="34">
        <v>41850</v>
      </c>
      <c r="C166" s="35">
        <v>41865</v>
      </c>
      <c r="D166" s="35"/>
      <c r="E166" s="34" t="s">
        <v>539</v>
      </c>
      <c r="F166" s="35" t="s">
        <v>539</v>
      </c>
      <c r="G166" s="36" t="str">
        <f>+"02-JUN-2014"</f>
        <v>02-JUN-2014</v>
      </c>
      <c r="H166" s="63">
        <f t="shared" si="2"/>
        <v>203</v>
      </c>
      <c r="I166" s="3" t="str">
        <f>+""</f>
        <v/>
      </c>
      <c r="J166" s="38"/>
      <c r="K166" s="3"/>
      <c r="L166" s="35"/>
      <c r="M166" s="3" t="s">
        <v>11</v>
      </c>
      <c r="N166" s="3" t="s">
        <v>318</v>
      </c>
      <c r="O166" s="3" t="s">
        <v>15</v>
      </c>
      <c r="P166" s="3" t="s">
        <v>16</v>
      </c>
      <c r="Q166" s="3" t="s">
        <v>14</v>
      </c>
      <c r="R166" s="22" t="s">
        <v>73</v>
      </c>
    </row>
    <row r="167" spans="1:18" ht="84.95" customHeight="1" x14ac:dyDescent="0.25">
      <c r="A167" s="3" t="s">
        <v>315</v>
      </c>
      <c r="B167" s="34">
        <v>41850</v>
      </c>
      <c r="C167" s="35">
        <v>41865</v>
      </c>
      <c r="D167" s="35"/>
      <c r="E167" s="34" t="s">
        <v>539</v>
      </c>
      <c r="F167" s="35" t="s">
        <v>539</v>
      </c>
      <c r="G167" s="36" t="str">
        <f>+"02-JUN-2014"</f>
        <v>02-JUN-2014</v>
      </c>
      <c r="H167" s="63">
        <f t="shared" si="2"/>
        <v>203</v>
      </c>
      <c r="I167" s="3" t="str">
        <f>+""</f>
        <v/>
      </c>
      <c r="J167" s="38"/>
      <c r="K167" s="3"/>
      <c r="L167" s="35"/>
      <c r="M167" s="3" t="s">
        <v>11</v>
      </c>
      <c r="N167" s="3" t="s">
        <v>316</v>
      </c>
      <c r="O167" s="3" t="s">
        <v>15</v>
      </c>
      <c r="P167" s="3" t="s">
        <v>16</v>
      </c>
      <c r="Q167" s="3" t="s">
        <v>14</v>
      </c>
      <c r="R167" s="22" t="s">
        <v>73</v>
      </c>
    </row>
    <row r="168" spans="1:18" ht="84.95" customHeight="1" x14ac:dyDescent="0.25">
      <c r="A168" s="3" t="s">
        <v>313</v>
      </c>
      <c r="B168" s="34">
        <v>41850</v>
      </c>
      <c r="C168" s="35">
        <v>41865</v>
      </c>
      <c r="D168" s="35"/>
      <c r="E168" s="34" t="s">
        <v>539</v>
      </c>
      <c r="F168" s="35" t="s">
        <v>539</v>
      </c>
      <c r="G168" s="36" t="str">
        <f>+"02-JUN-2014"</f>
        <v>02-JUN-2014</v>
      </c>
      <c r="H168" s="63">
        <f t="shared" si="2"/>
        <v>203</v>
      </c>
      <c r="I168" s="3" t="str">
        <f>+""</f>
        <v/>
      </c>
      <c r="J168" s="38"/>
      <c r="K168" s="3"/>
      <c r="L168" s="35"/>
      <c r="M168" s="3" t="s">
        <v>11</v>
      </c>
      <c r="N168" s="3" t="s">
        <v>314</v>
      </c>
      <c r="O168" s="3" t="s">
        <v>15</v>
      </c>
      <c r="P168" s="3" t="s">
        <v>16</v>
      </c>
      <c r="Q168" s="3" t="s">
        <v>14</v>
      </c>
      <c r="R168" s="22" t="s">
        <v>73</v>
      </c>
    </row>
    <row r="169" spans="1:18" ht="84.95" customHeight="1" x14ac:dyDescent="0.25">
      <c r="A169" s="3" t="s">
        <v>319</v>
      </c>
      <c r="B169" s="34" t="s">
        <v>539</v>
      </c>
      <c r="C169" s="35" t="s">
        <v>539</v>
      </c>
      <c r="D169" s="35"/>
      <c r="E169" s="34" t="s">
        <v>539</v>
      </c>
      <c r="F169" s="35" t="s">
        <v>539</v>
      </c>
      <c r="G169" s="36" t="str">
        <f>+"09-JUN-2014"</f>
        <v>09-JUN-2014</v>
      </c>
      <c r="H169" s="63">
        <f t="shared" si="2"/>
        <v>196</v>
      </c>
      <c r="I169" s="3" t="str">
        <f>+""</f>
        <v/>
      </c>
      <c r="J169" s="38"/>
      <c r="K169" s="3"/>
      <c r="L169" s="35"/>
      <c r="M169" s="3" t="s">
        <v>21</v>
      </c>
      <c r="N169" s="3" t="s">
        <v>320</v>
      </c>
      <c r="O169" s="3" t="s">
        <v>15</v>
      </c>
      <c r="P169" s="3" t="s">
        <v>52</v>
      </c>
      <c r="Q169" s="3" t="s">
        <v>23</v>
      </c>
      <c r="R169" s="22" t="s">
        <v>119</v>
      </c>
    </row>
    <row r="170" spans="1:18" ht="84.95" customHeight="1" x14ac:dyDescent="0.25">
      <c r="A170" s="3" t="s">
        <v>325</v>
      </c>
      <c r="B170" s="34">
        <v>41891</v>
      </c>
      <c r="C170" s="35">
        <v>41901</v>
      </c>
      <c r="D170" s="35"/>
      <c r="E170" s="34">
        <v>41947</v>
      </c>
      <c r="F170" s="35" t="s">
        <v>539</v>
      </c>
      <c r="G170" s="36" t="str">
        <f>+"11-JUN-2014"</f>
        <v>11-JUN-2014</v>
      </c>
      <c r="H170" s="63">
        <f t="shared" si="2"/>
        <v>194</v>
      </c>
      <c r="I170" s="3" t="str">
        <f>+""</f>
        <v/>
      </c>
      <c r="J170" s="38"/>
      <c r="K170" s="3"/>
      <c r="L170" s="35"/>
      <c r="M170" s="3" t="s">
        <v>11</v>
      </c>
      <c r="N170" s="3" t="s">
        <v>326</v>
      </c>
      <c r="O170" s="3" t="s">
        <v>15</v>
      </c>
      <c r="P170" s="3" t="s">
        <v>16</v>
      </c>
      <c r="Q170" s="3" t="s">
        <v>23</v>
      </c>
      <c r="R170" s="22" t="s">
        <v>30</v>
      </c>
    </row>
    <row r="171" spans="1:18" ht="84.95" customHeight="1" x14ac:dyDescent="0.25">
      <c r="A171" s="3" t="s">
        <v>323</v>
      </c>
      <c r="B171" s="34">
        <v>41906</v>
      </c>
      <c r="C171" s="35">
        <v>41927</v>
      </c>
      <c r="D171" s="35"/>
      <c r="E171" s="34" t="s">
        <v>539</v>
      </c>
      <c r="F171" s="35" t="s">
        <v>539</v>
      </c>
      <c r="G171" s="36" t="str">
        <f>+"11-JUN-2014"</f>
        <v>11-JUN-2014</v>
      </c>
      <c r="H171" s="63">
        <f t="shared" si="2"/>
        <v>194</v>
      </c>
      <c r="I171" s="3" t="str">
        <f>+""</f>
        <v/>
      </c>
      <c r="J171" s="38"/>
      <c r="K171" s="3"/>
      <c r="L171" s="35"/>
      <c r="M171" s="3" t="s">
        <v>11</v>
      </c>
      <c r="N171" s="3" t="s">
        <v>324</v>
      </c>
      <c r="O171" s="3" t="s">
        <v>15</v>
      </c>
      <c r="P171" s="3" t="s">
        <v>16</v>
      </c>
      <c r="Q171" s="3" t="s">
        <v>23</v>
      </c>
      <c r="R171" s="22" t="s">
        <v>30</v>
      </c>
    </row>
    <row r="172" spans="1:18" ht="84.95" customHeight="1" x14ac:dyDescent="0.25">
      <c r="A172" s="3" t="s">
        <v>543</v>
      </c>
      <c r="B172" s="34" t="s">
        <v>539</v>
      </c>
      <c r="C172" s="35" t="s">
        <v>539</v>
      </c>
      <c r="D172" s="35"/>
      <c r="E172" s="34" t="s">
        <v>539</v>
      </c>
      <c r="F172" s="35" t="s">
        <v>539</v>
      </c>
      <c r="G172" s="3" t="str">
        <f>+"12-JUN-2014"</f>
        <v>12-JUN-2014</v>
      </c>
      <c r="H172" s="63">
        <f t="shared" si="2"/>
        <v>193</v>
      </c>
      <c r="I172" s="3"/>
      <c r="J172" s="38"/>
      <c r="K172" s="3"/>
      <c r="L172" s="35"/>
      <c r="M172" s="3" t="s">
        <v>21</v>
      </c>
      <c r="N172" s="3" t="s">
        <v>548</v>
      </c>
      <c r="O172" s="3" t="s">
        <v>15</v>
      </c>
      <c r="P172" s="3" t="s">
        <v>27</v>
      </c>
      <c r="Q172" s="3" t="s">
        <v>38</v>
      </c>
      <c r="R172" s="22" t="s">
        <v>312</v>
      </c>
    </row>
    <row r="173" spans="1:18" ht="84.95" customHeight="1" x14ac:dyDescent="0.25">
      <c r="A173" s="3" t="s">
        <v>605</v>
      </c>
      <c r="B173" s="34">
        <v>41929</v>
      </c>
      <c r="C173" s="35" t="s">
        <v>539</v>
      </c>
      <c r="D173" s="35"/>
      <c r="E173" s="34" t="s">
        <v>539</v>
      </c>
      <c r="F173" s="35" t="s">
        <v>539</v>
      </c>
      <c r="G173" s="2" t="str">
        <f>+"13-JUN-2014"</f>
        <v>13-JUN-2014</v>
      </c>
      <c r="H173" s="63">
        <f t="shared" si="2"/>
        <v>192</v>
      </c>
      <c r="I173" s="3"/>
      <c r="J173" s="38"/>
      <c r="K173" s="3"/>
      <c r="L173" s="35"/>
      <c r="M173" s="2" t="s">
        <v>21</v>
      </c>
      <c r="N173" s="2" t="s">
        <v>628</v>
      </c>
      <c r="O173" s="2" t="s">
        <v>15</v>
      </c>
      <c r="P173" s="2" t="s">
        <v>52</v>
      </c>
      <c r="Q173" s="2" t="s">
        <v>43</v>
      </c>
      <c r="R173" s="21" t="s">
        <v>108</v>
      </c>
    </row>
    <row r="174" spans="1:18" ht="84.95" customHeight="1" x14ac:dyDescent="0.25">
      <c r="A174" s="3" t="s">
        <v>321</v>
      </c>
      <c r="B174" s="34" t="s">
        <v>539</v>
      </c>
      <c r="C174" s="35" t="s">
        <v>539</v>
      </c>
      <c r="D174" s="35"/>
      <c r="E174" s="34" t="s">
        <v>539</v>
      </c>
      <c r="F174" s="35" t="s">
        <v>539</v>
      </c>
      <c r="G174" s="36" t="str">
        <f>+"13-JUN-2014"</f>
        <v>13-JUN-2014</v>
      </c>
      <c r="H174" s="63">
        <f t="shared" si="2"/>
        <v>192</v>
      </c>
      <c r="I174" s="3" t="str">
        <f>+""</f>
        <v/>
      </c>
      <c r="J174" s="38"/>
      <c r="K174" s="3"/>
      <c r="L174" s="35"/>
      <c r="M174" s="3" t="s">
        <v>11</v>
      </c>
      <c r="N174" s="3" t="s">
        <v>322</v>
      </c>
      <c r="O174" s="3" t="s">
        <v>15</v>
      </c>
      <c r="P174" s="3" t="s">
        <v>67</v>
      </c>
      <c r="Q174" s="3" t="s">
        <v>23</v>
      </c>
      <c r="R174" s="22" t="s">
        <v>688</v>
      </c>
    </row>
    <row r="175" spans="1:18" ht="84.95" customHeight="1" x14ac:dyDescent="0.25">
      <c r="A175" s="3" t="s">
        <v>327</v>
      </c>
      <c r="B175" s="34" t="s">
        <v>539</v>
      </c>
      <c r="C175" s="35" t="s">
        <v>539</v>
      </c>
      <c r="D175" s="35"/>
      <c r="E175" s="34" t="s">
        <v>539</v>
      </c>
      <c r="F175" s="35" t="s">
        <v>539</v>
      </c>
      <c r="G175" s="36" t="str">
        <f>+"17-JUN-2014"</f>
        <v>17-JUN-2014</v>
      </c>
      <c r="H175" s="63">
        <f t="shared" si="2"/>
        <v>188</v>
      </c>
      <c r="I175" s="3" t="str">
        <f>+""</f>
        <v/>
      </c>
      <c r="J175" s="38"/>
      <c r="K175" s="3"/>
      <c r="L175" s="35"/>
      <c r="M175" s="3" t="s">
        <v>21</v>
      </c>
      <c r="N175" s="3" t="s">
        <v>328</v>
      </c>
      <c r="O175" s="3" t="s">
        <v>15</v>
      </c>
      <c r="P175" s="3" t="s">
        <v>27</v>
      </c>
      <c r="Q175" s="3" t="s">
        <v>38</v>
      </c>
      <c r="R175" s="22" t="s">
        <v>35</v>
      </c>
    </row>
    <row r="176" spans="1:18" ht="84.95" customHeight="1" x14ac:dyDescent="0.25">
      <c r="A176" s="3" t="s">
        <v>329</v>
      </c>
      <c r="B176" s="34">
        <v>41899</v>
      </c>
      <c r="C176" s="35">
        <v>41908</v>
      </c>
      <c r="D176" s="35"/>
      <c r="E176" s="34">
        <v>42198</v>
      </c>
      <c r="F176" s="35" t="s">
        <v>539</v>
      </c>
      <c r="G176" s="36" t="str">
        <f>+"20-JUN-2014"</f>
        <v>20-JUN-2014</v>
      </c>
      <c r="H176" s="63">
        <f t="shared" si="2"/>
        <v>185</v>
      </c>
      <c r="I176" s="3" t="str">
        <f>+""</f>
        <v/>
      </c>
      <c r="J176" s="38"/>
      <c r="K176" s="3"/>
      <c r="L176" s="35"/>
      <c r="M176" s="3" t="s">
        <v>11</v>
      </c>
      <c r="N176" s="3" t="s">
        <v>330</v>
      </c>
      <c r="O176" s="3" t="s">
        <v>15</v>
      </c>
      <c r="P176" s="3" t="s">
        <v>16</v>
      </c>
      <c r="Q176" s="3" t="s">
        <v>23</v>
      </c>
      <c r="R176" s="22" t="s">
        <v>49</v>
      </c>
    </row>
    <row r="177" spans="1:18" ht="84.95" customHeight="1" x14ac:dyDescent="0.25">
      <c r="A177" s="3" t="s">
        <v>418</v>
      </c>
      <c r="B177" s="34" t="s">
        <v>539</v>
      </c>
      <c r="C177" s="35" t="s">
        <v>539</v>
      </c>
      <c r="D177" s="35"/>
      <c r="E177" s="34" t="s">
        <v>539</v>
      </c>
      <c r="F177" s="35" t="s">
        <v>539</v>
      </c>
      <c r="G177" s="36" t="str">
        <f>+"23-JUN-2014"</f>
        <v>23-JUN-2014</v>
      </c>
      <c r="H177" s="63">
        <f t="shared" si="2"/>
        <v>182</v>
      </c>
      <c r="I177" s="3" t="str">
        <f>+""</f>
        <v/>
      </c>
      <c r="J177" s="38"/>
      <c r="K177" s="3"/>
      <c r="L177" s="35"/>
      <c r="M177" s="3"/>
      <c r="N177" s="3" t="s">
        <v>419</v>
      </c>
      <c r="O177" s="3" t="s">
        <v>15</v>
      </c>
      <c r="P177" s="3" t="s">
        <v>19</v>
      </c>
      <c r="Q177" s="3" t="s">
        <v>38</v>
      </c>
      <c r="R177" s="22" t="s">
        <v>49</v>
      </c>
    </row>
    <row r="178" spans="1:18" ht="84.95" customHeight="1" x14ac:dyDescent="0.25">
      <c r="A178" s="3" t="s">
        <v>331</v>
      </c>
      <c r="B178" s="34" t="s">
        <v>539</v>
      </c>
      <c r="C178" s="35" t="s">
        <v>539</v>
      </c>
      <c r="D178" s="35"/>
      <c r="E178" s="34" t="s">
        <v>539</v>
      </c>
      <c r="F178" s="35" t="s">
        <v>539</v>
      </c>
      <c r="G178" s="36" t="str">
        <f>+"24-JUN-2014"</f>
        <v>24-JUN-2014</v>
      </c>
      <c r="H178" s="63">
        <f t="shared" si="2"/>
        <v>181</v>
      </c>
      <c r="I178" s="3" t="str">
        <f>+""</f>
        <v/>
      </c>
      <c r="J178" s="38"/>
      <c r="K178" s="3"/>
      <c r="L178" s="35"/>
      <c r="M178" s="3" t="s">
        <v>21</v>
      </c>
      <c r="N178" s="3" t="s">
        <v>332</v>
      </c>
      <c r="O178" s="3" t="s">
        <v>15</v>
      </c>
      <c r="P178" s="3" t="s">
        <v>44</v>
      </c>
      <c r="Q178" s="3" t="s">
        <v>38</v>
      </c>
      <c r="R178" s="22" t="s">
        <v>312</v>
      </c>
    </row>
    <row r="179" spans="1:18" ht="84.95" customHeight="1" x14ac:dyDescent="0.25">
      <c r="A179" s="3" t="s">
        <v>451</v>
      </c>
      <c r="B179" s="34">
        <v>41932</v>
      </c>
      <c r="C179" s="35" t="s">
        <v>539</v>
      </c>
      <c r="D179" s="35"/>
      <c r="E179" s="34" t="s">
        <v>539</v>
      </c>
      <c r="F179" s="35" t="s">
        <v>539</v>
      </c>
      <c r="G179" s="36" t="str">
        <f>+"26-JUN-2014"</f>
        <v>26-JUN-2014</v>
      </c>
      <c r="H179" s="63">
        <f t="shared" si="2"/>
        <v>179</v>
      </c>
      <c r="I179" s="3" t="str">
        <f>+""</f>
        <v/>
      </c>
      <c r="J179" s="38"/>
      <c r="K179" s="3"/>
      <c r="L179" s="35"/>
      <c r="M179" s="3" t="s">
        <v>11</v>
      </c>
      <c r="N179" s="3" t="s">
        <v>452</v>
      </c>
      <c r="O179" s="3" t="s">
        <v>15</v>
      </c>
      <c r="P179" s="3" t="s">
        <v>67</v>
      </c>
      <c r="Q179" s="3" t="s">
        <v>38</v>
      </c>
      <c r="R179" s="22" t="s">
        <v>74</v>
      </c>
    </row>
    <row r="180" spans="1:18" ht="84.95" customHeight="1" x14ac:dyDescent="0.25">
      <c r="A180" s="3" t="s">
        <v>333</v>
      </c>
      <c r="B180" s="34">
        <v>41870</v>
      </c>
      <c r="C180" s="35" t="s">
        <v>539</v>
      </c>
      <c r="D180" s="35"/>
      <c r="E180" s="34">
        <v>41981</v>
      </c>
      <c r="F180" s="35" t="s">
        <v>539</v>
      </c>
      <c r="G180" s="36" t="str">
        <f>+"27-JUN-2014"</f>
        <v>27-JUN-2014</v>
      </c>
      <c r="H180" s="63">
        <f t="shared" si="2"/>
        <v>178</v>
      </c>
      <c r="I180" s="3" t="str">
        <f>+""</f>
        <v/>
      </c>
      <c r="J180" s="38"/>
      <c r="K180" s="3"/>
      <c r="L180" s="35"/>
      <c r="M180" s="3" t="s">
        <v>11</v>
      </c>
      <c r="N180" s="3" t="s">
        <v>334</v>
      </c>
      <c r="O180" s="3" t="s">
        <v>15</v>
      </c>
      <c r="P180" s="3" t="s">
        <v>67</v>
      </c>
      <c r="Q180" s="3" t="s">
        <v>38</v>
      </c>
      <c r="R180" s="22" t="s">
        <v>108</v>
      </c>
    </row>
    <row r="181" spans="1:18" ht="84.95" customHeight="1" x14ac:dyDescent="0.25">
      <c r="A181" s="3" t="s">
        <v>535</v>
      </c>
      <c r="B181" s="34">
        <v>41942</v>
      </c>
      <c r="C181" s="35" t="s">
        <v>539</v>
      </c>
      <c r="D181" s="35"/>
      <c r="E181" s="34" t="s">
        <v>539</v>
      </c>
      <c r="F181" s="35" t="s">
        <v>539</v>
      </c>
      <c r="G181" s="36" t="str">
        <f>+"10-JUL-2014"</f>
        <v>10-JUL-2014</v>
      </c>
      <c r="H181" s="63">
        <f t="shared" si="2"/>
        <v>165</v>
      </c>
      <c r="I181" s="3" t="str">
        <f>+""</f>
        <v/>
      </c>
      <c r="J181" s="38"/>
      <c r="K181" s="3"/>
      <c r="L181" s="35"/>
      <c r="M181" s="3" t="s">
        <v>21</v>
      </c>
      <c r="N181" s="3" t="s">
        <v>536</v>
      </c>
      <c r="O181" s="3" t="s">
        <v>15</v>
      </c>
      <c r="P181" s="3" t="s">
        <v>16</v>
      </c>
      <c r="Q181" s="3" t="s">
        <v>43</v>
      </c>
      <c r="R181" s="22" t="s">
        <v>537</v>
      </c>
    </row>
    <row r="182" spans="1:18" ht="96.75" customHeight="1" x14ac:dyDescent="0.25">
      <c r="A182" s="3" t="s">
        <v>544</v>
      </c>
      <c r="B182" s="34">
        <v>41906</v>
      </c>
      <c r="C182" s="35" t="s">
        <v>539</v>
      </c>
      <c r="D182" s="35"/>
      <c r="E182" s="34" t="s">
        <v>539</v>
      </c>
      <c r="F182" s="35" t="s">
        <v>539</v>
      </c>
      <c r="G182" s="3" t="str">
        <f>+"11-JUL-2014"</f>
        <v>11-JUL-2014</v>
      </c>
      <c r="H182" s="63">
        <f t="shared" si="2"/>
        <v>164</v>
      </c>
      <c r="I182" s="3"/>
      <c r="J182" s="38"/>
      <c r="K182" s="3"/>
      <c r="L182" s="35"/>
      <c r="M182" s="3" t="s">
        <v>21</v>
      </c>
      <c r="N182" s="3" t="s">
        <v>669</v>
      </c>
      <c r="O182" s="3" t="s">
        <v>15</v>
      </c>
      <c r="P182" s="3" t="s">
        <v>19</v>
      </c>
      <c r="Q182" s="3" t="s">
        <v>38</v>
      </c>
      <c r="R182" s="22" t="s">
        <v>312</v>
      </c>
    </row>
    <row r="183" spans="1:18" ht="84.95" customHeight="1" x14ac:dyDescent="0.25">
      <c r="A183" s="3" t="s">
        <v>545</v>
      </c>
      <c r="B183" s="34">
        <v>41884</v>
      </c>
      <c r="C183" s="35">
        <v>41906</v>
      </c>
      <c r="D183" s="35"/>
      <c r="E183" s="34" t="s">
        <v>539</v>
      </c>
      <c r="F183" s="35" t="s">
        <v>539</v>
      </c>
      <c r="G183" s="3" t="str">
        <f>+"15-JUL-2014"</f>
        <v>15-JUL-2014</v>
      </c>
      <c r="H183" s="63">
        <f t="shared" si="2"/>
        <v>160</v>
      </c>
      <c r="I183" s="3"/>
      <c r="J183" s="38"/>
      <c r="K183" s="3"/>
      <c r="L183" s="35"/>
      <c r="M183" s="3" t="s">
        <v>11</v>
      </c>
      <c r="N183" s="3" t="s">
        <v>550</v>
      </c>
      <c r="O183" s="3" t="s">
        <v>15</v>
      </c>
      <c r="P183" s="3" t="s">
        <v>19</v>
      </c>
      <c r="Q183" s="3" t="s">
        <v>43</v>
      </c>
      <c r="R183" s="22" t="s">
        <v>551</v>
      </c>
    </row>
    <row r="184" spans="1:18" ht="84.95" customHeight="1" x14ac:dyDescent="0.25">
      <c r="A184" s="3" t="s">
        <v>420</v>
      </c>
      <c r="B184" s="34" t="s">
        <v>539</v>
      </c>
      <c r="C184" s="35" t="s">
        <v>539</v>
      </c>
      <c r="D184" s="35"/>
      <c r="E184" s="34" t="s">
        <v>539</v>
      </c>
      <c r="F184" s="35" t="s">
        <v>539</v>
      </c>
      <c r="G184" s="36" t="str">
        <f>+"17-JUL-2014"</f>
        <v>17-JUL-2014</v>
      </c>
      <c r="H184" s="63">
        <f t="shared" si="2"/>
        <v>158</v>
      </c>
      <c r="I184" s="3" t="str">
        <f>+""</f>
        <v/>
      </c>
      <c r="J184" s="38"/>
      <c r="K184" s="3"/>
      <c r="L184" s="35"/>
      <c r="M184" s="3" t="s">
        <v>11</v>
      </c>
      <c r="N184" s="3" t="s">
        <v>421</v>
      </c>
      <c r="O184" s="3" t="s">
        <v>15</v>
      </c>
      <c r="P184" s="3" t="s">
        <v>27</v>
      </c>
      <c r="Q184" s="3" t="s">
        <v>23</v>
      </c>
      <c r="R184" s="22" t="s">
        <v>146</v>
      </c>
    </row>
    <row r="185" spans="1:18" ht="84.95" customHeight="1" x14ac:dyDescent="0.25">
      <c r="A185" s="3" t="s">
        <v>422</v>
      </c>
      <c r="B185" s="34" t="s">
        <v>539</v>
      </c>
      <c r="C185" s="35" t="s">
        <v>539</v>
      </c>
      <c r="D185" s="35"/>
      <c r="E185" s="34" t="s">
        <v>539</v>
      </c>
      <c r="F185" s="35" t="s">
        <v>539</v>
      </c>
      <c r="G185" s="36" t="str">
        <f>+"18-JUL-2014"</f>
        <v>18-JUL-2014</v>
      </c>
      <c r="H185" s="63">
        <f t="shared" si="2"/>
        <v>157</v>
      </c>
      <c r="I185" s="3" t="str">
        <f>+""</f>
        <v/>
      </c>
      <c r="J185" s="38"/>
      <c r="K185" s="3"/>
      <c r="L185" s="35"/>
      <c r="M185" s="3" t="s">
        <v>11</v>
      </c>
      <c r="N185" s="3" t="s">
        <v>423</v>
      </c>
      <c r="O185" s="3" t="s">
        <v>15</v>
      </c>
      <c r="P185" s="3" t="s">
        <v>19</v>
      </c>
      <c r="Q185" s="3" t="s">
        <v>23</v>
      </c>
      <c r="R185" s="22" t="s">
        <v>80</v>
      </c>
    </row>
    <row r="186" spans="1:18" ht="109.5" customHeight="1" x14ac:dyDescent="0.25">
      <c r="A186" s="3" t="s">
        <v>553</v>
      </c>
      <c r="B186" s="34" t="s">
        <v>539</v>
      </c>
      <c r="C186" s="35" t="s">
        <v>539</v>
      </c>
      <c r="D186" s="35"/>
      <c r="E186" s="34" t="s">
        <v>539</v>
      </c>
      <c r="F186" s="35" t="s">
        <v>539</v>
      </c>
      <c r="G186" s="35">
        <v>41838</v>
      </c>
      <c r="H186" s="63">
        <f t="shared" si="2"/>
        <v>157</v>
      </c>
      <c r="I186" s="3"/>
      <c r="J186" s="38"/>
      <c r="K186" s="3"/>
      <c r="L186" s="35"/>
      <c r="M186" s="3" t="s">
        <v>21</v>
      </c>
      <c r="N186" s="3" t="s">
        <v>742</v>
      </c>
      <c r="O186" s="3" t="s">
        <v>15</v>
      </c>
      <c r="P186" s="3" t="s">
        <v>27</v>
      </c>
      <c r="Q186" s="3" t="s">
        <v>43</v>
      </c>
      <c r="R186" s="22" t="s">
        <v>73</v>
      </c>
    </row>
    <row r="187" spans="1:18" ht="110.25" customHeight="1" x14ac:dyDescent="0.25">
      <c r="A187" s="3" t="s">
        <v>546</v>
      </c>
      <c r="B187" s="34" t="s">
        <v>539</v>
      </c>
      <c r="C187" s="35" t="s">
        <v>539</v>
      </c>
      <c r="D187" s="35"/>
      <c r="E187" s="34" t="s">
        <v>539</v>
      </c>
      <c r="F187" s="35" t="s">
        <v>539</v>
      </c>
      <c r="G187" s="3" t="str">
        <f>+"22-JUL-2014"</f>
        <v>22-JUL-2014</v>
      </c>
      <c r="H187" s="63">
        <f t="shared" si="2"/>
        <v>153</v>
      </c>
      <c r="I187" s="3"/>
      <c r="J187" s="38"/>
      <c r="K187" s="3"/>
      <c r="L187" s="35"/>
      <c r="M187" s="3" t="s">
        <v>21</v>
      </c>
      <c r="N187" s="3" t="s">
        <v>743</v>
      </c>
      <c r="O187" s="3" t="s">
        <v>15</v>
      </c>
      <c r="P187" s="3" t="s">
        <v>67</v>
      </c>
      <c r="Q187" s="3" t="s">
        <v>38</v>
      </c>
      <c r="R187" s="22" t="s">
        <v>312</v>
      </c>
    </row>
    <row r="188" spans="1:18" ht="84.95" customHeight="1" x14ac:dyDescent="0.25">
      <c r="A188" s="3" t="s">
        <v>554</v>
      </c>
      <c r="B188" s="34" t="s">
        <v>539</v>
      </c>
      <c r="C188" s="35">
        <v>41919</v>
      </c>
      <c r="D188" s="35"/>
      <c r="E188" s="34" t="s">
        <v>539</v>
      </c>
      <c r="F188" s="35" t="s">
        <v>539</v>
      </c>
      <c r="G188" s="35">
        <v>41852</v>
      </c>
      <c r="H188" s="63">
        <f t="shared" si="2"/>
        <v>143</v>
      </c>
      <c r="I188" s="3"/>
      <c r="J188" s="38"/>
      <c r="K188" s="3"/>
      <c r="L188" s="35"/>
      <c r="M188" s="3" t="s">
        <v>11</v>
      </c>
      <c r="N188" s="3" t="s">
        <v>745</v>
      </c>
      <c r="O188" s="3" t="s">
        <v>15</v>
      </c>
      <c r="P188" s="3" t="s">
        <v>16</v>
      </c>
      <c r="Q188" s="3" t="s">
        <v>14</v>
      </c>
      <c r="R188" s="22" t="s">
        <v>146</v>
      </c>
    </row>
    <row r="189" spans="1:18" ht="84.95" customHeight="1" x14ac:dyDescent="0.25">
      <c r="A189" s="3" t="s">
        <v>547</v>
      </c>
      <c r="B189" s="34">
        <v>41898</v>
      </c>
      <c r="C189" s="35">
        <v>41908</v>
      </c>
      <c r="D189" s="35"/>
      <c r="E189" s="34">
        <v>41974</v>
      </c>
      <c r="F189" s="35" t="s">
        <v>539</v>
      </c>
      <c r="G189" s="3" t="str">
        <f>+"01-AUG-2014"</f>
        <v>01-AUG-2014</v>
      </c>
      <c r="H189" s="63">
        <f t="shared" si="2"/>
        <v>143</v>
      </c>
      <c r="I189" s="3"/>
      <c r="J189" s="38"/>
      <c r="K189" s="3"/>
      <c r="L189" s="35"/>
      <c r="M189" s="3" t="s">
        <v>11</v>
      </c>
      <c r="N189" s="3" t="s">
        <v>744</v>
      </c>
      <c r="O189" s="3" t="s">
        <v>15</v>
      </c>
      <c r="P189" s="3" t="s">
        <v>16</v>
      </c>
      <c r="Q189" s="3" t="s">
        <v>23</v>
      </c>
      <c r="R189" s="22" t="s">
        <v>552</v>
      </c>
    </row>
    <row r="190" spans="1:18" ht="84.95" customHeight="1" x14ac:dyDescent="0.25">
      <c r="A190" s="3" t="s">
        <v>607</v>
      </c>
      <c r="B190" s="34" t="s">
        <v>539</v>
      </c>
      <c r="C190" s="34" t="s">
        <v>539</v>
      </c>
      <c r="D190" s="34"/>
      <c r="E190" s="34" t="s">
        <v>539</v>
      </c>
      <c r="F190" s="34" t="s">
        <v>539</v>
      </c>
      <c r="G190" s="2" t="str">
        <f>+"04-AUG-2014"</f>
        <v>04-AUG-2014</v>
      </c>
      <c r="H190" s="63">
        <f t="shared" si="2"/>
        <v>140</v>
      </c>
      <c r="I190" s="3"/>
      <c r="J190" s="38"/>
      <c r="K190" s="3"/>
      <c r="L190" s="35"/>
      <c r="M190" s="2" t="s">
        <v>11</v>
      </c>
      <c r="N190" s="2" t="s">
        <v>630</v>
      </c>
      <c r="O190" s="2" t="s">
        <v>15</v>
      </c>
      <c r="P190" s="2" t="s">
        <v>16</v>
      </c>
      <c r="Q190" s="2" t="s">
        <v>23</v>
      </c>
      <c r="R190" s="21" t="s">
        <v>18</v>
      </c>
    </row>
    <row r="191" spans="1:18" ht="84.95" customHeight="1" x14ac:dyDescent="0.25">
      <c r="A191" s="3" t="s">
        <v>608</v>
      </c>
      <c r="B191" s="34" t="s">
        <v>539</v>
      </c>
      <c r="C191" s="35" t="s">
        <v>539</v>
      </c>
      <c r="D191" s="35"/>
      <c r="E191" s="34" t="s">
        <v>539</v>
      </c>
      <c r="F191" s="35" t="s">
        <v>539</v>
      </c>
      <c r="G191" s="2" t="str">
        <f>+"06-AUG-2014"</f>
        <v>06-AUG-2014</v>
      </c>
      <c r="H191" s="63">
        <f t="shared" si="2"/>
        <v>138</v>
      </c>
      <c r="I191" s="3"/>
      <c r="J191" s="38"/>
      <c r="K191" s="3"/>
      <c r="L191" s="35"/>
      <c r="M191" s="2" t="s">
        <v>11</v>
      </c>
      <c r="N191" s="2" t="s">
        <v>631</v>
      </c>
      <c r="O191" s="2" t="s">
        <v>15</v>
      </c>
      <c r="P191" s="2" t="s">
        <v>19</v>
      </c>
      <c r="Q191" s="2" t="s">
        <v>23</v>
      </c>
      <c r="R191" s="21" t="s">
        <v>79</v>
      </c>
    </row>
    <row r="192" spans="1:18" ht="129" customHeight="1" x14ac:dyDescent="0.25">
      <c r="A192" s="3" t="s">
        <v>572</v>
      </c>
      <c r="B192" s="34" t="s">
        <v>539</v>
      </c>
      <c r="C192" s="35" t="s">
        <v>539</v>
      </c>
      <c r="D192" s="35"/>
      <c r="E192" s="34" t="s">
        <v>539</v>
      </c>
      <c r="F192" s="35" t="s">
        <v>539</v>
      </c>
      <c r="G192" s="39">
        <v>41857</v>
      </c>
      <c r="H192" s="63">
        <f t="shared" si="2"/>
        <v>138</v>
      </c>
      <c r="I192" s="3"/>
      <c r="J192" s="38"/>
      <c r="K192" s="3"/>
      <c r="L192" s="35"/>
      <c r="M192" s="3" t="s">
        <v>11</v>
      </c>
      <c r="N192" s="3" t="s">
        <v>746</v>
      </c>
      <c r="O192" s="3" t="s">
        <v>15</v>
      </c>
      <c r="P192" s="3" t="s">
        <v>13</v>
      </c>
      <c r="Q192" s="3" t="s">
        <v>14</v>
      </c>
      <c r="R192" s="22" t="s">
        <v>573</v>
      </c>
    </row>
    <row r="193" spans="1:18" ht="84.95" customHeight="1" x14ac:dyDescent="0.25">
      <c r="A193" s="3" t="s">
        <v>555</v>
      </c>
      <c r="B193" s="34">
        <v>41946</v>
      </c>
      <c r="C193" s="35">
        <v>41960</v>
      </c>
      <c r="D193" s="35"/>
      <c r="E193" s="34" t="s">
        <v>539</v>
      </c>
      <c r="F193" s="35" t="s">
        <v>539</v>
      </c>
      <c r="G193" s="35">
        <v>41859</v>
      </c>
      <c r="H193" s="63">
        <f t="shared" si="2"/>
        <v>136</v>
      </c>
      <c r="I193" s="3"/>
      <c r="J193" s="38"/>
      <c r="K193" s="3"/>
      <c r="L193" s="35"/>
      <c r="M193" s="3" t="s">
        <v>11</v>
      </c>
      <c r="N193" s="3" t="s">
        <v>747</v>
      </c>
      <c r="O193" s="3" t="s">
        <v>15</v>
      </c>
      <c r="P193" s="3" t="s">
        <v>67</v>
      </c>
      <c r="Q193" s="3" t="s">
        <v>38</v>
      </c>
      <c r="R193" s="22" t="s">
        <v>263</v>
      </c>
    </row>
    <row r="194" spans="1:18" ht="84.95" customHeight="1" x14ac:dyDescent="0.25">
      <c r="A194" s="3" t="s">
        <v>609</v>
      </c>
      <c r="B194" s="34" t="s">
        <v>539</v>
      </c>
      <c r="C194" s="35" t="s">
        <v>539</v>
      </c>
      <c r="D194" s="35"/>
      <c r="E194" s="34" t="s">
        <v>539</v>
      </c>
      <c r="F194" s="35" t="s">
        <v>539</v>
      </c>
      <c r="G194" s="2" t="str">
        <f>+"13-AUG-2014"</f>
        <v>13-AUG-2014</v>
      </c>
      <c r="H194" s="63">
        <f t="shared" ref="H194:H244" si="3">DATE(2014, 12, 22) - G194</f>
        <v>131</v>
      </c>
      <c r="I194" s="3"/>
      <c r="J194" s="38"/>
      <c r="K194" s="3"/>
      <c r="L194" s="35"/>
      <c r="M194" s="2"/>
      <c r="N194" s="2" t="s">
        <v>632</v>
      </c>
      <c r="O194" s="2" t="s">
        <v>15</v>
      </c>
      <c r="P194" s="2" t="s">
        <v>27</v>
      </c>
      <c r="Q194" s="2" t="s">
        <v>43</v>
      </c>
      <c r="R194" s="21" t="s">
        <v>119</v>
      </c>
    </row>
    <row r="195" spans="1:18" ht="84.95" customHeight="1" x14ac:dyDescent="0.25">
      <c r="A195" s="3" t="s">
        <v>619</v>
      </c>
      <c r="B195" s="35" t="s">
        <v>539</v>
      </c>
      <c r="C195" s="35" t="s">
        <v>539</v>
      </c>
      <c r="D195" s="35"/>
      <c r="E195" s="35" t="s">
        <v>539</v>
      </c>
      <c r="F195" s="35" t="s">
        <v>539</v>
      </c>
      <c r="G195" s="2" t="str">
        <f>+"14-AUG-2014"</f>
        <v>14-AUG-2014</v>
      </c>
      <c r="H195" s="63">
        <f t="shared" si="3"/>
        <v>130</v>
      </c>
      <c r="I195" s="3"/>
      <c r="J195" s="38"/>
      <c r="K195" s="3"/>
      <c r="L195" s="35"/>
      <c r="M195" s="2" t="s">
        <v>21</v>
      </c>
      <c r="N195" s="2" t="s">
        <v>640</v>
      </c>
      <c r="O195" s="2" t="s">
        <v>15</v>
      </c>
      <c r="P195" s="2" t="s">
        <v>16</v>
      </c>
      <c r="Q195" s="2" t="s">
        <v>43</v>
      </c>
      <c r="R195" s="21" t="s">
        <v>285</v>
      </c>
    </row>
    <row r="196" spans="1:18" ht="84.95" customHeight="1" x14ac:dyDescent="0.25">
      <c r="A196" s="3" t="s">
        <v>618</v>
      </c>
      <c r="B196" s="34">
        <v>41955</v>
      </c>
      <c r="C196" s="35">
        <v>41962</v>
      </c>
      <c r="D196" s="35"/>
      <c r="E196" s="34" t="s">
        <v>539</v>
      </c>
      <c r="F196" s="35" t="s">
        <v>539</v>
      </c>
      <c r="G196" s="4" t="str">
        <f>+"14-AUG-2014"</f>
        <v>14-AUG-2014</v>
      </c>
      <c r="H196" s="63">
        <f t="shared" si="3"/>
        <v>130</v>
      </c>
      <c r="I196" s="3"/>
      <c r="J196" s="38"/>
      <c r="K196" s="3"/>
      <c r="L196" s="35"/>
      <c r="M196" s="4" t="s">
        <v>21</v>
      </c>
      <c r="N196" s="2" t="s">
        <v>643</v>
      </c>
      <c r="O196" s="4" t="s">
        <v>15</v>
      </c>
      <c r="P196" s="4" t="s">
        <v>16</v>
      </c>
      <c r="Q196" s="2" t="s">
        <v>14</v>
      </c>
      <c r="R196" s="1" t="s">
        <v>455</v>
      </c>
    </row>
    <row r="197" spans="1:18" ht="120" customHeight="1" x14ac:dyDescent="0.25">
      <c r="A197" s="3" t="s">
        <v>615</v>
      </c>
      <c r="B197" s="34" t="s">
        <v>539</v>
      </c>
      <c r="C197" s="35" t="s">
        <v>539</v>
      </c>
      <c r="D197" s="35"/>
      <c r="E197" s="34" t="s">
        <v>539</v>
      </c>
      <c r="F197" s="35" t="s">
        <v>539</v>
      </c>
      <c r="G197" s="2" t="str">
        <f>+"14-AUG-2014"</f>
        <v>14-AUG-2014</v>
      </c>
      <c r="H197" s="63">
        <f t="shared" si="3"/>
        <v>130</v>
      </c>
      <c r="I197" s="31"/>
      <c r="J197" s="43"/>
      <c r="K197" s="31"/>
      <c r="L197" s="41"/>
      <c r="M197" s="2" t="s">
        <v>11</v>
      </c>
      <c r="N197" s="2" t="s">
        <v>637</v>
      </c>
      <c r="O197" s="2" t="s">
        <v>15</v>
      </c>
      <c r="P197" s="2" t="s">
        <v>27</v>
      </c>
      <c r="Q197" s="2" t="s">
        <v>23</v>
      </c>
      <c r="R197" s="21" t="s">
        <v>163</v>
      </c>
    </row>
    <row r="198" spans="1:18" ht="84.95" customHeight="1" x14ac:dyDescent="0.25">
      <c r="A198" s="3" t="s">
        <v>610</v>
      </c>
      <c r="B198" s="34" t="s">
        <v>539</v>
      </c>
      <c r="C198" s="34" t="s">
        <v>539</v>
      </c>
      <c r="D198" s="34"/>
      <c r="E198" s="34" t="s">
        <v>539</v>
      </c>
      <c r="F198" s="34" t="s">
        <v>539</v>
      </c>
      <c r="G198" s="2" t="str">
        <f>+"25-AUG-2014"</f>
        <v>25-AUG-2014</v>
      </c>
      <c r="H198" s="63">
        <f t="shared" si="3"/>
        <v>119</v>
      </c>
      <c r="I198" s="3"/>
      <c r="J198" s="38"/>
      <c r="K198" s="3"/>
      <c r="L198" s="35"/>
      <c r="M198" s="2"/>
      <c r="N198" s="2" t="s">
        <v>633</v>
      </c>
      <c r="O198" s="2" t="s">
        <v>15</v>
      </c>
      <c r="P198" s="2" t="s">
        <v>67</v>
      </c>
      <c r="Q198" s="2" t="s">
        <v>43</v>
      </c>
      <c r="R198" s="21" t="s">
        <v>35</v>
      </c>
    </row>
    <row r="199" spans="1:18" ht="84.95" customHeight="1" x14ac:dyDescent="0.25">
      <c r="A199" s="3" t="s">
        <v>606</v>
      </c>
      <c r="B199" s="35">
        <v>41948</v>
      </c>
      <c r="C199" s="35" t="s">
        <v>539</v>
      </c>
      <c r="D199" s="35"/>
      <c r="E199" s="35" t="s">
        <v>539</v>
      </c>
      <c r="F199" s="35" t="s">
        <v>539</v>
      </c>
      <c r="G199" s="2" t="str">
        <f>+"25-AUG-2014"</f>
        <v>25-AUG-2014</v>
      </c>
      <c r="H199" s="63">
        <f t="shared" si="3"/>
        <v>119</v>
      </c>
      <c r="I199" s="3"/>
      <c r="J199" s="38"/>
      <c r="K199" s="3"/>
      <c r="L199" s="35"/>
      <c r="M199" s="2" t="s">
        <v>21</v>
      </c>
      <c r="N199" s="2" t="s">
        <v>629</v>
      </c>
      <c r="O199" s="2" t="s">
        <v>15</v>
      </c>
      <c r="P199" s="2" t="s">
        <v>27</v>
      </c>
      <c r="Q199" s="2" t="s">
        <v>38</v>
      </c>
      <c r="R199" s="21" t="s">
        <v>197</v>
      </c>
    </row>
    <row r="200" spans="1:18" ht="84.95" customHeight="1" x14ac:dyDescent="0.25">
      <c r="A200" s="3" t="s">
        <v>620</v>
      </c>
      <c r="B200" s="34">
        <v>41962</v>
      </c>
      <c r="C200" s="35" t="s">
        <v>539</v>
      </c>
      <c r="D200" s="35"/>
      <c r="E200" s="34" t="s">
        <v>539</v>
      </c>
      <c r="F200" s="35" t="s">
        <v>539</v>
      </c>
      <c r="G200" s="2" t="str">
        <f>+"28-AUG-2014"</f>
        <v>28-AUG-2014</v>
      </c>
      <c r="H200" s="63">
        <f t="shared" si="3"/>
        <v>116</v>
      </c>
      <c r="I200" s="3"/>
      <c r="J200" s="38"/>
      <c r="K200" s="3"/>
      <c r="L200" s="35"/>
      <c r="M200" s="2" t="s">
        <v>21</v>
      </c>
      <c r="N200" s="2" t="s">
        <v>641</v>
      </c>
      <c r="O200" s="2" t="s">
        <v>15</v>
      </c>
      <c r="P200" s="2" t="s">
        <v>44</v>
      </c>
      <c r="Q200" s="2" t="s">
        <v>23</v>
      </c>
      <c r="R200" s="21" t="s">
        <v>35</v>
      </c>
    </row>
    <row r="201" spans="1:18" ht="84.95" customHeight="1" x14ac:dyDescent="0.25">
      <c r="A201" s="2" t="s">
        <v>590</v>
      </c>
      <c r="B201" s="34">
        <v>41906</v>
      </c>
      <c r="C201" s="35">
        <v>41962</v>
      </c>
      <c r="D201" s="35"/>
      <c r="E201" s="34" t="s">
        <v>539</v>
      </c>
      <c r="F201" s="35" t="s">
        <v>539</v>
      </c>
      <c r="G201" s="35">
        <v>41879</v>
      </c>
      <c r="H201" s="63">
        <f t="shared" si="3"/>
        <v>116</v>
      </c>
      <c r="I201" s="3"/>
      <c r="J201" s="38"/>
      <c r="K201" s="3"/>
      <c r="L201" s="35"/>
      <c r="M201" s="3" t="s">
        <v>11</v>
      </c>
      <c r="N201" s="3" t="s">
        <v>591</v>
      </c>
      <c r="O201" s="3" t="s">
        <v>15</v>
      </c>
      <c r="P201" s="3" t="s">
        <v>16</v>
      </c>
      <c r="Q201" s="3" t="s">
        <v>43</v>
      </c>
      <c r="R201" s="22" t="s">
        <v>592</v>
      </c>
    </row>
    <row r="202" spans="1:18" ht="84.95" customHeight="1" x14ac:dyDescent="0.25">
      <c r="A202" s="3" t="s">
        <v>616</v>
      </c>
      <c r="B202" s="34" t="s">
        <v>539</v>
      </c>
      <c r="C202" s="34" t="s">
        <v>539</v>
      </c>
      <c r="D202" s="34"/>
      <c r="E202" s="34" t="s">
        <v>539</v>
      </c>
      <c r="F202" s="34" t="s">
        <v>539</v>
      </c>
      <c r="G202" s="2" t="str">
        <f>+"28-AUG-2014"</f>
        <v>28-AUG-2014</v>
      </c>
      <c r="H202" s="63">
        <f t="shared" si="3"/>
        <v>116</v>
      </c>
      <c r="I202" s="31"/>
      <c r="J202" s="43"/>
      <c r="K202" s="31"/>
      <c r="L202" s="41"/>
      <c r="M202" s="2" t="s">
        <v>11</v>
      </c>
      <c r="N202" s="2" t="s">
        <v>638</v>
      </c>
      <c r="O202" s="2" t="s">
        <v>15</v>
      </c>
      <c r="P202" s="2" t="s">
        <v>52</v>
      </c>
      <c r="Q202" s="2" t="s">
        <v>43</v>
      </c>
      <c r="R202" s="21" t="s">
        <v>119</v>
      </c>
    </row>
    <row r="203" spans="1:18" ht="84.95" customHeight="1" x14ac:dyDescent="0.25">
      <c r="A203" s="3" t="s">
        <v>585</v>
      </c>
      <c r="B203" s="34">
        <v>41964</v>
      </c>
      <c r="C203" s="35" t="s">
        <v>539</v>
      </c>
      <c r="D203" s="35"/>
      <c r="E203" s="34" t="s">
        <v>539</v>
      </c>
      <c r="F203" s="35" t="s">
        <v>539</v>
      </c>
      <c r="G203" s="35">
        <v>41885</v>
      </c>
      <c r="H203" s="63">
        <f t="shared" si="3"/>
        <v>110</v>
      </c>
      <c r="I203" s="3"/>
      <c r="J203" s="38"/>
      <c r="K203" s="3"/>
      <c r="L203" s="35"/>
      <c r="M203" s="3" t="s">
        <v>21</v>
      </c>
      <c r="N203" s="3" t="s">
        <v>586</v>
      </c>
      <c r="O203" s="3" t="s">
        <v>15</v>
      </c>
      <c r="P203" s="3" t="s">
        <v>19</v>
      </c>
      <c r="Q203" s="3" t="s">
        <v>43</v>
      </c>
      <c r="R203" s="58" t="s">
        <v>732</v>
      </c>
    </row>
    <row r="204" spans="1:18" ht="117.75" customHeight="1" x14ac:dyDescent="0.25">
      <c r="A204" s="3" t="s">
        <v>574</v>
      </c>
      <c r="B204" s="34">
        <v>41982</v>
      </c>
      <c r="C204" s="35" t="s">
        <v>539</v>
      </c>
      <c r="D204" s="35"/>
      <c r="E204" s="34" t="s">
        <v>539</v>
      </c>
      <c r="F204" s="35" t="s">
        <v>539</v>
      </c>
      <c r="G204" s="35" t="str">
        <f>+"09-SEP-2014"</f>
        <v>09-SEP-2014</v>
      </c>
      <c r="H204" s="63">
        <f t="shared" si="3"/>
        <v>104</v>
      </c>
      <c r="I204" s="3"/>
      <c r="J204" s="38"/>
      <c r="K204" s="3"/>
      <c r="L204" s="35"/>
      <c r="M204" s="3" t="s">
        <v>11</v>
      </c>
      <c r="N204" s="3" t="s">
        <v>748</v>
      </c>
      <c r="O204" s="3" t="s">
        <v>15</v>
      </c>
      <c r="P204" s="3" t="s">
        <v>16</v>
      </c>
      <c r="Q204" s="3" t="s">
        <v>23</v>
      </c>
      <c r="R204" s="22" t="s">
        <v>285</v>
      </c>
    </row>
    <row r="205" spans="1:18" ht="84.95" customHeight="1" x14ac:dyDescent="0.25">
      <c r="A205" s="3" t="s">
        <v>576</v>
      </c>
      <c r="B205" s="34" t="s">
        <v>539</v>
      </c>
      <c r="C205" s="35" t="s">
        <v>539</v>
      </c>
      <c r="D205" s="35"/>
      <c r="E205" s="34" t="s">
        <v>539</v>
      </c>
      <c r="F205" s="35" t="s">
        <v>539</v>
      </c>
      <c r="G205" s="35" t="str">
        <f>+"10-SEP-2014"</f>
        <v>10-SEP-2014</v>
      </c>
      <c r="H205" s="63">
        <f t="shared" si="3"/>
        <v>103</v>
      </c>
      <c r="I205" s="3"/>
      <c r="J205" s="38"/>
      <c r="K205" s="3"/>
      <c r="L205" s="35"/>
      <c r="M205" s="3"/>
      <c r="N205" s="3" t="s">
        <v>578</v>
      </c>
      <c r="O205" s="3" t="s">
        <v>15</v>
      </c>
      <c r="P205" s="3" t="s">
        <v>16</v>
      </c>
      <c r="Q205" s="3" t="s">
        <v>43</v>
      </c>
      <c r="R205" s="22" t="s">
        <v>580</v>
      </c>
    </row>
    <row r="206" spans="1:18" ht="84.95" customHeight="1" x14ac:dyDescent="0.25">
      <c r="A206" s="3" t="s">
        <v>575</v>
      </c>
      <c r="B206" s="34" t="s">
        <v>539</v>
      </c>
      <c r="C206" s="35" t="s">
        <v>539</v>
      </c>
      <c r="D206" s="35"/>
      <c r="E206" s="34" t="s">
        <v>539</v>
      </c>
      <c r="F206" s="35" t="s">
        <v>539</v>
      </c>
      <c r="G206" s="35" t="str">
        <f>+"10-SEP-2014"</f>
        <v>10-SEP-2014</v>
      </c>
      <c r="H206" s="63">
        <f t="shared" si="3"/>
        <v>103</v>
      </c>
      <c r="I206" s="3"/>
      <c r="J206" s="38"/>
      <c r="K206" s="3"/>
      <c r="L206" s="35"/>
      <c r="M206" s="3" t="s">
        <v>21</v>
      </c>
      <c r="N206" s="3" t="s">
        <v>577</v>
      </c>
      <c r="O206" s="3" t="s">
        <v>15</v>
      </c>
      <c r="P206" s="3" t="s">
        <v>16</v>
      </c>
      <c r="Q206" s="3" t="s">
        <v>23</v>
      </c>
      <c r="R206" s="22" t="s">
        <v>579</v>
      </c>
    </row>
    <row r="207" spans="1:18" ht="84.95" customHeight="1" x14ac:dyDescent="0.25">
      <c r="A207" s="3" t="s">
        <v>581</v>
      </c>
      <c r="B207" s="34" t="s">
        <v>539</v>
      </c>
      <c r="C207" s="35" t="s">
        <v>539</v>
      </c>
      <c r="D207" s="35"/>
      <c r="E207" s="34" t="s">
        <v>539</v>
      </c>
      <c r="F207" s="35" t="s">
        <v>539</v>
      </c>
      <c r="G207" s="36" t="str">
        <f>+"17-SEP-2014"</f>
        <v>17-SEP-2014</v>
      </c>
      <c r="H207" s="63">
        <f t="shared" si="3"/>
        <v>96</v>
      </c>
      <c r="I207" s="3"/>
      <c r="J207" s="38"/>
      <c r="K207" s="3"/>
      <c r="L207" s="35"/>
      <c r="M207" s="3"/>
      <c r="N207" s="3" t="s">
        <v>582</v>
      </c>
      <c r="O207" s="3" t="s">
        <v>15</v>
      </c>
      <c r="P207" s="3" t="s">
        <v>27</v>
      </c>
      <c r="Q207" s="3" t="s">
        <v>43</v>
      </c>
      <c r="R207" s="22" t="s">
        <v>584</v>
      </c>
    </row>
    <row r="208" spans="1:18" ht="84.95" customHeight="1" x14ac:dyDescent="0.25">
      <c r="A208" s="3" t="s">
        <v>587</v>
      </c>
      <c r="B208" s="34" t="s">
        <v>539</v>
      </c>
      <c r="C208" s="35" t="s">
        <v>539</v>
      </c>
      <c r="D208" s="35"/>
      <c r="E208" s="34" t="s">
        <v>539</v>
      </c>
      <c r="F208" s="35" t="s">
        <v>539</v>
      </c>
      <c r="G208" s="35">
        <v>41907</v>
      </c>
      <c r="H208" s="63">
        <f t="shared" si="3"/>
        <v>88</v>
      </c>
      <c r="I208" s="3"/>
      <c r="J208" s="38"/>
      <c r="K208" s="3"/>
      <c r="L208" s="35"/>
      <c r="M208" s="3" t="s">
        <v>21</v>
      </c>
      <c r="N208" s="3" t="s">
        <v>588</v>
      </c>
      <c r="O208" s="3" t="s">
        <v>15</v>
      </c>
      <c r="P208" s="3" t="s">
        <v>16</v>
      </c>
      <c r="Q208" s="3" t="s">
        <v>23</v>
      </c>
      <c r="R208" s="22" t="s">
        <v>99</v>
      </c>
    </row>
    <row r="209" spans="1:18" ht="84.95" customHeight="1" x14ac:dyDescent="0.25">
      <c r="A209" s="29" t="s">
        <v>593</v>
      </c>
      <c r="B209" s="34" t="s">
        <v>539</v>
      </c>
      <c r="C209" s="34" t="s">
        <v>539</v>
      </c>
      <c r="D209" s="34"/>
      <c r="E209" s="34" t="s">
        <v>539</v>
      </c>
      <c r="F209" s="34" t="s">
        <v>539</v>
      </c>
      <c r="G209" s="34">
        <v>41907</v>
      </c>
      <c r="H209" s="63">
        <f t="shared" si="3"/>
        <v>88</v>
      </c>
      <c r="I209" s="29"/>
      <c r="J209" s="40"/>
      <c r="K209" s="29"/>
      <c r="L209" s="34"/>
      <c r="M209" s="29" t="s">
        <v>21</v>
      </c>
      <c r="N209" s="29" t="s">
        <v>594</v>
      </c>
      <c r="O209" s="29" t="s">
        <v>15</v>
      </c>
      <c r="P209" s="29" t="s">
        <v>27</v>
      </c>
      <c r="Q209" s="29" t="s">
        <v>38</v>
      </c>
      <c r="R209" s="30" t="s">
        <v>583</v>
      </c>
    </row>
    <row r="210" spans="1:18" ht="84.95" customHeight="1" x14ac:dyDescent="0.25">
      <c r="A210" s="29" t="s">
        <v>597</v>
      </c>
      <c r="B210" s="34" t="s">
        <v>539</v>
      </c>
      <c r="C210" s="34" t="s">
        <v>539</v>
      </c>
      <c r="D210" s="34"/>
      <c r="E210" s="34" t="s">
        <v>539</v>
      </c>
      <c r="F210" s="34" t="s">
        <v>539</v>
      </c>
      <c r="G210" s="34">
        <v>41913</v>
      </c>
      <c r="H210" s="63">
        <f t="shared" si="3"/>
        <v>82</v>
      </c>
      <c r="I210" s="29"/>
      <c r="J210" s="40"/>
      <c r="K210" s="29"/>
      <c r="L210" s="34"/>
      <c r="M210" s="29" t="s">
        <v>11</v>
      </c>
      <c r="N210" s="29" t="s">
        <v>598</v>
      </c>
      <c r="O210" s="29" t="s">
        <v>15</v>
      </c>
      <c r="P210" s="3" t="s">
        <v>16</v>
      </c>
      <c r="Q210" s="29" t="s">
        <v>38</v>
      </c>
      <c r="R210" s="30" t="s">
        <v>108</v>
      </c>
    </row>
    <row r="211" spans="1:18" ht="84.95" customHeight="1" x14ac:dyDescent="0.25">
      <c r="A211" s="29" t="s">
        <v>595</v>
      </c>
      <c r="B211" s="34">
        <v>41988</v>
      </c>
      <c r="C211" s="34" t="s">
        <v>539</v>
      </c>
      <c r="D211" s="34"/>
      <c r="E211" s="34" t="s">
        <v>539</v>
      </c>
      <c r="F211" s="34" t="s">
        <v>539</v>
      </c>
      <c r="G211" s="34">
        <v>41913</v>
      </c>
      <c r="H211" s="63">
        <f t="shared" si="3"/>
        <v>82</v>
      </c>
      <c r="I211" s="29"/>
      <c r="J211" s="40"/>
      <c r="K211" s="29"/>
      <c r="L211" s="34"/>
      <c r="M211" s="29" t="s">
        <v>21</v>
      </c>
      <c r="N211" s="29" t="s">
        <v>596</v>
      </c>
      <c r="O211" s="29" t="s">
        <v>15</v>
      </c>
      <c r="P211" s="29" t="s">
        <v>27</v>
      </c>
      <c r="Q211" s="29" t="s">
        <v>38</v>
      </c>
      <c r="R211" s="30" t="s">
        <v>583</v>
      </c>
    </row>
    <row r="212" spans="1:18" ht="84.95" customHeight="1" x14ac:dyDescent="0.25">
      <c r="A212" s="3" t="s">
        <v>621</v>
      </c>
      <c r="B212" s="34">
        <v>41978</v>
      </c>
      <c r="C212" s="34" t="s">
        <v>539</v>
      </c>
      <c r="D212" s="34"/>
      <c r="E212" s="34" t="s">
        <v>539</v>
      </c>
      <c r="F212" s="34" t="s">
        <v>539</v>
      </c>
      <c r="G212" s="2" t="str">
        <f>+"02-OCT-2014"</f>
        <v>02-OCT-2014</v>
      </c>
      <c r="H212" s="63">
        <f t="shared" si="3"/>
        <v>81</v>
      </c>
      <c r="I212" s="3"/>
      <c r="J212" s="38"/>
      <c r="K212" s="3"/>
      <c r="L212" s="35"/>
      <c r="M212" s="2" t="s">
        <v>21</v>
      </c>
      <c r="N212" s="2" t="s">
        <v>642</v>
      </c>
      <c r="O212" s="2" t="s">
        <v>15</v>
      </c>
      <c r="P212" s="2" t="s">
        <v>16</v>
      </c>
      <c r="Q212" s="3" t="s">
        <v>23</v>
      </c>
      <c r="R212" s="21" t="s">
        <v>73</v>
      </c>
    </row>
    <row r="213" spans="1:18" ht="119.25" customHeight="1" x14ac:dyDescent="0.25">
      <c r="A213" s="29" t="s">
        <v>600</v>
      </c>
      <c r="B213" s="34" t="s">
        <v>539</v>
      </c>
      <c r="C213" s="34" t="s">
        <v>539</v>
      </c>
      <c r="D213" s="34"/>
      <c r="E213" s="34" t="s">
        <v>539</v>
      </c>
      <c r="F213" s="34" t="s">
        <v>539</v>
      </c>
      <c r="G213" s="34">
        <v>41914</v>
      </c>
      <c r="H213" s="63">
        <f t="shared" si="3"/>
        <v>81</v>
      </c>
      <c r="I213" s="29"/>
      <c r="J213" s="40"/>
      <c r="K213" s="29"/>
      <c r="L213" s="34"/>
      <c r="M213" s="29" t="s">
        <v>21</v>
      </c>
      <c r="N213" s="29" t="s">
        <v>749</v>
      </c>
      <c r="O213" s="29" t="s">
        <v>15</v>
      </c>
      <c r="P213" s="29" t="s">
        <v>27</v>
      </c>
      <c r="Q213" s="29" t="s">
        <v>38</v>
      </c>
      <c r="R213" s="30" t="s">
        <v>583</v>
      </c>
    </row>
    <row r="214" spans="1:18" ht="84.95" customHeight="1" x14ac:dyDescent="0.25">
      <c r="A214" s="3" t="s">
        <v>611</v>
      </c>
      <c r="B214" s="34" t="s">
        <v>539</v>
      </c>
      <c r="C214" s="34" t="s">
        <v>539</v>
      </c>
      <c r="D214" s="34"/>
      <c r="E214" s="34" t="s">
        <v>539</v>
      </c>
      <c r="F214" s="34" t="s">
        <v>539</v>
      </c>
      <c r="G214" s="2" t="str">
        <f>+"03-OCT-2014"</f>
        <v>03-OCT-2014</v>
      </c>
      <c r="H214" s="63">
        <f t="shared" si="3"/>
        <v>80</v>
      </c>
      <c r="I214" s="3"/>
      <c r="J214" s="38"/>
      <c r="K214" s="3"/>
      <c r="L214" s="35"/>
      <c r="M214" s="2"/>
      <c r="N214" s="2" t="s">
        <v>634</v>
      </c>
      <c r="O214" s="2" t="s">
        <v>15</v>
      </c>
      <c r="P214" s="2" t="s">
        <v>27</v>
      </c>
      <c r="Q214" s="2" t="s">
        <v>43</v>
      </c>
      <c r="R214" s="21" t="s">
        <v>119</v>
      </c>
    </row>
    <row r="215" spans="1:18" ht="98.25" customHeight="1" x14ac:dyDescent="0.25">
      <c r="A215" s="29" t="s">
        <v>599</v>
      </c>
      <c r="B215" s="34" t="s">
        <v>539</v>
      </c>
      <c r="C215" s="34" t="s">
        <v>539</v>
      </c>
      <c r="D215" s="34"/>
      <c r="E215" s="34" t="s">
        <v>539</v>
      </c>
      <c r="F215" s="34" t="s">
        <v>539</v>
      </c>
      <c r="G215" s="34">
        <v>41918</v>
      </c>
      <c r="H215" s="63">
        <f t="shared" si="3"/>
        <v>77</v>
      </c>
      <c r="I215" s="29"/>
      <c r="J215" s="40"/>
      <c r="K215" s="29"/>
      <c r="L215" s="34"/>
      <c r="M215" s="29" t="s">
        <v>21</v>
      </c>
      <c r="N215" s="29" t="s">
        <v>750</v>
      </c>
      <c r="O215" s="29" t="s">
        <v>15</v>
      </c>
      <c r="P215" s="29" t="s">
        <v>27</v>
      </c>
      <c r="Q215" s="29" t="s">
        <v>38</v>
      </c>
      <c r="R215" s="30" t="s">
        <v>583</v>
      </c>
    </row>
    <row r="216" spans="1:18" ht="100.5" customHeight="1" x14ac:dyDescent="0.25">
      <c r="A216" s="3" t="s">
        <v>617</v>
      </c>
      <c r="B216" s="34" t="s">
        <v>539</v>
      </c>
      <c r="C216" s="34" t="s">
        <v>539</v>
      </c>
      <c r="D216" s="34"/>
      <c r="E216" s="34" t="s">
        <v>539</v>
      </c>
      <c r="F216" s="34" t="s">
        <v>539</v>
      </c>
      <c r="G216" s="2" t="str">
        <f>+"09-OCT-2014"</f>
        <v>09-OCT-2014</v>
      </c>
      <c r="H216" s="63">
        <f t="shared" si="3"/>
        <v>74</v>
      </c>
      <c r="I216" s="3"/>
      <c r="J216" s="38"/>
      <c r="K216" s="37"/>
      <c r="L216" s="35"/>
      <c r="M216" s="2"/>
      <c r="N216" s="2" t="s">
        <v>639</v>
      </c>
      <c r="O216" s="2" t="s">
        <v>15</v>
      </c>
      <c r="P216" s="2" t="s">
        <v>16</v>
      </c>
      <c r="Q216" s="2" t="s">
        <v>23</v>
      </c>
      <c r="R216" s="21" t="s">
        <v>18</v>
      </c>
    </row>
    <row r="217" spans="1:18" ht="138.75" customHeight="1" x14ac:dyDescent="0.25">
      <c r="A217" s="52" t="s">
        <v>654</v>
      </c>
      <c r="B217" s="34">
        <v>41990</v>
      </c>
      <c r="C217" s="34" t="s">
        <v>539</v>
      </c>
      <c r="D217" s="34"/>
      <c r="E217" s="34" t="s">
        <v>539</v>
      </c>
      <c r="F217" s="34" t="s">
        <v>539</v>
      </c>
      <c r="G217" s="52" t="str">
        <f>+"16-OCT-2014"</f>
        <v>16-OCT-2014</v>
      </c>
      <c r="H217" s="63">
        <f t="shared" si="3"/>
        <v>67</v>
      </c>
      <c r="I217" s="3"/>
      <c r="J217" s="38"/>
      <c r="K217" s="3"/>
      <c r="L217" s="50"/>
      <c r="M217" s="52" t="s">
        <v>21</v>
      </c>
      <c r="N217" s="3" t="s">
        <v>752</v>
      </c>
      <c r="O217" s="3" t="s">
        <v>15</v>
      </c>
      <c r="P217" s="52" t="s">
        <v>16</v>
      </c>
      <c r="Q217" s="3" t="s">
        <v>23</v>
      </c>
      <c r="R217" s="22" t="s">
        <v>285</v>
      </c>
    </row>
    <row r="218" spans="1:18" ht="126" customHeight="1" x14ac:dyDescent="0.25">
      <c r="A218" s="52" t="s">
        <v>653</v>
      </c>
      <c r="B218" s="34" t="s">
        <v>539</v>
      </c>
      <c r="C218" s="34" t="s">
        <v>539</v>
      </c>
      <c r="D218" s="34"/>
      <c r="E218" s="34" t="s">
        <v>539</v>
      </c>
      <c r="F218" s="34" t="s">
        <v>539</v>
      </c>
      <c r="G218" s="52" t="str">
        <f>+"16-OCT-2014"</f>
        <v>16-OCT-2014</v>
      </c>
      <c r="H218" s="63">
        <f t="shared" si="3"/>
        <v>67</v>
      </c>
      <c r="I218" s="3"/>
      <c r="J218" s="38"/>
      <c r="K218" s="3"/>
      <c r="L218" s="50"/>
      <c r="M218" s="52" t="s">
        <v>21</v>
      </c>
      <c r="N218" s="3" t="s">
        <v>751</v>
      </c>
      <c r="O218" s="3" t="s">
        <v>15</v>
      </c>
      <c r="P218" s="52" t="s">
        <v>13</v>
      </c>
      <c r="Q218" s="3" t="s">
        <v>43</v>
      </c>
      <c r="R218" s="22" t="s">
        <v>80</v>
      </c>
    </row>
    <row r="219" spans="1:18" ht="84.95" customHeight="1" x14ac:dyDescent="0.25">
      <c r="A219" s="52" t="s">
        <v>652</v>
      </c>
      <c r="B219" s="34" t="s">
        <v>539</v>
      </c>
      <c r="C219" s="34" t="s">
        <v>539</v>
      </c>
      <c r="D219" s="34"/>
      <c r="E219" s="34" t="s">
        <v>539</v>
      </c>
      <c r="F219" s="34" t="s">
        <v>539</v>
      </c>
      <c r="G219" s="52" t="str">
        <f>+"16-OCT-2014"</f>
        <v>16-OCT-2014</v>
      </c>
      <c r="H219" s="63">
        <f t="shared" si="3"/>
        <v>67</v>
      </c>
      <c r="I219" s="3"/>
      <c r="J219" s="38"/>
      <c r="K219" s="3"/>
      <c r="L219" s="50"/>
      <c r="M219" s="52"/>
      <c r="N219" s="3" t="s">
        <v>663</v>
      </c>
      <c r="O219" s="3" t="s">
        <v>15</v>
      </c>
      <c r="P219" s="52" t="s">
        <v>19</v>
      </c>
      <c r="Q219" s="3" t="s">
        <v>38</v>
      </c>
      <c r="R219" s="22" t="s">
        <v>60</v>
      </c>
    </row>
    <row r="220" spans="1:18" ht="84.95" customHeight="1" x14ac:dyDescent="0.25">
      <c r="A220" s="52" t="s">
        <v>679</v>
      </c>
      <c r="B220" s="34" t="s">
        <v>539</v>
      </c>
      <c r="C220" s="34" t="s">
        <v>539</v>
      </c>
      <c r="D220" s="34"/>
      <c r="E220" s="34" t="s">
        <v>539</v>
      </c>
      <c r="F220" s="34" t="s">
        <v>539</v>
      </c>
      <c r="G220" s="52" t="str">
        <f>+"17-OCT-2014"</f>
        <v>17-OCT-2014</v>
      </c>
      <c r="H220" s="63">
        <f t="shared" si="3"/>
        <v>66</v>
      </c>
      <c r="I220" s="3"/>
      <c r="J220" s="38"/>
      <c r="K220" s="3"/>
      <c r="L220" s="35"/>
      <c r="M220" s="3"/>
      <c r="N220" s="3" t="s">
        <v>685</v>
      </c>
      <c r="O220" s="3" t="s">
        <v>15</v>
      </c>
      <c r="P220" s="3" t="s">
        <v>27</v>
      </c>
      <c r="Q220" s="52" t="s">
        <v>38</v>
      </c>
      <c r="R220" s="22" t="s">
        <v>227</v>
      </c>
    </row>
    <row r="221" spans="1:18" ht="84.95" customHeight="1" x14ac:dyDescent="0.25">
      <c r="A221" s="52" t="s">
        <v>680</v>
      </c>
      <c r="B221" s="34" t="s">
        <v>539</v>
      </c>
      <c r="C221" s="34" t="s">
        <v>539</v>
      </c>
      <c r="D221" s="34"/>
      <c r="E221" s="34" t="s">
        <v>539</v>
      </c>
      <c r="F221" s="34" t="s">
        <v>539</v>
      </c>
      <c r="G221" s="52" t="str">
        <f>+"24-OCT-2014"</f>
        <v>24-OCT-2014</v>
      </c>
      <c r="H221" s="63">
        <f t="shared" si="3"/>
        <v>59</v>
      </c>
      <c r="I221" s="3"/>
      <c r="J221" s="38"/>
      <c r="K221" s="3"/>
      <c r="L221" s="52"/>
      <c r="M221" s="52"/>
      <c r="N221" s="3" t="s">
        <v>686</v>
      </c>
      <c r="O221" s="3" t="s">
        <v>15</v>
      </c>
      <c r="P221" s="3" t="s">
        <v>27</v>
      </c>
      <c r="Q221" s="52" t="s">
        <v>38</v>
      </c>
      <c r="R221" s="22" t="s">
        <v>227</v>
      </c>
    </row>
    <row r="222" spans="1:18" ht="84.95" customHeight="1" x14ac:dyDescent="0.25">
      <c r="A222" s="52" t="s">
        <v>674</v>
      </c>
      <c r="B222" s="34" t="s">
        <v>539</v>
      </c>
      <c r="C222" s="34" t="s">
        <v>539</v>
      </c>
      <c r="D222" s="34"/>
      <c r="E222" s="34" t="s">
        <v>539</v>
      </c>
      <c r="F222" s="34" t="s">
        <v>539</v>
      </c>
      <c r="G222" s="52" t="str">
        <f>+"30-OCT-2014"</f>
        <v>30-OCT-2014</v>
      </c>
      <c r="H222" s="63">
        <f t="shared" si="3"/>
        <v>53</v>
      </c>
      <c r="I222" s="29"/>
      <c r="J222" s="40"/>
      <c r="K222" s="29"/>
      <c r="L222" s="34"/>
      <c r="M222" s="29" t="s">
        <v>11</v>
      </c>
      <c r="N222" s="3" t="s">
        <v>753</v>
      </c>
      <c r="O222" s="29" t="s">
        <v>15</v>
      </c>
      <c r="P222" s="29" t="s">
        <v>16</v>
      </c>
      <c r="Q222" s="52" t="s">
        <v>38</v>
      </c>
      <c r="R222" s="22" t="s">
        <v>719</v>
      </c>
    </row>
    <row r="223" spans="1:18" ht="84.95" customHeight="1" x14ac:dyDescent="0.25">
      <c r="A223" s="52" t="s">
        <v>681</v>
      </c>
      <c r="B223" s="34" t="s">
        <v>539</v>
      </c>
      <c r="C223" s="34" t="s">
        <v>539</v>
      </c>
      <c r="D223" s="34"/>
      <c r="E223" s="34" t="s">
        <v>539</v>
      </c>
      <c r="F223" s="34" t="s">
        <v>539</v>
      </c>
      <c r="G223" s="52" t="str">
        <f>+"06-NOV-2014"</f>
        <v>06-NOV-2014</v>
      </c>
      <c r="H223" s="63">
        <f t="shared" si="3"/>
        <v>46</v>
      </c>
      <c r="I223" s="3"/>
      <c r="J223" s="38"/>
      <c r="K223" s="3"/>
      <c r="L223" s="35"/>
      <c r="M223" s="3" t="s">
        <v>21</v>
      </c>
      <c r="N223" s="3" t="s">
        <v>687</v>
      </c>
      <c r="O223" s="3" t="s">
        <v>15</v>
      </c>
      <c r="P223" s="52" t="s">
        <v>13</v>
      </c>
      <c r="Q223" s="52" t="s">
        <v>43</v>
      </c>
      <c r="R223" s="22" t="s">
        <v>312</v>
      </c>
    </row>
    <row r="224" spans="1:18" ht="84.95" customHeight="1" x14ac:dyDescent="0.25">
      <c r="A224" s="52" t="s">
        <v>714</v>
      </c>
      <c r="B224" s="34" t="s">
        <v>539</v>
      </c>
      <c r="C224" s="34" t="s">
        <v>539</v>
      </c>
      <c r="D224" s="34"/>
      <c r="E224" s="34" t="s">
        <v>539</v>
      </c>
      <c r="F224" s="34" t="s">
        <v>539</v>
      </c>
      <c r="G224" s="52" t="str">
        <f>+"10-NOV-2014"</f>
        <v>10-NOV-2014</v>
      </c>
      <c r="H224" s="63">
        <f t="shared" si="3"/>
        <v>42</v>
      </c>
      <c r="I224" s="3"/>
      <c r="J224" s="38"/>
      <c r="K224" s="3"/>
      <c r="L224" s="52"/>
      <c r="M224" s="52"/>
      <c r="N224" s="3" t="s">
        <v>754</v>
      </c>
      <c r="O224" s="52" t="s">
        <v>15</v>
      </c>
      <c r="P224" s="52" t="s">
        <v>16</v>
      </c>
      <c r="Q224" s="45" t="s">
        <v>38</v>
      </c>
      <c r="R224" s="55" t="s">
        <v>99</v>
      </c>
    </row>
    <row r="225" spans="1:18" ht="84.95" customHeight="1" x14ac:dyDescent="0.25">
      <c r="A225" s="3" t="s">
        <v>697</v>
      </c>
      <c r="B225" s="34" t="s">
        <v>539</v>
      </c>
      <c r="C225" s="34" t="s">
        <v>539</v>
      </c>
      <c r="D225" s="34"/>
      <c r="E225" s="34" t="s">
        <v>539</v>
      </c>
      <c r="F225" s="34" t="s">
        <v>539</v>
      </c>
      <c r="G225" s="52" t="str">
        <f>+"14-NOV-2014"</f>
        <v>14-NOV-2014</v>
      </c>
      <c r="H225" s="63">
        <f t="shared" si="3"/>
        <v>38</v>
      </c>
      <c r="I225" s="3"/>
      <c r="J225" s="38"/>
      <c r="K225" s="3"/>
      <c r="L225" s="52"/>
      <c r="M225" s="52"/>
      <c r="N225" s="3" t="s">
        <v>757</v>
      </c>
      <c r="O225" s="52" t="s">
        <v>15</v>
      </c>
      <c r="P225" s="52" t="s">
        <v>27</v>
      </c>
      <c r="Q225" s="45" t="s">
        <v>43</v>
      </c>
      <c r="R225" s="22" t="s">
        <v>122</v>
      </c>
    </row>
    <row r="226" spans="1:18" ht="84.95" customHeight="1" x14ac:dyDescent="0.25">
      <c r="A226" s="52" t="s">
        <v>676</v>
      </c>
      <c r="B226" s="34" t="s">
        <v>539</v>
      </c>
      <c r="C226" s="34" t="s">
        <v>539</v>
      </c>
      <c r="D226" s="34"/>
      <c r="E226" s="34" t="s">
        <v>539</v>
      </c>
      <c r="F226" s="34" t="s">
        <v>539</v>
      </c>
      <c r="G226" s="52" t="str">
        <f>+"14-NOV-2014"</f>
        <v>14-NOV-2014</v>
      </c>
      <c r="H226" s="63">
        <f t="shared" si="3"/>
        <v>38</v>
      </c>
      <c r="I226" s="29"/>
      <c r="J226" s="40"/>
      <c r="K226" s="29"/>
      <c r="L226" s="34"/>
      <c r="M226" s="29" t="s">
        <v>11</v>
      </c>
      <c r="N226" s="3" t="s">
        <v>756</v>
      </c>
      <c r="O226" s="29" t="s">
        <v>15</v>
      </c>
      <c r="P226" s="29" t="s">
        <v>67</v>
      </c>
      <c r="Q226" s="52" t="s">
        <v>38</v>
      </c>
      <c r="R226" s="22" t="s">
        <v>189</v>
      </c>
    </row>
    <row r="227" spans="1:18" ht="99.75" customHeight="1" x14ac:dyDescent="0.25">
      <c r="A227" s="52" t="s">
        <v>675</v>
      </c>
      <c r="B227" s="34" t="s">
        <v>539</v>
      </c>
      <c r="C227" s="34" t="s">
        <v>539</v>
      </c>
      <c r="D227" s="34"/>
      <c r="E227" s="34" t="s">
        <v>539</v>
      </c>
      <c r="F227" s="34" t="s">
        <v>539</v>
      </c>
      <c r="G227" s="52" t="str">
        <f>+"14-NOV-2014"</f>
        <v>14-NOV-2014</v>
      </c>
      <c r="H227" s="63">
        <f t="shared" si="3"/>
        <v>38</v>
      </c>
      <c r="I227" s="29"/>
      <c r="J227" s="40"/>
      <c r="K227" s="29"/>
      <c r="L227" s="34"/>
      <c r="M227" s="29" t="s">
        <v>11</v>
      </c>
      <c r="N227" s="3" t="s">
        <v>775</v>
      </c>
      <c r="O227" s="29" t="s">
        <v>15</v>
      </c>
      <c r="P227" s="29" t="s">
        <v>16</v>
      </c>
      <c r="Q227" s="52" t="s">
        <v>38</v>
      </c>
      <c r="R227" s="22" t="s">
        <v>189</v>
      </c>
    </row>
    <row r="228" spans="1:18" ht="84.95" customHeight="1" x14ac:dyDescent="0.25">
      <c r="A228" s="3" t="s">
        <v>692</v>
      </c>
      <c r="B228" s="34" t="s">
        <v>539</v>
      </c>
      <c r="C228" s="34" t="s">
        <v>539</v>
      </c>
      <c r="D228" s="34"/>
      <c r="E228" s="34" t="s">
        <v>539</v>
      </c>
      <c r="F228" s="34" t="s">
        <v>539</v>
      </c>
      <c r="G228" s="52" t="str">
        <f>+"18-NOV-2014"</f>
        <v>18-NOV-2014</v>
      </c>
      <c r="H228" s="63">
        <f t="shared" si="3"/>
        <v>34</v>
      </c>
      <c r="I228" s="29"/>
      <c r="J228" s="40"/>
      <c r="K228" s="29"/>
      <c r="L228" s="34"/>
      <c r="M228" s="52" t="s">
        <v>11</v>
      </c>
      <c r="N228" s="3" t="s">
        <v>761</v>
      </c>
      <c r="O228" s="52" t="s">
        <v>15</v>
      </c>
      <c r="P228" s="52" t="s">
        <v>67</v>
      </c>
      <c r="Q228" s="45" t="s">
        <v>17</v>
      </c>
      <c r="R228" s="22" t="s">
        <v>99</v>
      </c>
    </row>
    <row r="229" spans="1:18" ht="102" customHeight="1" x14ac:dyDescent="0.25">
      <c r="A229" s="3" t="s">
        <v>691</v>
      </c>
      <c r="B229" s="34" t="s">
        <v>539</v>
      </c>
      <c r="C229" s="34" t="s">
        <v>539</v>
      </c>
      <c r="D229" s="34"/>
      <c r="E229" s="34" t="s">
        <v>539</v>
      </c>
      <c r="F229" s="34" t="s">
        <v>539</v>
      </c>
      <c r="G229" s="52" t="str">
        <f>+"18-NOV-2014"</f>
        <v>18-NOV-2014</v>
      </c>
      <c r="H229" s="63">
        <f t="shared" si="3"/>
        <v>34</v>
      </c>
      <c r="I229" s="29"/>
      <c r="J229" s="40"/>
      <c r="K229" s="29"/>
      <c r="L229" s="34"/>
      <c r="M229" s="52" t="s">
        <v>11</v>
      </c>
      <c r="N229" s="3" t="s">
        <v>760</v>
      </c>
      <c r="O229" s="52" t="s">
        <v>15</v>
      </c>
      <c r="P229" s="52" t="s">
        <v>44</v>
      </c>
      <c r="Q229" s="45" t="s">
        <v>17</v>
      </c>
      <c r="R229" s="22" t="s">
        <v>99</v>
      </c>
    </row>
    <row r="230" spans="1:18" ht="84.95" customHeight="1" x14ac:dyDescent="0.25">
      <c r="A230" s="3" t="s">
        <v>690</v>
      </c>
      <c r="B230" s="34" t="s">
        <v>539</v>
      </c>
      <c r="C230" s="34" t="s">
        <v>539</v>
      </c>
      <c r="D230" s="34"/>
      <c r="E230" s="34" t="s">
        <v>539</v>
      </c>
      <c r="F230" s="34" t="s">
        <v>539</v>
      </c>
      <c r="G230" s="52" t="str">
        <f>+"18-NOV-2014"</f>
        <v>18-NOV-2014</v>
      </c>
      <c r="H230" s="63">
        <f t="shared" si="3"/>
        <v>34</v>
      </c>
      <c r="I230" s="29"/>
      <c r="J230" s="40"/>
      <c r="K230" s="29"/>
      <c r="L230" s="34"/>
      <c r="M230" s="52" t="s">
        <v>11</v>
      </c>
      <c r="N230" s="3" t="s">
        <v>759</v>
      </c>
      <c r="O230" s="52" t="s">
        <v>15</v>
      </c>
      <c r="P230" s="52" t="s">
        <v>44</v>
      </c>
      <c r="Q230" s="45" t="s">
        <v>17</v>
      </c>
      <c r="R230" s="22" t="s">
        <v>99</v>
      </c>
    </row>
    <row r="231" spans="1:18" ht="107.25" customHeight="1" x14ac:dyDescent="0.25">
      <c r="A231" s="3" t="s">
        <v>689</v>
      </c>
      <c r="B231" s="34" t="s">
        <v>539</v>
      </c>
      <c r="C231" s="34" t="s">
        <v>539</v>
      </c>
      <c r="D231" s="34"/>
      <c r="E231" s="34" t="s">
        <v>539</v>
      </c>
      <c r="F231" s="34" t="s">
        <v>539</v>
      </c>
      <c r="G231" s="52" t="str">
        <f>+"18-NOV-2014"</f>
        <v>18-NOV-2014</v>
      </c>
      <c r="H231" s="63">
        <f t="shared" si="3"/>
        <v>34</v>
      </c>
      <c r="I231" s="29"/>
      <c r="J231" s="40"/>
      <c r="K231" s="29"/>
      <c r="L231" s="34"/>
      <c r="M231" s="52" t="s">
        <v>11</v>
      </c>
      <c r="N231" s="3" t="s">
        <v>758</v>
      </c>
      <c r="O231" s="52" t="s">
        <v>15</v>
      </c>
      <c r="P231" s="52" t="s">
        <v>16</v>
      </c>
      <c r="Q231" s="45" t="s">
        <v>17</v>
      </c>
      <c r="R231" s="22" t="s">
        <v>99</v>
      </c>
    </row>
    <row r="232" spans="1:18" ht="129.75" customHeight="1" x14ac:dyDescent="0.25">
      <c r="A232" s="3" t="s">
        <v>699</v>
      </c>
      <c r="B232" s="34" t="s">
        <v>539</v>
      </c>
      <c r="C232" s="34" t="s">
        <v>539</v>
      </c>
      <c r="D232" s="34"/>
      <c r="E232" s="34" t="s">
        <v>539</v>
      </c>
      <c r="F232" s="34" t="s">
        <v>539</v>
      </c>
      <c r="G232" s="52" t="str">
        <f>+"20-NOV-2014"</f>
        <v>20-NOV-2014</v>
      </c>
      <c r="H232" s="63">
        <f t="shared" si="3"/>
        <v>32</v>
      </c>
      <c r="I232" s="3"/>
      <c r="J232" s="38"/>
      <c r="K232" s="3"/>
      <c r="L232" s="35"/>
      <c r="M232" s="52" t="s">
        <v>11</v>
      </c>
      <c r="N232" s="3" t="s">
        <v>762</v>
      </c>
      <c r="O232" s="52" t="s">
        <v>15</v>
      </c>
      <c r="P232" s="52" t="s">
        <v>67</v>
      </c>
      <c r="Q232" s="3" t="s">
        <v>38</v>
      </c>
      <c r="R232" s="22" t="s">
        <v>227</v>
      </c>
    </row>
    <row r="233" spans="1:18" ht="109.5" customHeight="1" x14ac:dyDescent="0.25">
      <c r="A233" s="3" t="s">
        <v>693</v>
      </c>
      <c r="B233" s="34" t="s">
        <v>539</v>
      </c>
      <c r="C233" s="34" t="s">
        <v>539</v>
      </c>
      <c r="D233" s="34"/>
      <c r="E233" s="34" t="s">
        <v>539</v>
      </c>
      <c r="F233" s="34" t="s">
        <v>539</v>
      </c>
      <c r="G233" s="52" t="str">
        <f>+"21-NOV-2014"</f>
        <v>21-NOV-2014</v>
      </c>
      <c r="H233" s="63">
        <f t="shared" si="3"/>
        <v>31</v>
      </c>
      <c r="I233" s="29"/>
      <c r="J233" s="40"/>
      <c r="K233" s="29"/>
      <c r="L233" s="34"/>
      <c r="M233" s="52" t="s">
        <v>11</v>
      </c>
      <c r="N233" s="3" t="s">
        <v>763</v>
      </c>
      <c r="O233" s="52" t="s">
        <v>15</v>
      </c>
      <c r="P233" s="52" t="s">
        <v>16</v>
      </c>
      <c r="Q233" s="45" t="s">
        <v>23</v>
      </c>
      <c r="R233" s="22" t="s">
        <v>274</v>
      </c>
    </row>
    <row r="234" spans="1:18" ht="97.5" customHeight="1" x14ac:dyDescent="0.25">
      <c r="A234" s="3" t="s">
        <v>694</v>
      </c>
      <c r="B234" s="34" t="s">
        <v>539</v>
      </c>
      <c r="C234" s="34" t="s">
        <v>539</v>
      </c>
      <c r="D234" s="34"/>
      <c r="E234" s="34" t="s">
        <v>539</v>
      </c>
      <c r="F234" s="34" t="s">
        <v>539</v>
      </c>
      <c r="G234" s="52" t="str">
        <f>+"24-NOV-2014"</f>
        <v>24-NOV-2014</v>
      </c>
      <c r="H234" s="63">
        <f t="shared" si="3"/>
        <v>28</v>
      </c>
      <c r="I234" s="29"/>
      <c r="J234" s="40"/>
      <c r="K234" s="29"/>
      <c r="L234" s="34"/>
      <c r="M234" s="52" t="s">
        <v>11</v>
      </c>
      <c r="N234" s="3" t="s">
        <v>764</v>
      </c>
      <c r="O234" s="52" t="s">
        <v>15</v>
      </c>
      <c r="P234" s="52" t="s">
        <v>19</v>
      </c>
      <c r="Q234" s="45" t="s">
        <v>38</v>
      </c>
      <c r="R234" s="22" t="s">
        <v>80</v>
      </c>
    </row>
    <row r="235" spans="1:18" ht="84.95" customHeight="1" x14ac:dyDescent="0.25">
      <c r="A235" s="3" t="s">
        <v>695</v>
      </c>
      <c r="B235" s="34" t="s">
        <v>539</v>
      </c>
      <c r="C235" s="34" t="s">
        <v>539</v>
      </c>
      <c r="D235" s="34"/>
      <c r="E235" s="34" t="s">
        <v>539</v>
      </c>
      <c r="F235" s="34" t="s">
        <v>539</v>
      </c>
      <c r="G235" s="52" t="str">
        <f>+"25-NOV-2014"</f>
        <v>25-NOV-2014</v>
      </c>
      <c r="H235" s="63">
        <f t="shared" si="3"/>
        <v>27</v>
      </c>
      <c r="I235" s="29"/>
      <c r="J235" s="40"/>
      <c r="K235" s="29"/>
      <c r="L235" s="34"/>
      <c r="M235" s="52" t="s">
        <v>11</v>
      </c>
      <c r="N235" s="3" t="s">
        <v>765</v>
      </c>
      <c r="O235" s="52" t="s">
        <v>15</v>
      </c>
      <c r="P235" s="52" t="s">
        <v>16</v>
      </c>
      <c r="Q235" s="45" t="s">
        <v>23</v>
      </c>
      <c r="R235" s="22" t="s">
        <v>263</v>
      </c>
    </row>
    <row r="236" spans="1:18" ht="108" customHeight="1" x14ac:dyDescent="0.25">
      <c r="A236" s="3" t="s">
        <v>696</v>
      </c>
      <c r="B236" s="34" t="s">
        <v>539</v>
      </c>
      <c r="C236" s="34" t="s">
        <v>539</v>
      </c>
      <c r="D236" s="34"/>
      <c r="E236" s="34" t="s">
        <v>539</v>
      </c>
      <c r="F236" s="34" t="s">
        <v>539</v>
      </c>
      <c r="G236" s="52" t="str">
        <f>+"26-NOV-2014"</f>
        <v>26-NOV-2014</v>
      </c>
      <c r="H236" s="63">
        <f t="shared" si="3"/>
        <v>26</v>
      </c>
      <c r="I236" s="29"/>
      <c r="J236" s="40"/>
      <c r="K236" s="29"/>
      <c r="L236" s="34"/>
      <c r="M236" s="52" t="s">
        <v>11</v>
      </c>
      <c r="N236" s="3" t="s">
        <v>766</v>
      </c>
      <c r="O236" s="52" t="s">
        <v>15</v>
      </c>
      <c r="P236" s="52" t="s">
        <v>16</v>
      </c>
      <c r="Q236" s="45" t="s">
        <v>23</v>
      </c>
      <c r="R236" s="22" t="s">
        <v>274</v>
      </c>
    </row>
    <row r="237" spans="1:18" ht="129" customHeight="1" x14ac:dyDescent="0.25">
      <c r="A237" s="3" t="s">
        <v>698</v>
      </c>
      <c r="B237" s="34" t="s">
        <v>539</v>
      </c>
      <c r="C237" s="34" t="s">
        <v>539</v>
      </c>
      <c r="D237" s="34"/>
      <c r="E237" s="34" t="s">
        <v>539</v>
      </c>
      <c r="F237" s="34" t="s">
        <v>539</v>
      </c>
      <c r="G237" s="52" t="str">
        <f>+"01-DEC-2014"</f>
        <v>01-DEC-2014</v>
      </c>
      <c r="H237" s="63">
        <f t="shared" si="3"/>
        <v>21</v>
      </c>
      <c r="I237" s="3"/>
      <c r="J237" s="38"/>
      <c r="K237" s="3"/>
      <c r="L237" s="52"/>
      <c r="M237" s="52" t="s">
        <v>11</v>
      </c>
      <c r="N237" s="3" t="s">
        <v>767</v>
      </c>
      <c r="O237" s="52" t="s">
        <v>15</v>
      </c>
      <c r="P237" s="52" t="s">
        <v>701</v>
      </c>
      <c r="Q237" s="45" t="s">
        <v>17</v>
      </c>
      <c r="R237" s="22" t="s">
        <v>119</v>
      </c>
    </row>
    <row r="238" spans="1:18" ht="84.95" customHeight="1" x14ac:dyDescent="0.25">
      <c r="A238" s="52" t="s">
        <v>715</v>
      </c>
      <c r="B238" s="34" t="s">
        <v>539</v>
      </c>
      <c r="C238" s="34" t="s">
        <v>539</v>
      </c>
      <c r="D238" s="34"/>
      <c r="E238" s="34" t="s">
        <v>539</v>
      </c>
      <c r="F238" s="34" t="s">
        <v>539</v>
      </c>
      <c r="G238" s="52" t="str">
        <f>+"02-DEC-2014"</f>
        <v>02-DEC-2014</v>
      </c>
      <c r="H238" s="63">
        <f t="shared" si="3"/>
        <v>20</v>
      </c>
      <c r="I238" s="3"/>
      <c r="J238" s="38"/>
      <c r="K238" s="3"/>
      <c r="L238" s="52"/>
      <c r="M238" s="52"/>
      <c r="N238" s="3" t="s">
        <v>717</v>
      </c>
      <c r="O238" s="52" t="s">
        <v>15</v>
      </c>
      <c r="P238" s="50" t="s">
        <v>27</v>
      </c>
      <c r="Q238" s="3" t="s">
        <v>23</v>
      </c>
      <c r="R238" s="55" t="s">
        <v>99</v>
      </c>
    </row>
    <row r="239" spans="1:18" ht="84.95" customHeight="1" x14ac:dyDescent="0.25">
      <c r="A239" s="52" t="s">
        <v>723</v>
      </c>
      <c r="B239" s="34" t="s">
        <v>539</v>
      </c>
      <c r="C239" s="34" t="s">
        <v>539</v>
      </c>
      <c r="D239" s="34"/>
      <c r="E239" s="34" t="s">
        <v>539</v>
      </c>
      <c r="F239" s="34" t="s">
        <v>539</v>
      </c>
      <c r="G239" s="52" t="str">
        <f>+"03-DEC-2014"</f>
        <v>03-DEC-2014</v>
      </c>
      <c r="H239" s="63">
        <f t="shared" si="3"/>
        <v>19</v>
      </c>
      <c r="I239" s="29"/>
      <c r="J239" s="40"/>
      <c r="K239" s="29"/>
      <c r="L239" s="34"/>
      <c r="M239" s="52" t="s">
        <v>11</v>
      </c>
      <c r="N239" s="3" t="s">
        <v>769</v>
      </c>
      <c r="O239" s="52" t="s">
        <v>15</v>
      </c>
      <c r="P239" s="52" t="s">
        <v>16</v>
      </c>
      <c r="Q239" s="3" t="s">
        <v>38</v>
      </c>
      <c r="R239" s="50" t="s">
        <v>537</v>
      </c>
    </row>
    <row r="240" spans="1:18" ht="124.5" customHeight="1" x14ac:dyDescent="0.25">
      <c r="A240" s="52" t="s">
        <v>721</v>
      </c>
      <c r="B240" s="34" t="s">
        <v>539</v>
      </c>
      <c r="C240" s="34" t="s">
        <v>539</v>
      </c>
      <c r="D240" s="34"/>
      <c r="E240" s="34" t="s">
        <v>539</v>
      </c>
      <c r="F240" s="34" t="s">
        <v>539</v>
      </c>
      <c r="G240" s="52" t="str">
        <f>+"03-DEC-2014"</f>
        <v>03-DEC-2014</v>
      </c>
      <c r="H240" s="63">
        <f t="shared" si="3"/>
        <v>19</v>
      </c>
      <c r="I240" s="29"/>
      <c r="J240" s="40"/>
      <c r="K240" s="29"/>
      <c r="L240" s="34"/>
      <c r="M240" s="52" t="s">
        <v>21</v>
      </c>
      <c r="N240" s="3" t="s">
        <v>768</v>
      </c>
      <c r="O240" s="52" t="s">
        <v>15</v>
      </c>
      <c r="P240" s="52" t="s">
        <v>27</v>
      </c>
      <c r="Q240" s="3" t="s">
        <v>38</v>
      </c>
      <c r="R240" s="50" t="s">
        <v>731</v>
      </c>
    </row>
    <row r="241" spans="1:18" ht="84.95" customHeight="1" x14ac:dyDescent="0.25">
      <c r="A241" s="52" t="s">
        <v>725</v>
      </c>
      <c r="B241" s="34" t="s">
        <v>539</v>
      </c>
      <c r="C241" s="34" t="s">
        <v>539</v>
      </c>
      <c r="D241" s="34"/>
      <c r="E241" s="34" t="s">
        <v>539</v>
      </c>
      <c r="F241" s="34" t="s">
        <v>539</v>
      </c>
      <c r="G241" s="52" t="str">
        <f>+"05-DEC-2014"</f>
        <v>05-DEC-2014</v>
      </c>
      <c r="H241" s="63">
        <f t="shared" si="3"/>
        <v>17</v>
      </c>
      <c r="I241" s="29"/>
      <c r="J241" s="40"/>
      <c r="K241" s="29"/>
      <c r="L241" s="34"/>
      <c r="M241" s="52" t="s">
        <v>11</v>
      </c>
      <c r="N241" s="3" t="s">
        <v>771</v>
      </c>
      <c r="O241" s="52" t="s">
        <v>15</v>
      </c>
      <c r="P241" s="52" t="s">
        <v>16</v>
      </c>
      <c r="Q241" s="3" t="s">
        <v>23</v>
      </c>
      <c r="R241" s="50" t="s">
        <v>18</v>
      </c>
    </row>
    <row r="242" spans="1:18" ht="122.25" customHeight="1" x14ac:dyDescent="0.25">
      <c r="A242" s="52" t="s">
        <v>722</v>
      </c>
      <c r="B242" s="34" t="s">
        <v>539</v>
      </c>
      <c r="C242" s="34" t="s">
        <v>539</v>
      </c>
      <c r="D242" s="34"/>
      <c r="E242" s="34" t="s">
        <v>539</v>
      </c>
      <c r="F242" s="34" t="s">
        <v>539</v>
      </c>
      <c r="G242" s="52" t="str">
        <f>+"05-DEC-2014"</f>
        <v>05-DEC-2014</v>
      </c>
      <c r="H242" s="63">
        <f t="shared" si="3"/>
        <v>17</v>
      </c>
      <c r="I242" s="29"/>
      <c r="J242" s="40"/>
      <c r="K242" s="29"/>
      <c r="L242" s="34"/>
      <c r="M242" s="52" t="s">
        <v>11</v>
      </c>
      <c r="N242" s="3" t="s">
        <v>770</v>
      </c>
      <c r="O242" s="52" t="s">
        <v>15</v>
      </c>
      <c r="P242" s="52" t="s">
        <v>16</v>
      </c>
      <c r="Q242" s="3" t="s">
        <v>43</v>
      </c>
      <c r="R242" s="50" t="s">
        <v>53</v>
      </c>
    </row>
    <row r="243" spans="1:18" ht="123.75" customHeight="1" x14ac:dyDescent="0.25">
      <c r="A243" s="52" t="s">
        <v>724</v>
      </c>
      <c r="B243" s="34" t="s">
        <v>539</v>
      </c>
      <c r="C243" s="34" t="s">
        <v>539</v>
      </c>
      <c r="D243" s="34"/>
      <c r="E243" s="34" t="s">
        <v>539</v>
      </c>
      <c r="F243" s="34" t="s">
        <v>539</v>
      </c>
      <c r="G243" s="52" t="str">
        <f>+"10-DEC-2014"</f>
        <v>10-DEC-2014</v>
      </c>
      <c r="H243" s="63">
        <f t="shared" si="3"/>
        <v>12</v>
      </c>
      <c r="I243" s="29"/>
      <c r="J243" s="40"/>
      <c r="K243" s="29"/>
      <c r="L243" s="34"/>
      <c r="M243" s="52" t="s">
        <v>11</v>
      </c>
      <c r="N243" s="3" t="s">
        <v>772</v>
      </c>
      <c r="O243" s="52" t="s">
        <v>15</v>
      </c>
      <c r="P243" s="52" t="s">
        <v>16</v>
      </c>
      <c r="Q243" s="3" t="s">
        <v>23</v>
      </c>
      <c r="R243" s="50" t="s">
        <v>150</v>
      </c>
    </row>
    <row r="244" spans="1:18" ht="84.95" customHeight="1" x14ac:dyDescent="0.25">
      <c r="A244" s="52" t="s">
        <v>726</v>
      </c>
      <c r="B244" s="34" t="s">
        <v>539</v>
      </c>
      <c r="C244" s="34" t="s">
        <v>539</v>
      </c>
      <c r="D244" s="34"/>
      <c r="E244" s="34" t="s">
        <v>539</v>
      </c>
      <c r="F244" s="34" t="s">
        <v>539</v>
      </c>
      <c r="G244" s="52" t="str">
        <f>+"15-DEC-2014"</f>
        <v>15-DEC-2014</v>
      </c>
      <c r="H244" s="63">
        <f t="shared" si="3"/>
        <v>7</v>
      </c>
      <c r="I244" s="29"/>
      <c r="J244" s="40"/>
      <c r="K244" s="29"/>
      <c r="L244" s="34"/>
      <c r="M244" s="52" t="s">
        <v>21</v>
      </c>
      <c r="N244" s="3" t="s">
        <v>773</v>
      </c>
      <c r="O244" s="52" t="s">
        <v>15</v>
      </c>
      <c r="P244" s="52" t="s">
        <v>19</v>
      </c>
      <c r="Q244" s="3" t="s">
        <v>43</v>
      </c>
      <c r="R244" s="50" t="s">
        <v>79</v>
      </c>
    </row>
    <row r="245" spans="1:18" x14ac:dyDescent="0.25">
      <c r="H245" s="13"/>
      <c r="K245" s="13"/>
    </row>
    <row r="246" spans="1:18" x14ac:dyDescent="0.25">
      <c r="H246" s="13"/>
      <c r="K246" s="13"/>
    </row>
    <row r="247" spans="1:18" x14ac:dyDescent="0.25">
      <c r="H247" s="13"/>
      <c r="K247" s="13"/>
    </row>
    <row r="248" spans="1:18" x14ac:dyDescent="0.25">
      <c r="H248" s="13"/>
      <c r="K248" s="13"/>
    </row>
    <row r="249" spans="1:18" x14ac:dyDescent="0.25">
      <c r="H249" s="13"/>
      <c r="K249" s="13"/>
    </row>
    <row r="250" spans="1:18" x14ac:dyDescent="0.25">
      <c r="H250" s="13"/>
      <c r="K250" s="13"/>
    </row>
    <row r="251" spans="1:18" x14ac:dyDescent="0.25">
      <c r="H251" s="13"/>
      <c r="K251" s="13"/>
    </row>
    <row r="252" spans="1:18" x14ac:dyDescent="0.25">
      <c r="H252" s="13"/>
      <c r="K252" s="13"/>
    </row>
    <row r="253" spans="1:18" x14ac:dyDescent="0.25">
      <c r="H253" s="13"/>
      <c r="K253" s="13"/>
    </row>
    <row r="254" spans="1:18" x14ac:dyDescent="0.25">
      <c r="H254" s="13"/>
      <c r="K254" s="13"/>
    </row>
    <row r="255" spans="1:18" x14ac:dyDescent="0.25">
      <c r="H255" s="13"/>
      <c r="K255" s="13"/>
    </row>
    <row r="256" spans="1:18" x14ac:dyDescent="0.25">
      <c r="H256" s="13"/>
      <c r="K256" s="13"/>
    </row>
    <row r="257" spans="1:18" x14ac:dyDescent="0.25">
      <c r="H257" s="13"/>
      <c r="K257" s="13"/>
    </row>
    <row r="258" spans="1:18" x14ac:dyDescent="0.25">
      <c r="H258" s="13"/>
      <c r="K258" s="13"/>
    </row>
    <row r="259" spans="1:18" x14ac:dyDescent="0.25">
      <c r="H259" s="13"/>
      <c r="K259" s="13"/>
    </row>
    <row r="260" spans="1:18" x14ac:dyDescent="0.25">
      <c r="A260" s="10"/>
      <c r="B260" s="10"/>
      <c r="C260" s="10"/>
      <c r="D260" s="10"/>
      <c r="E260" s="10"/>
      <c r="F260" s="10"/>
      <c r="G260" s="11"/>
      <c r="H260" s="13"/>
      <c r="K260" s="13"/>
      <c r="L260" s="10"/>
      <c r="O260" s="10"/>
      <c r="P260" s="10"/>
      <c r="Q260" s="10"/>
      <c r="R260" s="10"/>
    </row>
    <row r="261" spans="1:18" x14ac:dyDescent="0.25">
      <c r="A261" s="10"/>
      <c r="B261" s="10"/>
      <c r="C261" s="10"/>
      <c r="D261" s="10"/>
      <c r="E261" s="10"/>
      <c r="F261" s="10"/>
      <c r="G261" s="11"/>
      <c r="H261" s="13"/>
      <c r="K261" s="13"/>
      <c r="L261" s="10"/>
      <c r="O261" s="10"/>
      <c r="P261" s="10"/>
      <c r="Q261" s="10"/>
      <c r="R261" s="10"/>
    </row>
    <row r="262" spans="1:18" x14ac:dyDescent="0.25">
      <c r="A262" s="10"/>
      <c r="B262" s="10"/>
      <c r="C262" s="10"/>
      <c r="D262" s="10"/>
      <c r="E262" s="10"/>
      <c r="F262" s="10"/>
      <c r="G262" s="11"/>
      <c r="H262" s="13"/>
      <c r="K262" s="13"/>
      <c r="L262" s="10"/>
      <c r="O262" s="10"/>
      <c r="P262" s="10"/>
      <c r="Q262" s="10"/>
      <c r="R262" s="10"/>
    </row>
    <row r="263" spans="1:18" x14ac:dyDescent="0.25">
      <c r="A263" s="10"/>
      <c r="B263" s="10"/>
      <c r="C263" s="10"/>
      <c r="D263" s="10"/>
      <c r="E263" s="10"/>
      <c r="F263" s="10"/>
      <c r="G263" s="11"/>
      <c r="H263" s="13"/>
      <c r="K263" s="13"/>
      <c r="L263" s="10"/>
      <c r="O263" s="10"/>
      <c r="P263" s="10"/>
      <c r="Q263" s="10"/>
      <c r="R263" s="10"/>
    </row>
    <row r="264" spans="1:18" x14ac:dyDescent="0.25">
      <c r="A264" s="10"/>
      <c r="B264" s="10"/>
      <c r="C264" s="10"/>
      <c r="D264" s="10"/>
      <c r="E264" s="10"/>
      <c r="F264" s="10"/>
      <c r="G264" s="11"/>
      <c r="H264" s="13"/>
      <c r="K264" s="13"/>
      <c r="L264" s="10"/>
      <c r="O264" s="10"/>
      <c r="P264" s="10"/>
      <c r="Q264" s="10"/>
      <c r="R264" s="10"/>
    </row>
    <row r="265" spans="1:18" x14ac:dyDescent="0.25">
      <c r="A265" s="10"/>
      <c r="B265" s="10"/>
      <c r="C265" s="10"/>
      <c r="D265" s="10"/>
      <c r="E265" s="10"/>
      <c r="F265" s="10"/>
      <c r="G265" s="11"/>
      <c r="H265" s="13"/>
      <c r="K265" s="13"/>
      <c r="L265" s="10"/>
      <c r="O265" s="10"/>
      <c r="P265" s="10"/>
      <c r="Q265" s="10"/>
      <c r="R265" s="10"/>
    </row>
    <row r="266" spans="1:18" x14ac:dyDescent="0.25">
      <c r="A266" s="10"/>
      <c r="B266" s="10"/>
      <c r="C266" s="10"/>
      <c r="D266" s="10"/>
      <c r="E266" s="10"/>
      <c r="F266" s="10"/>
      <c r="G266" s="11"/>
      <c r="H266" s="13"/>
      <c r="K266" s="13"/>
      <c r="L266" s="10"/>
      <c r="O266" s="10"/>
      <c r="P266" s="10"/>
      <c r="Q266" s="10"/>
      <c r="R266" s="10"/>
    </row>
    <row r="267" spans="1:18" x14ac:dyDescent="0.25">
      <c r="A267" s="10"/>
      <c r="B267" s="10"/>
      <c r="C267" s="10"/>
      <c r="D267" s="10"/>
      <c r="E267" s="10"/>
      <c r="F267" s="10"/>
      <c r="G267" s="11"/>
      <c r="H267" s="13"/>
      <c r="K267" s="13"/>
      <c r="L267" s="10"/>
      <c r="O267" s="10"/>
      <c r="P267" s="10"/>
      <c r="Q267" s="10"/>
      <c r="R267" s="10"/>
    </row>
    <row r="268" spans="1:18" x14ac:dyDescent="0.25">
      <c r="A268" s="10"/>
      <c r="B268" s="10"/>
      <c r="C268" s="10"/>
      <c r="D268" s="10"/>
      <c r="E268" s="10"/>
      <c r="F268" s="10"/>
      <c r="G268" s="11"/>
      <c r="H268" s="13"/>
      <c r="K268" s="13"/>
      <c r="L268" s="10"/>
      <c r="O268" s="10"/>
      <c r="P268" s="10"/>
      <c r="Q268" s="10"/>
      <c r="R268" s="10"/>
    </row>
    <row r="269" spans="1:18" x14ac:dyDescent="0.25">
      <c r="A269" s="10"/>
      <c r="B269" s="10"/>
      <c r="C269" s="10"/>
      <c r="D269" s="10"/>
      <c r="E269" s="10"/>
      <c r="F269" s="10"/>
      <c r="G269" s="11"/>
      <c r="H269" s="13"/>
      <c r="K269" s="13"/>
      <c r="L269" s="10"/>
      <c r="O269" s="10"/>
      <c r="P269" s="10"/>
      <c r="Q269" s="10"/>
      <c r="R269" s="10"/>
    </row>
    <row r="270" spans="1:18" x14ac:dyDescent="0.25">
      <c r="A270" s="10"/>
      <c r="B270" s="10"/>
      <c r="C270" s="10"/>
      <c r="D270" s="10"/>
      <c r="E270" s="10"/>
      <c r="F270" s="10"/>
      <c r="G270" s="11"/>
      <c r="H270" s="13"/>
      <c r="K270" s="13"/>
      <c r="L270" s="10"/>
      <c r="O270" s="10"/>
      <c r="P270" s="10"/>
      <c r="Q270" s="10"/>
      <c r="R270" s="10"/>
    </row>
    <row r="271" spans="1:18" x14ac:dyDescent="0.25">
      <c r="A271" s="10"/>
      <c r="B271" s="10"/>
      <c r="C271" s="10"/>
      <c r="D271" s="10"/>
      <c r="E271" s="10"/>
      <c r="F271" s="10"/>
      <c r="G271" s="11"/>
      <c r="H271" s="13"/>
      <c r="K271" s="13"/>
      <c r="L271" s="10"/>
      <c r="O271" s="10"/>
      <c r="P271" s="10"/>
      <c r="Q271" s="10"/>
      <c r="R271" s="10"/>
    </row>
    <row r="272" spans="1:18" x14ac:dyDescent="0.25">
      <c r="A272" s="10"/>
      <c r="B272" s="10"/>
      <c r="C272" s="10"/>
      <c r="D272" s="10"/>
      <c r="E272" s="10"/>
      <c r="F272" s="10"/>
      <c r="G272" s="11"/>
      <c r="H272" s="13"/>
      <c r="K272" s="13"/>
      <c r="L272" s="10"/>
      <c r="O272" s="10"/>
      <c r="P272" s="10"/>
      <c r="Q272" s="10"/>
      <c r="R272" s="10"/>
    </row>
    <row r="273" spans="1:18" x14ac:dyDescent="0.25">
      <c r="A273" s="10"/>
      <c r="B273" s="10"/>
      <c r="C273" s="10"/>
      <c r="D273" s="10"/>
      <c r="E273" s="10"/>
      <c r="F273" s="10"/>
      <c r="G273" s="11"/>
      <c r="H273" s="13"/>
      <c r="K273" s="13"/>
      <c r="L273" s="10"/>
      <c r="O273" s="10"/>
      <c r="P273" s="10"/>
      <c r="Q273" s="10"/>
      <c r="R273" s="10"/>
    </row>
    <row r="274" spans="1:18" x14ac:dyDescent="0.25">
      <c r="A274" s="10"/>
      <c r="B274" s="10"/>
      <c r="C274" s="10"/>
      <c r="D274" s="10"/>
      <c r="E274" s="10"/>
      <c r="F274" s="10"/>
      <c r="G274" s="11"/>
      <c r="H274" s="13"/>
      <c r="K274" s="13"/>
      <c r="L274" s="10"/>
      <c r="O274" s="10"/>
      <c r="P274" s="10"/>
      <c r="Q274" s="10"/>
      <c r="R274" s="10"/>
    </row>
    <row r="275" spans="1:18" x14ac:dyDescent="0.25">
      <c r="A275" s="10"/>
      <c r="B275" s="10"/>
      <c r="C275" s="10"/>
      <c r="D275" s="10"/>
      <c r="E275" s="10"/>
      <c r="F275" s="10"/>
      <c r="G275" s="11"/>
      <c r="H275" s="13"/>
      <c r="K275" s="13"/>
      <c r="L275" s="10"/>
      <c r="O275" s="10"/>
      <c r="P275" s="10"/>
      <c r="Q275" s="10"/>
      <c r="R275" s="10"/>
    </row>
    <row r="276" spans="1:18" x14ac:dyDescent="0.25">
      <c r="A276" s="10"/>
      <c r="B276" s="10"/>
      <c r="C276" s="10"/>
      <c r="D276" s="10"/>
      <c r="E276" s="10"/>
      <c r="F276" s="10"/>
      <c r="G276" s="11"/>
      <c r="H276" s="13"/>
      <c r="K276" s="13"/>
      <c r="L276" s="10"/>
      <c r="O276" s="10"/>
      <c r="P276" s="10"/>
      <c r="Q276" s="10"/>
      <c r="R276" s="10"/>
    </row>
    <row r="277" spans="1:18" x14ac:dyDescent="0.25">
      <c r="A277" s="10"/>
      <c r="B277" s="10"/>
      <c r="C277" s="10"/>
      <c r="D277" s="10"/>
      <c r="E277" s="10"/>
      <c r="F277" s="10"/>
      <c r="G277" s="11"/>
      <c r="H277" s="13"/>
      <c r="K277" s="13"/>
      <c r="L277" s="10"/>
      <c r="O277" s="10"/>
      <c r="P277" s="10"/>
      <c r="Q277" s="10"/>
      <c r="R277" s="10"/>
    </row>
    <row r="278" spans="1:18" x14ac:dyDescent="0.25">
      <c r="A278" s="10"/>
      <c r="B278" s="10"/>
      <c r="C278" s="10"/>
      <c r="D278" s="10"/>
      <c r="E278" s="10"/>
      <c r="F278" s="10"/>
      <c r="G278" s="11"/>
      <c r="H278" s="13"/>
      <c r="K278" s="13"/>
      <c r="L278" s="10"/>
      <c r="O278" s="10"/>
      <c r="P278" s="10"/>
      <c r="Q278" s="10"/>
      <c r="R278" s="10"/>
    </row>
    <row r="279" spans="1:18" x14ac:dyDescent="0.25">
      <c r="A279" s="10"/>
      <c r="B279" s="10"/>
      <c r="C279" s="10"/>
      <c r="D279" s="10"/>
      <c r="E279" s="10"/>
      <c r="F279" s="10"/>
      <c r="G279" s="11"/>
      <c r="H279" s="13"/>
      <c r="K279" s="13"/>
      <c r="L279" s="10"/>
      <c r="O279" s="10"/>
      <c r="P279" s="10"/>
      <c r="Q279" s="10"/>
      <c r="R279" s="10"/>
    </row>
    <row r="280" spans="1:18" x14ac:dyDescent="0.25">
      <c r="A280" s="10"/>
      <c r="B280" s="10"/>
      <c r="C280" s="10"/>
      <c r="D280" s="10"/>
      <c r="E280" s="10"/>
      <c r="F280" s="10"/>
      <c r="G280" s="11"/>
      <c r="H280" s="13"/>
      <c r="K280" s="13"/>
      <c r="L280" s="10"/>
      <c r="O280" s="10"/>
      <c r="P280" s="10"/>
      <c r="Q280" s="10"/>
      <c r="R280" s="10"/>
    </row>
    <row r="281" spans="1:18" x14ac:dyDescent="0.25">
      <c r="A281" s="10"/>
      <c r="B281" s="10"/>
      <c r="C281" s="10"/>
      <c r="D281" s="10"/>
      <c r="E281" s="10"/>
      <c r="F281" s="10"/>
      <c r="G281" s="11"/>
      <c r="H281" s="13"/>
      <c r="K281" s="13"/>
      <c r="L281" s="10"/>
      <c r="O281" s="10"/>
      <c r="P281" s="10"/>
      <c r="Q281" s="10"/>
      <c r="R281" s="10"/>
    </row>
    <row r="282" spans="1:18" x14ac:dyDescent="0.25">
      <c r="A282" s="10"/>
      <c r="B282" s="10"/>
      <c r="C282" s="10"/>
      <c r="D282" s="10"/>
      <c r="E282" s="10"/>
      <c r="F282" s="10"/>
      <c r="G282" s="11"/>
      <c r="H282" s="13"/>
      <c r="K282" s="13"/>
      <c r="L282" s="10"/>
      <c r="O282" s="10"/>
      <c r="P282" s="10"/>
      <c r="Q282" s="10"/>
      <c r="R282" s="10"/>
    </row>
    <row r="283" spans="1:18" x14ac:dyDescent="0.25">
      <c r="A283" s="10"/>
      <c r="B283" s="10"/>
      <c r="C283" s="10"/>
      <c r="D283" s="10"/>
      <c r="E283" s="10"/>
      <c r="F283" s="10"/>
      <c r="G283" s="11"/>
      <c r="H283" s="13"/>
      <c r="K283" s="13"/>
      <c r="L283" s="10"/>
      <c r="O283" s="10"/>
      <c r="P283" s="10"/>
      <c r="Q283" s="10"/>
      <c r="R283" s="10"/>
    </row>
    <row r="284" spans="1:18" x14ac:dyDescent="0.25">
      <c r="A284" s="10"/>
      <c r="B284" s="10"/>
      <c r="C284" s="10"/>
      <c r="D284" s="10"/>
      <c r="E284" s="10"/>
      <c r="F284" s="10"/>
      <c r="G284" s="11"/>
      <c r="H284" s="13"/>
      <c r="K284" s="13"/>
      <c r="L284" s="10"/>
      <c r="O284" s="10"/>
      <c r="P284" s="10"/>
      <c r="Q284" s="10"/>
      <c r="R284" s="10"/>
    </row>
    <row r="285" spans="1:18" x14ac:dyDescent="0.25">
      <c r="A285" s="10"/>
      <c r="B285" s="10"/>
      <c r="C285" s="10"/>
      <c r="D285" s="10"/>
      <c r="E285" s="10"/>
      <c r="F285" s="10"/>
      <c r="G285" s="11"/>
      <c r="H285" s="13"/>
      <c r="K285" s="13"/>
      <c r="L285" s="10"/>
      <c r="O285" s="10"/>
      <c r="P285" s="10"/>
      <c r="Q285" s="10"/>
      <c r="R285" s="10"/>
    </row>
    <row r="286" spans="1:18" x14ac:dyDescent="0.25">
      <c r="A286" s="10"/>
      <c r="B286" s="10"/>
      <c r="C286" s="10"/>
      <c r="D286" s="10"/>
      <c r="E286" s="10"/>
      <c r="F286" s="10"/>
      <c r="G286" s="11"/>
      <c r="H286" s="13"/>
      <c r="K286" s="13"/>
      <c r="L286" s="10"/>
      <c r="O286" s="10"/>
      <c r="P286" s="10"/>
      <c r="Q286" s="10"/>
      <c r="R286" s="10"/>
    </row>
    <row r="287" spans="1:18" x14ac:dyDescent="0.25">
      <c r="A287" s="10"/>
      <c r="B287" s="10"/>
      <c r="C287" s="10"/>
      <c r="D287" s="10"/>
      <c r="E287" s="10"/>
      <c r="F287" s="10"/>
      <c r="G287" s="11"/>
      <c r="H287" s="13"/>
      <c r="K287" s="13"/>
      <c r="L287" s="10"/>
      <c r="O287" s="10"/>
      <c r="P287" s="10"/>
      <c r="Q287" s="10"/>
      <c r="R287" s="10"/>
    </row>
    <row r="288" spans="1:18" x14ac:dyDescent="0.25">
      <c r="A288" s="10"/>
      <c r="B288" s="10"/>
      <c r="C288" s="10"/>
      <c r="D288" s="10"/>
      <c r="E288" s="10"/>
      <c r="F288" s="10"/>
      <c r="G288" s="11"/>
      <c r="H288" s="13"/>
      <c r="K288" s="13"/>
      <c r="L288" s="10"/>
      <c r="O288" s="10"/>
      <c r="P288" s="10"/>
      <c r="Q288" s="10"/>
      <c r="R288" s="10"/>
    </row>
    <row r="289" spans="1:18" x14ac:dyDescent="0.25">
      <c r="A289" s="10"/>
      <c r="B289" s="10"/>
      <c r="C289" s="10"/>
      <c r="D289" s="10"/>
      <c r="E289" s="10"/>
      <c r="F289" s="10"/>
      <c r="G289" s="11"/>
      <c r="H289" s="13"/>
      <c r="K289" s="13"/>
      <c r="L289" s="10"/>
      <c r="O289" s="10"/>
      <c r="P289" s="10"/>
      <c r="Q289" s="10"/>
      <c r="R289" s="10"/>
    </row>
    <row r="290" spans="1:18" x14ac:dyDescent="0.25">
      <c r="A290" s="10"/>
      <c r="B290" s="10"/>
      <c r="C290" s="10"/>
      <c r="D290" s="10"/>
      <c r="E290" s="10"/>
      <c r="F290" s="10"/>
      <c r="G290" s="11"/>
      <c r="H290" s="13"/>
      <c r="K290" s="13"/>
      <c r="L290" s="10"/>
      <c r="O290" s="10"/>
      <c r="P290" s="10"/>
      <c r="Q290" s="10"/>
      <c r="R290" s="10"/>
    </row>
    <row r="291" spans="1:18" x14ac:dyDescent="0.25">
      <c r="A291" s="10"/>
      <c r="B291" s="10"/>
      <c r="C291" s="10"/>
      <c r="D291" s="10"/>
      <c r="E291" s="10"/>
      <c r="F291" s="10"/>
      <c r="G291" s="11"/>
      <c r="H291" s="13"/>
      <c r="K291" s="13"/>
      <c r="L291" s="10"/>
      <c r="O291" s="10"/>
      <c r="P291" s="10"/>
      <c r="Q291" s="10"/>
      <c r="R291" s="10"/>
    </row>
    <row r="292" spans="1:18" x14ac:dyDescent="0.25">
      <c r="A292" s="10"/>
      <c r="B292" s="10"/>
      <c r="C292" s="10"/>
      <c r="D292" s="10"/>
      <c r="E292" s="10"/>
      <c r="F292" s="10"/>
      <c r="G292" s="11"/>
      <c r="H292" s="13"/>
      <c r="K292" s="13"/>
      <c r="L292" s="10"/>
      <c r="O292" s="10"/>
      <c r="P292" s="10"/>
      <c r="Q292" s="10"/>
      <c r="R292" s="10"/>
    </row>
    <row r="293" spans="1:18" x14ac:dyDescent="0.25">
      <c r="A293" s="10"/>
      <c r="B293" s="10"/>
      <c r="C293" s="10"/>
      <c r="D293" s="10"/>
      <c r="E293" s="10"/>
      <c r="F293" s="10"/>
      <c r="G293" s="11"/>
      <c r="H293" s="13"/>
      <c r="K293" s="13"/>
      <c r="L293" s="10"/>
      <c r="O293" s="10"/>
      <c r="P293" s="10"/>
      <c r="Q293" s="10"/>
      <c r="R293" s="10"/>
    </row>
    <row r="294" spans="1:18" x14ac:dyDescent="0.25">
      <c r="A294" s="10"/>
      <c r="B294" s="10"/>
      <c r="C294" s="10"/>
      <c r="D294" s="10"/>
      <c r="E294" s="10"/>
      <c r="F294" s="10"/>
      <c r="G294" s="11"/>
      <c r="H294" s="13"/>
      <c r="K294" s="13"/>
      <c r="L294" s="10"/>
      <c r="O294" s="10"/>
      <c r="P294" s="10"/>
      <c r="Q294" s="10"/>
      <c r="R294" s="10"/>
    </row>
    <row r="295" spans="1:18" x14ac:dyDescent="0.25">
      <c r="A295" s="10"/>
      <c r="B295" s="10"/>
      <c r="C295" s="10"/>
      <c r="D295" s="10"/>
      <c r="E295" s="10"/>
      <c r="F295" s="10"/>
      <c r="G295" s="11"/>
      <c r="H295" s="13"/>
      <c r="K295" s="13"/>
      <c r="L295" s="10"/>
      <c r="O295" s="10"/>
      <c r="P295" s="10"/>
      <c r="Q295" s="10"/>
      <c r="R295" s="10"/>
    </row>
  </sheetData>
  <sortState ref="A2:R295">
    <sortCondition descending="1" ref="H2:H295"/>
  </sortState>
  <pageMargins left="0.25" right="0" top="0.5" bottom="0.5" header="0.3" footer="0.3"/>
  <pageSetup paperSize="5" scale="72" orientation="landscape" r:id="rId1"/>
  <headerFooter>
    <oddHeader xml:space="preserve">&amp;L&amp;"-,Bold"Updated:  12/22/14
&amp;C&amp;"-,Bold"2014 Proceeding Status (ACTIVE)
  </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0"/>
  <sheetViews>
    <sheetView zoomScale="90" zoomScaleNormal="90" workbookViewId="0">
      <selection activeCell="F4" sqref="F4"/>
    </sheetView>
  </sheetViews>
  <sheetFormatPr defaultRowHeight="15" x14ac:dyDescent="0.25"/>
  <cols>
    <col min="1" max="1" width="11.85546875" style="11" customWidth="1"/>
    <col min="2" max="2" width="13.42578125" style="12" customWidth="1"/>
    <col min="3" max="5" width="12.7109375" style="12" customWidth="1"/>
    <col min="6" max="6" width="13.28515625" style="12" customWidth="1"/>
    <col min="7" max="7" width="13.140625" style="16" customWidth="1"/>
    <col min="8" max="8" width="10.5703125" style="11" customWidth="1"/>
    <col min="9" max="9" width="12.85546875" style="11" customWidth="1"/>
    <col min="10" max="10" width="13" style="14" customWidth="1"/>
    <col min="11" max="11" width="11.140625" style="11" customWidth="1"/>
    <col min="12" max="12" width="12.5703125" style="12" customWidth="1"/>
    <col min="13" max="13" width="9.28515625" style="11" customWidth="1"/>
    <col min="14" max="14" width="35.28515625" style="15" customWidth="1"/>
    <col min="15" max="15" width="12.28515625" style="11" customWidth="1"/>
    <col min="16" max="16" width="16.28515625" style="11" customWidth="1"/>
    <col min="17" max="17" width="15.140625" style="15" customWidth="1"/>
    <col min="18" max="18" width="13.7109375" style="23" customWidth="1"/>
    <col min="19" max="22" width="9.140625" style="10" customWidth="1"/>
    <col min="23" max="16384" width="9.140625" style="10"/>
  </cols>
  <sheetData>
    <row r="1" spans="1:18" ht="130.5" customHeight="1" x14ac:dyDescent="0.25">
      <c r="A1" s="5" t="s">
        <v>0</v>
      </c>
      <c r="B1" s="6" t="s">
        <v>538</v>
      </c>
      <c r="C1" s="7" t="s">
        <v>541</v>
      </c>
      <c r="D1" s="7" t="s">
        <v>818</v>
      </c>
      <c r="E1" s="7" t="s">
        <v>542</v>
      </c>
      <c r="F1" s="7" t="s">
        <v>790</v>
      </c>
      <c r="G1" s="8" t="s">
        <v>1</v>
      </c>
      <c r="H1" s="7" t="s">
        <v>776</v>
      </c>
      <c r="I1" s="9" t="s">
        <v>2</v>
      </c>
      <c r="J1" s="28" t="s">
        <v>3</v>
      </c>
      <c r="K1" s="24" t="s">
        <v>777</v>
      </c>
      <c r="L1" s="7" t="s">
        <v>4</v>
      </c>
      <c r="M1" s="5" t="s">
        <v>5</v>
      </c>
      <c r="N1" s="9" t="s">
        <v>6</v>
      </c>
      <c r="O1" s="5" t="s">
        <v>7</v>
      </c>
      <c r="P1" s="5" t="s">
        <v>8</v>
      </c>
      <c r="Q1" s="9" t="s">
        <v>9</v>
      </c>
      <c r="R1" s="9" t="s">
        <v>10</v>
      </c>
    </row>
    <row r="2" spans="1:18" ht="102.75" customHeight="1" x14ac:dyDescent="0.25">
      <c r="A2" s="3" t="s">
        <v>341</v>
      </c>
      <c r="B2" s="34" t="s">
        <v>539</v>
      </c>
      <c r="C2" s="35">
        <v>39462</v>
      </c>
      <c r="D2" s="35"/>
      <c r="E2" s="34" t="s">
        <v>539</v>
      </c>
      <c r="F2" s="35">
        <v>41095</v>
      </c>
      <c r="G2" s="36" t="str">
        <f>+"20-SEP-2007"</f>
        <v>20-SEP-2007</v>
      </c>
      <c r="H2" s="37"/>
      <c r="I2" s="3" t="str">
        <f>+"04-DEC-2008"</f>
        <v>04-DEC-2008</v>
      </c>
      <c r="J2" s="35">
        <v>39818</v>
      </c>
      <c r="K2" s="63">
        <f t="shared" ref="K2:K65" si="0">DATE(2014, 12, 22) - J2</f>
        <v>2177</v>
      </c>
      <c r="L2" s="35">
        <v>39583</v>
      </c>
      <c r="M2" s="3" t="s">
        <v>11</v>
      </c>
      <c r="N2" s="3" t="s">
        <v>342</v>
      </c>
      <c r="O2" s="3" t="s">
        <v>12</v>
      </c>
      <c r="P2" s="3" t="s">
        <v>27</v>
      </c>
      <c r="Q2" s="3" t="s">
        <v>14</v>
      </c>
      <c r="R2" s="22" t="s">
        <v>567</v>
      </c>
    </row>
    <row r="3" spans="1:18" ht="84.95" customHeight="1" x14ac:dyDescent="0.25">
      <c r="A3" s="3" t="s">
        <v>345</v>
      </c>
      <c r="B3" s="34">
        <v>41149</v>
      </c>
      <c r="C3" s="35">
        <v>41213</v>
      </c>
      <c r="D3" s="35"/>
      <c r="E3" s="34">
        <v>41565</v>
      </c>
      <c r="F3" s="35">
        <v>41628</v>
      </c>
      <c r="G3" s="36" t="str">
        <f>+"01-AUG-2008"</f>
        <v>01-AUG-2008</v>
      </c>
      <c r="H3" s="37"/>
      <c r="I3" s="3" t="str">
        <f>+"29-JUL-2010"</f>
        <v>29-JUL-2010</v>
      </c>
      <c r="J3" s="35">
        <v>40422</v>
      </c>
      <c r="K3" s="63">
        <f t="shared" si="0"/>
        <v>1573</v>
      </c>
      <c r="L3" s="35"/>
      <c r="M3" s="3" t="s">
        <v>11</v>
      </c>
      <c r="N3" s="3" t="s">
        <v>346</v>
      </c>
      <c r="O3" s="3" t="s">
        <v>12</v>
      </c>
      <c r="P3" s="3" t="s">
        <v>27</v>
      </c>
      <c r="Q3" s="3" t="s">
        <v>14</v>
      </c>
      <c r="R3" s="22" t="s">
        <v>347</v>
      </c>
    </row>
    <row r="4" spans="1:18" ht="130.5" customHeight="1" x14ac:dyDescent="0.25">
      <c r="A4" s="3" t="s">
        <v>460</v>
      </c>
      <c r="B4" s="34" t="s">
        <v>539</v>
      </c>
      <c r="C4" s="35">
        <v>39556</v>
      </c>
      <c r="D4" s="35"/>
      <c r="E4" s="34" t="s">
        <v>539</v>
      </c>
      <c r="F4" s="35" t="s">
        <v>539</v>
      </c>
      <c r="G4" s="36" t="str">
        <f>+"05-OCT-2006"</f>
        <v>05-OCT-2006</v>
      </c>
      <c r="H4" s="37"/>
      <c r="I4" s="3" t="str">
        <f>+"16-DEC-2010"</f>
        <v>16-DEC-2010</v>
      </c>
      <c r="J4" s="35">
        <v>40567</v>
      </c>
      <c r="K4" s="63">
        <f t="shared" si="0"/>
        <v>1428</v>
      </c>
      <c r="L4" s="35"/>
      <c r="M4" s="3" t="s">
        <v>21</v>
      </c>
      <c r="N4" s="3" t="s">
        <v>461</v>
      </c>
      <c r="O4" s="3" t="s">
        <v>12</v>
      </c>
      <c r="P4" s="3" t="s">
        <v>27</v>
      </c>
      <c r="Q4" s="3" t="s">
        <v>17</v>
      </c>
      <c r="R4" s="22" t="s">
        <v>568</v>
      </c>
    </row>
    <row r="5" spans="1:18" ht="84.95" customHeight="1" x14ac:dyDescent="0.25">
      <c r="A5" s="3" t="s">
        <v>28</v>
      </c>
      <c r="B5" s="34" t="s">
        <v>539</v>
      </c>
      <c r="C5" s="35">
        <v>39762</v>
      </c>
      <c r="D5" s="35"/>
      <c r="E5" s="34" t="s">
        <v>539</v>
      </c>
      <c r="F5" s="35">
        <v>39855</v>
      </c>
      <c r="G5" s="36" t="str">
        <f>+"02-JUN-2008"</f>
        <v>02-JUN-2008</v>
      </c>
      <c r="H5" s="37"/>
      <c r="I5" s="3" t="str">
        <f>+"16-DEC-2010"</f>
        <v>16-DEC-2010</v>
      </c>
      <c r="J5" s="35">
        <v>40568</v>
      </c>
      <c r="K5" s="63">
        <f t="shared" si="0"/>
        <v>1427</v>
      </c>
      <c r="L5" s="35">
        <v>40000</v>
      </c>
      <c r="M5" s="3" t="s">
        <v>11</v>
      </c>
      <c r="N5" s="3" t="s">
        <v>29</v>
      </c>
      <c r="O5" s="3" t="s">
        <v>12</v>
      </c>
      <c r="P5" s="3" t="s">
        <v>16</v>
      </c>
      <c r="Q5" s="3" t="s">
        <v>23</v>
      </c>
      <c r="R5" s="22" t="s">
        <v>30</v>
      </c>
    </row>
    <row r="6" spans="1:18" ht="84.95" customHeight="1" x14ac:dyDescent="0.25">
      <c r="A6" s="3" t="s">
        <v>31</v>
      </c>
      <c r="B6" s="34" t="s">
        <v>539</v>
      </c>
      <c r="C6" s="35">
        <v>39762</v>
      </c>
      <c r="D6" s="35"/>
      <c r="E6" s="34" t="s">
        <v>539</v>
      </c>
      <c r="F6" s="35">
        <v>39855</v>
      </c>
      <c r="G6" s="36" t="str">
        <f>+"02-JUN-2008"</f>
        <v>02-JUN-2008</v>
      </c>
      <c r="H6" s="37"/>
      <c r="I6" s="3" t="str">
        <f>+"16-DEC-2010"</f>
        <v>16-DEC-2010</v>
      </c>
      <c r="J6" s="35">
        <v>40568</v>
      </c>
      <c r="K6" s="63">
        <f t="shared" si="0"/>
        <v>1427</v>
      </c>
      <c r="L6" s="35">
        <v>40000</v>
      </c>
      <c r="M6" s="3" t="s">
        <v>11</v>
      </c>
      <c r="N6" s="3" t="s">
        <v>32</v>
      </c>
      <c r="O6" s="3" t="s">
        <v>12</v>
      </c>
      <c r="P6" s="3" t="s">
        <v>16</v>
      </c>
      <c r="Q6" s="3" t="s">
        <v>23</v>
      </c>
      <c r="R6" s="22" t="s">
        <v>30</v>
      </c>
    </row>
    <row r="7" spans="1:18" ht="84.95" customHeight="1" x14ac:dyDescent="0.25">
      <c r="A7" s="3" t="s">
        <v>33</v>
      </c>
      <c r="B7" s="34" t="s">
        <v>539</v>
      </c>
      <c r="C7" s="35">
        <v>39762</v>
      </c>
      <c r="D7" s="35"/>
      <c r="E7" s="34" t="s">
        <v>539</v>
      </c>
      <c r="F7" s="35">
        <v>39855</v>
      </c>
      <c r="G7" s="36" t="str">
        <f>+"02-JUN-2008"</f>
        <v>02-JUN-2008</v>
      </c>
      <c r="H7" s="37"/>
      <c r="I7" s="3" t="str">
        <f>+"16-DEC-2010"</f>
        <v>16-DEC-2010</v>
      </c>
      <c r="J7" s="35">
        <v>40568</v>
      </c>
      <c r="K7" s="63">
        <f t="shared" si="0"/>
        <v>1427</v>
      </c>
      <c r="L7" s="35">
        <v>40000</v>
      </c>
      <c r="M7" s="3" t="s">
        <v>11</v>
      </c>
      <c r="N7" s="3" t="s">
        <v>34</v>
      </c>
      <c r="O7" s="3" t="s">
        <v>12</v>
      </c>
      <c r="P7" s="3" t="s">
        <v>16</v>
      </c>
      <c r="Q7" s="3" t="s">
        <v>23</v>
      </c>
      <c r="R7" s="22" t="s">
        <v>30</v>
      </c>
    </row>
    <row r="8" spans="1:18" ht="84.95" customHeight="1" x14ac:dyDescent="0.25">
      <c r="A8" s="3" t="s">
        <v>348</v>
      </c>
      <c r="B8" s="34" t="s">
        <v>539</v>
      </c>
      <c r="C8" s="35" t="s">
        <v>539</v>
      </c>
      <c r="D8" s="35"/>
      <c r="E8" s="34" t="s">
        <v>539</v>
      </c>
      <c r="F8" s="35" t="s">
        <v>539</v>
      </c>
      <c r="G8" s="36" t="str">
        <f>+"09-DEC-2009"</f>
        <v>09-DEC-2009</v>
      </c>
      <c r="H8" s="37"/>
      <c r="I8" s="3" t="str">
        <f>+"24-MAR-2011"</f>
        <v>24-MAR-2011</v>
      </c>
      <c r="J8" s="35">
        <v>40661</v>
      </c>
      <c r="K8" s="63">
        <f t="shared" si="0"/>
        <v>1334</v>
      </c>
      <c r="L8" s="35"/>
      <c r="M8" s="3" t="s">
        <v>21</v>
      </c>
      <c r="N8" s="3" t="s">
        <v>349</v>
      </c>
      <c r="O8" s="3" t="s">
        <v>12</v>
      </c>
      <c r="P8" s="3" t="s">
        <v>27</v>
      </c>
      <c r="Q8" s="3" t="s">
        <v>43</v>
      </c>
      <c r="R8" s="22" t="s">
        <v>350</v>
      </c>
    </row>
    <row r="9" spans="1:18" ht="105.75" customHeight="1" x14ac:dyDescent="0.25">
      <c r="A9" s="3" t="s">
        <v>353</v>
      </c>
      <c r="B9" s="34" t="s">
        <v>539</v>
      </c>
      <c r="C9" s="35" t="s">
        <v>539</v>
      </c>
      <c r="D9" s="35"/>
      <c r="E9" s="34" t="s">
        <v>539</v>
      </c>
      <c r="F9" s="35" t="s">
        <v>539</v>
      </c>
      <c r="G9" s="36" t="str">
        <f>+"25-JAN-2010"</f>
        <v>25-JAN-2010</v>
      </c>
      <c r="H9" s="37"/>
      <c r="I9" s="3" t="str">
        <f>+"24-MAR-2011"</f>
        <v>24-MAR-2011</v>
      </c>
      <c r="J9" s="35">
        <v>40661</v>
      </c>
      <c r="K9" s="63">
        <f t="shared" si="0"/>
        <v>1334</v>
      </c>
      <c r="L9" s="35"/>
      <c r="M9" s="3" t="s">
        <v>11</v>
      </c>
      <c r="N9" s="3" t="s">
        <v>354</v>
      </c>
      <c r="O9" s="3" t="s">
        <v>12</v>
      </c>
      <c r="P9" s="3" t="s">
        <v>27</v>
      </c>
      <c r="Q9" s="3" t="s">
        <v>43</v>
      </c>
      <c r="R9" s="22" t="s">
        <v>350</v>
      </c>
    </row>
    <row r="10" spans="1:18" ht="114" customHeight="1" x14ac:dyDescent="0.25">
      <c r="A10" s="3" t="s">
        <v>355</v>
      </c>
      <c r="B10" s="34" t="s">
        <v>539</v>
      </c>
      <c r="C10" s="35" t="s">
        <v>539</v>
      </c>
      <c r="D10" s="35"/>
      <c r="E10" s="34" t="s">
        <v>539</v>
      </c>
      <c r="F10" s="35" t="s">
        <v>539</v>
      </c>
      <c r="G10" s="36" t="str">
        <f>+"25-JAN-2010"</f>
        <v>25-JAN-2010</v>
      </c>
      <c r="H10" s="37"/>
      <c r="I10" s="3" t="str">
        <f>+"24-MAR-2011"</f>
        <v>24-MAR-2011</v>
      </c>
      <c r="J10" s="35">
        <v>40661</v>
      </c>
      <c r="K10" s="63">
        <f t="shared" si="0"/>
        <v>1334</v>
      </c>
      <c r="L10" s="35"/>
      <c r="M10" s="3" t="s">
        <v>11</v>
      </c>
      <c r="N10" s="3" t="s">
        <v>356</v>
      </c>
      <c r="O10" s="3" t="s">
        <v>12</v>
      </c>
      <c r="P10" s="3" t="s">
        <v>27</v>
      </c>
      <c r="Q10" s="3" t="s">
        <v>43</v>
      </c>
      <c r="R10" s="22" t="s">
        <v>350</v>
      </c>
    </row>
    <row r="11" spans="1:18" ht="129" customHeight="1" x14ac:dyDescent="0.25">
      <c r="A11" s="3" t="s">
        <v>357</v>
      </c>
      <c r="B11" s="34" t="s">
        <v>539</v>
      </c>
      <c r="C11" s="35" t="s">
        <v>539</v>
      </c>
      <c r="D11" s="35"/>
      <c r="E11" s="34" t="s">
        <v>539</v>
      </c>
      <c r="F11" s="35" t="s">
        <v>539</v>
      </c>
      <c r="G11" s="36" t="str">
        <f>+"25-JAN-2010"</f>
        <v>25-JAN-2010</v>
      </c>
      <c r="H11" s="37"/>
      <c r="I11" s="3" t="str">
        <f>+"24-MAR-2011"</f>
        <v>24-MAR-2011</v>
      </c>
      <c r="J11" s="35">
        <v>40661</v>
      </c>
      <c r="K11" s="63">
        <f t="shared" si="0"/>
        <v>1334</v>
      </c>
      <c r="L11" s="35"/>
      <c r="M11" s="3" t="s">
        <v>11</v>
      </c>
      <c r="N11" s="3" t="s">
        <v>358</v>
      </c>
      <c r="O11" s="3" t="s">
        <v>12</v>
      </c>
      <c r="P11" s="3" t="s">
        <v>27</v>
      </c>
      <c r="Q11" s="3" t="s">
        <v>43</v>
      </c>
      <c r="R11" s="22" t="s">
        <v>350</v>
      </c>
    </row>
    <row r="12" spans="1:18" ht="84.95" customHeight="1" x14ac:dyDescent="0.25">
      <c r="A12" s="3" t="s">
        <v>68</v>
      </c>
      <c r="B12" s="34" t="s">
        <v>539</v>
      </c>
      <c r="C12" s="35" t="s">
        <v>539</v>
      </c>
      <c r="D12" s="35"/>
      <c r="E12" s="34" t="s">
        <v>539</v>
      </c>
      <c r="F12" s="35">
        <v>40781</v>
      </c>
      <c r="G12" s="36" t="str">
        <f>+"01-FEB-2011"</f>
        <v>01-FEB-2011</v>
      </c>
      <c r="H12" s="37"/>
      <c r="I12" s="3" t="str">
        <f>+"19-APR-2012"</f>
        <v>19-APR-2012</v>
      </c>
      <c r="J12" s="35">
        <v>41058</v>
      </c>
      <c r="K12" s="63">
        <f t="shared" si="0"/>
        <v>937</v>
      </c>
      <c r="L12" s="35">
        <v>40781</v>
      </c>
      <c r="M12" s="3" t="s">
        <v>11</v>
      </c>
      <c r="N12" s="3" t="s">
        <v>69</v>
      </c>
      <c r="O12" s="3" t="s">
        <v>12</v>
      </c>
      <c r="P12" s="3" t="s">
        <v>19</v>
      </c>
      <c r="Q12" s="3" t="s">
        <v>17</v>
      </c>
      <c r="R12" s="22" t="s">
        <v>70</v>
      </c>
    </row>
    <row r="13" spans="1:18" ht="84.95" customHeight="1" x14ac:dyDescent="0.25">
      <c r="A13" s="3" t="s">
        <v>54</v>
      </c>
      <c r="B13" s="34">
        <v>40415</v>
      </c>
      <c r="C13" s="35">
        <v>40451</v>
      </c>
      <c r="D13" s="35"/>
      <c r="E13" s="34">
        <v>40451</v>
      </c>
      <c r="F13" s="35">
        <v>40882</v>
      </c>
      <c r="G13" s="36" t="str">
        <f>+"06-JUL-2010"</f>
        <v>06-JUL-2010</v>
      </c>
      <c r="H13" s="37"/>
      <c r="I13" s="3" t="str">
        <f>+"20-DEC-2012"</f>
        <v>20-DEC-2012</v>
      </c>
      <c r="J13" s="35">
        <v>41320</v>
      </c>
      <c r="K13" s="63">
        <f t="shared" si="0"/>
        <v>675</v>
      </c>
      <c r="L13" s="35">
        <v>41194</v>
      </c>
      <c r="M13" s="3" t="s">
        <v>11</v>
      </c>
      <c r="N13" s="3" t="s">
        <v>55</v>
      </c>
      <c r="O13" s="3" t="s">
        <v>12</v>
      </c>
      <c r="P13" s="3" t="s">
        <v>16</v>
      </c>
      <c r="Q13" s="3" t="s">
        <v>14</v>
      </c>
      <c r="R13" s="22" t="s">
        <v>189</v>
      </c>
    </row>
    <row r="14" spans="1:18" ht="84.95" customHeight="1" x14ac:dyDescent="0.25">
      <c r="A14" s="3" t="s">
        <v>335</v>
      </c>
      <c r="B14" s="34" t="s">
        <v>539</v>
      </c>
      <c r="C14" s="35" t="s">
        <v>539</v>
      </c>
      <c r="D14" s="35"/>
      <c r="E14" s="34" t="s">
        <v>539</v>
      </c>
      <c r="F14" s="35">
        <v>34247</v>
      </c>
      <c r="G14" s="36" t="str">
        <f>+"26-MAY-1987"</f>
        <v>26-MAY-1987</v>
      </c>
      <c r="H14" s="37"/>
      <c r="I14" s="3" t="str">
        <f>+"08-MAY-1996"</f>
        <v>08-MAY-1996</v>
      </c>
      <c r="J14" s="35">
        <v>41348</v>
      </c>
      <c r="K14" s="63">
        <f t="shared" si="0"/>
        <v>647</v>
      </c>
      <c r="L14" s="35"/>
      <c r="M14" s="3" t="s">
        <v>21</v>
      </c>
      <c r="N14" s="3" t="s">
        <v>336</v>
      </c>
      <c r="O14" s="3" t="s">
        <v>12</v>
      </c>
      <c r="P14" s="3" t="s">
        <v>27</v>
      </c>
      <c r="Q14" s="3" t="s">
        <v>38</v>
      </c>
      <c r="R14" s="22" t="s">
        <v>65</v>
      </c>
    </row>
    <row r="15" spans="1:18" ht="84.95" customHeight="1" x14ac:dyDescent="0.25">
      <c r="A15" s="3" t="s">
        <v>337</v>
      </c>
      <c r="B15" s="34" t="s">
        <v>539</v>
      </c>
      <c r="C15" s="35" t="s">
        <v>539</v>
      </c>
      <c r="D15" s="35"/>
      <c r="E15" s="34" t="s">
        <v>539</v>
      </c>
      <c r="F15" s="35">
        <v>32965</v>
      </c>
      <c r="G15" s="36" t="str">
        <f>+"01-APR-1988"</f>
        <v>01-APR-1988</v>
      </c>
      <c r="H15" s="37"/>
      <c r="I15" s="3" t="str">
        <f>+"18-DEC-1991"</f>
        <v>18-DEC-1991</v>
      </c>
      <c r="J15" s="35">
        <v>41348</v>
      </c>
      <c r="K15" s="63">
        <f t="shared" si="0"/>
        <v>647</v>
      </c>
      <c r="L15" s="35"/>
      <c r="M15" s="3" t="s">
        <v>21</v>
      </c>
      <c r="N15" s="3" t="s">
        <v>338</v>
      </c>
      <c r="O15" s="3" t="s">
        <v>12</v>
      </c>
      <c r="P15" s="3" t="s">
        <v>27</v>
      </c>
      <c r="Q15" s="3" t="s">
        <v>38</v>
      </c>
      <c r="R15" s="22" t="s">
        <v>65</v>
      </c>
    </row>
    <row r="16" spans="1:18" ht="84.95" customHeight="1" x14ac:dyDescent="0.25">
      <c r="A16" s="3" t="s">
        <v>453</v>
      </c>
      <c r="B16" s="34" t="s">
        <v>539</v>
      </c>
      <c r="C16" s="35" t="s">
        <v>539</v>
      </c>
      <c r="D16" s="35"/>
      <c r="E16" s="34" t="s">
        <v>539</v>
      </c>
      <c r="F16" s="35">
        <v>32965</v>
      </c>
      <c r="G16" s="36" t="str">
        <f>+"17-APR-1985"</f>
        <v>17-APR-1985</v>
      </c>
      <c r="H16" s="37"/>
      <c r="I16" s="3" t="str">
        <f>+"18-DEC-1991"</f>
        <v>18-DEC-1991</v>
      </c>
      <c r="J16" s="35">
        <v>41348</v>
      </c>
      <c r="K16" s="63">
        <f t="shared" si="0"/>
        <v>647</v>
      </c>
      <c r="L16" s="35"/>
      <c r="M16" s="3" t="s">
        <v>21</v>
      </c>
      <c r="N16" s="3" t="s">
        <v>454</v>
      </c>
      <c r="O16" s="3" t="s">
        <v>12</v>
      </c>
      <c r="P16" s="3" t="s">
        <v>27</v>
      </c>
      <c r="Q16" s="3" t="s">
        <v>38</v>
      </c>
      <c r="R16" s="22" t="s">
        <v>65</v>
      </c>
    </row>
    <row r="17" spans="1:18" ht="84.95" customHeight="1" x14ac:dyDescent="0.25">
      <c r="A17" s="3" t="s">
        <v>359</v>
      </c>
      <c r="B17" s="34" t="s">
        <v>539</v>
      </c>
      <c r="C17" s="35" t="s">
        <v>539</v>
      </c>
      <c r="D17" s="35"/>
      <c r="E17" s="34" t="s">
        <v>539</v>
      </c>
      <c r="F17" s="35" t="s">
        <v>539</v>
      </c>
      <c r="G17" s="36" t="str">
        <f>+"25-FEB-2010"</f>
        <v>25-FEB-2010</v>
      </c>
      <c r="H17" s="37"/>
      <c r="I17" s="3" t="str">
        <f>+"28-FEB-2013"</f>
        <v>28-FEB-2013</v>
      </c>
      <c r="J17" s="35">
        <v>41359</v>
      </c>
      <c r="K17" s="63">
        <f t="shared" si="0"/>
        <v>636</v>
      </c>
      <c r="L17" s="35">
        <v>41182</v>
      </c>
      <c r="M17" s="3" t="s">
        <v>11</v>
      </c>
      <c r="N17" s="3" t="s">
        <v>360</v>
      </c>
      <c r="O17" s="3" t="s">
        <v>12</v>
      </c>
      <c r="P17" s="3" t="s">
        <v>16</v>
      </c>
      <c r="Q17" s="3" t="s">
        <v>14</v>
      </c>
      <c r="R17" s="22" t="s">
        <v>563</v>
      </c>
    </row>
    <row r="18" spans="1:18" ht="84.95" customHeight="1" x14ac:dyDescent="0.25">
      <c r="A18" s="3" t="s">
        <v>20</v>
      </c>
      <c r="B18" s="34" t="s">
        <v>539</v>
      </c>
      <c r="C18" s="35">
        <v>39976</v>
      </c>
      <c r="D18" s="35"/>
      <c r="E18" s="34" t="s">
        <v>539</v>
      </c>
      <c r="F18" s="35">
        <v>41407</v>
      </c>
      <c r="G18" s="36" t="str">
        <f>+"16-JAN-2007"</f>
        <v>16-JAN-2007</v>
      </c>
      <c r="H18" s="37"/>
      <c r="I18" s="3" t="str">
        <f>+"12-AUG-2010"</f>
        <v>12-AUG-2010</v>
      </c>
      <c r="J18" s="35">
        <v>41366</v>
      </c>
      <c r="K18" s="63">
        <f t="shared" si="0"/>
        <v>629</v>
      </c>
      <c r="L18" s="35"/>
      <c r="M18" s="3" t="s">
        <v>21</v>
      </c>
      <c r="N18" s="3" t="s">
        <v>22</v>
      </c>
      <c r="O18" s="3" t="s">
        <v>12</v>
      </c>
      <c r="P18" s="3" t="s">
        <v>16</v>
      </c>
      <c r="Q18" s="3" t="s">
        <v>23</v>
      </c>
      <c r="R18" s="22" t="s">
        <v>24</v>
      </c>
    </row>
    <row r="19" spans="1:18" ht="84.95" customHeight="1" x14ac:dyDescent="0.25">
      <c r="A19" s="3" t="s">
        <v>25</v>
      </c>
      <c r="B19" s="34" t="s">
        <v>539</v>
      </c>
      <c r="C19" s="35">
        <v>39976</v>
      </c>
      <c r="D19" s="35"/>
      <c r="E19" s="34" t="s">
        <v>539</v>
      </c>
      <c r="F19" s="35">
        <v>40350</v>
      </c>
      <c r="G19" s="36" t="str">
        <f>+"30-APR-2007"</f>
        <v>30-APR-2007</v>
      </c>
      <c r="H19" s="37"/>
      <c r="I19" s="3" t="str">
        <f>+"12-AUG-2010"</f>
        <v>12-AUG-2010</v>
      </c>
      <c r="J19" s="35">
        <v>41366</v>
      </c>
      <c r="K19" s="63">
        <f t="shared" si="0"/>
        <v>629</v>
      </c>
      <c r="L19" s="35"/>
      <c r="M19" s="3" t="s">
        <v>21</v>
      </c>
      <c r="N19" s="3" t="s">
        <v>26</v>
      </c>
      <c r="O19" s="3" t="s">
        <v>12</v>
      </c>
      <c r="P19" s="3" t="s">
        <v>16</v>
      </c>
      <c r="Q19" s="3" t="s">
        <v>23</v>
      </c>
      <c r="R19" s="22" t="s">
        <v>24</v>
      </c>
    </row>
    <row r="20" spans="1:18" ht="84.95" customHeight="1" x14ac:dyDescent="0.25">
      <c r="A20" s="3" t="s">
        <v>81</v>
      </c>
      <c r="B20" s="34" t="s">
        <v>539</v>
      </c>
      <c r="C20" s="35">
        <v>40753</v>
      </c>
      <c r="D20" s="35"/>
      <c r="E20" s="34" t="s">
        <v>539</v>
      </c>
      <c r="F20" s="35">
        <v>41135</v>
      </c>
      <c r="G20" s="36" t="str">
        <f>+"19-MAY-2011"</f>
        <v>19-MAY-2011</v>
      </c>
      <c r="H20" s="37"/>
      <c r="I20" s="3" t="str">
        <f>+"21-MAR-2013"</f>
        <v>21-MAR-2013</v>
      </c>
      <c r="J20" s="35">
        <v>41393</v>
      </c>
      <c r="K20" s="63">
        <f t="shared" si="0"/>
        <v>602</v>
      </c>
      <c r="L20" s="35">
        <v>41163</v>
      </c>
      <c r="M20" s="3" t="s">
        <v>11</v>
      </c>
      <c r="N20" s="3" t="s">
        <v>82</v>
      </c>
      <c r="O20" s="3" t="s">
        <v>12</v>
      </c>
      <c r="P20" s="3" t="s">
        <v>16</v>
      </c>
      <c r="Q20" s="3" t="s">
        <v>23</v>
      </c>
      <c r="R20" s="22" t="s">
        <v>192</v>
      </c>
    </row>
    <row r="21" spans="1:18" ht="84.95" customHeight="1" x14ac:dyDescent="0.25">
      <c r="A21" s="3" t="s">
        <v>369</v>
      </c>
      <c r="B21" s="34">
        <v>41226</v>
      </c>
      <c r="C21" s="35">
        <v>41311</v>
      </c>
      <c r="D21" s="35"/>
      <c r="E21" s="34">
        <v>41869</v>
      </c>
      <c r="F21" s="35">
        <v>41904</v>
      </c>
      <c r="G21" s="36" t="str">
        <f>+"23-AUG-2012"</f>
        <v>23-AUG-2012</v>
      </c>
      <c r="H21" s="37"/>
      <c r="I21" s="3" t="str">
        <f>+"04-APR-2013"</f>
        <v>04-APR-2013</v>
      </c>
      <c r="J21" s="35">
        <v>41396</v>
      </c>
      <c r="K21" s="63">
        <f t="shared" si="0"/>
        <v>599</v>
      </c>
      <c r="L21" s="35"/>
      <c r="M21" s="3" t="s">
        <v>21</v>
      </c>
      <c r="N21" s="3" t="s">
        <v>370</v>
      </c>
      <c r="O21" s="3" t="s">
        <v>12</v>
      </c>
      <c r="P21" s="3" t="s">
        <v>16</v>
      </c>
      <c r="Q21" s="3" t="s">
        <v>14</v>
      </c>
      <c r="R21" s="22" t="s">
        <v>569</v>
      </c>
    </row>
    <row r="22" spans="1:18" ht="84.95" customHeight="1" x14ac:dyDescent="0.25">
      <c r="A22" s="3" t="s">
        <v>85</v>
      </c>
      <c r="B22" s="34" t="s">
        <v>539</v>
      </c>
      <c r="C22" s="35">
        <v>40819</v>
      </c>
      <c r="D22" s="35"/>
      <c r="E22" s="34" t="s">
        <v>539</v>
      </c>
      <c r="F22" s="35" t="s">
        <v>539</v>
      </c>
      <c r="G22" s="36" t="str">
        <f>+"06-JUN-2011"</f>
        <v>06-JUN-2011</v>
      </c>
      <c r="H22" s="37"/>
      <c r="I22" s="3" t="str">
        <f>+"25-JUL-2013"</f>
        <v>25-JUL-2013</v>
      </c>
      <c r="J22" s="35">
        <v>41481</v>
      </c>
      <c r="K22" s="63">
        <f t="shared" si="0"/>
        <v>514</v>
      </c>
      <c r="L22" s="35"/>
      <c r="M22" s="3" t="s">
        <v>21</v>
      </c>
      <c r="N22" s="3" t="s">
        <v>86</v>
      </c>
      <c r="O22" s="3" t="s">
        <v>12</v>
      </c>
      <c r="P22" s="3" t="s">
        <v>16</v>
      </c>
      <c r="Q22" s="3" t="s">
        <v>43</v>
      </c>
      <c r="R22" s="22" t="s">
        <v>87</v>
      </c>
    </row>
    <row r="23" spans="1:18" ht="84.95" customHeight="1" x14ac:dyDescent="0.25">
      <c r="A23" s="3" t="s">
        <v>88</v>
      </c>
      <c r="B23" s="34" t="s">
        <v>539</v>
      </c>
      <c r="C23" s="35">
        <v>40819</v>
      </c>
      <c r="D23" s="35"/>
      <c r="E23" s="34" t="s">
        <v>539</v>
      </c>
      <c r="F23" s="35" t="s">
        <v>539</v>
      </c>
      <c r="G23" s="36" t="str">
        <f>+"30-JUN-2011"</f>
        <v>30-JUN-2011</v>
      </c>
      <c r="H23" s="37"/>
      <c r="I23" s="3" t="str">
        <f>+"25-JUL-2013"</f>
        <v>25-JUL-2013</v>
      </c>
      <c r="J23" s="35">
        <v>41481</v>
      </c>
      <c r="K23" s="63">
        <f t="shared" si="0"/>
        <v>514</v>
      </c>
      <c r="L23" s="35"/>
      <c r="M23" s="3" t="s">
        <v>21</v>
      </c>
      <c r="N23" s="3" t="s">
        <v>89</v>
      </c>
      <c r="O23" s="3" t="s">
        <v>12</v>
      </c>
      <c r="P23" s="3" t="s">
        <v>16</v>
      </c>
      <c r="Q23" s="3" t="s">
        <v>43</v>
      </c>
      <c r="R23" s="22" t="s">
        <v>664</v>
      </c>
    </row>
    <row r="24" spans="1:18" ht="84.95" customHeight="1" x14ac:dyDescent="0.25">
      <c r="A24" s="3" t="s">
        <v>90</v>
      </c>
      <c r="B24" s="34" t="s">
        <v>539</v>
      </c>
      <c r="C24" s="35">
        <v>40819</v>
      </c>
      <c r="D24" s="35"/>
      <c r="E24" s="34" t="s">
        <v>539</v>
      </c>
      <c r="F24" s="35" t="s">
        <v>539</v>
      </c>
      <c r="G24" s="36" t="str">
        <f>+"01-JUL-2011"</f>
        <v>01-JUL-2011</v>
      </c>
      <c r="H24" s="37"/>
      <c r="I24" s="3" t="str">
        <f>+"25-JUL-2013"</f>
        <v>25-JUL-2013</v>
      </c>
      <c r="J24" s="35">
        <v>41481</v>
      </c>
      <c r="K24" s="63">
        <f t="shared" si="0"/>
        <v>514</v>
      </c>
      <c r="L24" s="35"/>
      <c r="M24" s="3" t="s">
        <v>21</v>
      </c>
      <c r="N24" s="3" t="s">
        <v>91</v>
      </c>
      <c r="O24" s="3" t="s">
        <v>12</v>
      </c>
      <c r="P24" s="3" t="s">
        <v>16</v>
      </c>
      <c r="Q24" s="3" t="s">
        <v>43</v>
      </c>
      <c r="R24" s="22" t="s">
        <v>87</v>
      </c>
    </row>
    <row r="25" spans="1:18" ht="84.95" customHeight="1" x14ac:dyDescent="0.25">
      <c r="A25" s="3" t="s">
        <v>40</v>
      </c>
      <c r="B25" s="34" t="s">
        <v>539</v>
      </c>
      <c r="C25" s="35">
        <v>40003</v>
      </c>
      <c r="D25" s="35"/>
      <c r="E25" s="34" t="s">
        <v>539</v>
      </c>
      <c r="F25" s="35">
        <v>40280</v>
      </c>
      <c r="G25" s="36" t="str">
        <f>+"03-MAR-2009"</f>
        <v>03-MAR-2009</v>
      </c>
      <c r="H25" s="37"/>
      <c r="I25" s="3" t="str">
        <f>+"13-JAN-2011"</f>
        <v>13-JAN-2011</v>
      </c>
      <c r="J25" s="35">
        <v>41549</v>
      </c>
      <c r="K25" s="63">
        <f t="shared" si="0"/>
        <v>446</v>
      </c>
      <c r="L25" s="35"/>
      <c r="M25" s="3" t="s">
        <v>21</v>
      </c>
      <c r="N25" s="3" t="s">
        <v>41</v>
      </c>
      <c r="O25" s="3" t="s">
        <v>12</v>
      </c>
      <c r="P25" s="3" t="s">
        <v>27</v>
      </c>
      <c r="Q25" s="3" t="s">
        <v>14</v>
      </c>
      <c r="R25" s="22" t="s">
        <v>42</v>
      </c>
    </row>
    <row r="26" spans="1:18" ht="111" customHeight="1" x14ac:dyDescent="0.25">
      <c r="A26" s="3" t="s">
        <v>343</v>
      </c>
      <c r="B26" s="34" t="s">
        <v>539</v>
      </c>
      <c r="C26" s="35">
        <v>40003</v>
      </c>
      <c r="D26" s="35"/>
      <c r="E26" s="34" t="s">
        <v>539</v>
      </c>
      <c r="F26" s="35">
        <v>40280</v>
      </c>
      <c r="G26" s="36" t="str">
        <f>+"23-APR-2008"</f>
        <v>23-APR-2008</v>
      </c>
      <c r="H26" s="37"/>
      <c r="I26" s="3" t="str">
        <f>+"13-JAN-2011"</f>
        <v>13-JAN-2011</v>
      </c>
      <c r="J26" s="35">
        <v>41549</v>
      </c>
      <c r="K26" s="63">
        <f t="shared" si="0"/>
        <v>446</v>
      </c>
      <c r="L26" s="35"/>
      <c r="M26" s="3" t="s">
        <v>21</v>
      </c>
      <c r="N26" s="3" t="s">
        <v>344</v>
      </c>
      <c r="O26" s="3" t="s">
        <v>12</v>
      </c>
      <c r="P26" s="3" t="s">
        <v>27</v>
      </c>
      <c r="Q26" s="3" t="s">
        <v>14</v>
      </c>
      <c r="R26" s="22" t="s">
        <v>42</v>
      </c>
    </row>
    <row r="27" spans="1:18" ht="84.95" customHeight="1" x14ac:dyDescent="0.25">
      <c r="A27" s="3" t="s">
        <v>371</v>
      </c>
      <c r="B27" s="34" t="s">
        <v>539</v>
      </c>
      <c r="C27" s="35">
        <v>41488</v>
      </c>
      <c r="D27" s="35"/>
      <c r="E27" s="34" t="s">
        <v>539</v>
      </c>
      <c r="F27" s="35" t="s">
        <v>539</v>
      </c>
      <c r="G27" s="36" t="str">
        <f>+"05-SEP-2012"</f>
        <v>05-SEP-2012</v>
      </c>
      <c r="H27" s="37"/>
      <c r="I27" s="3" t="str">
        <f>+"31-OCT-2013"</f>
        <v>31-OCT-2013</v>
      </c>
      <c r="J27" s="35">
        <v>41610</v>
      </c>
      <c r="K27" s="63">
        <f t="shared" si="0"/>
        <v>385</v>
      </c>
      <c r="L27" s="35"/>
      <c r="M27" s="3" t="s">
        <v>21</v>
      </c>
      <c r="N27" s="3" t="s">
        <v>372</v>
      </c>
      <c r="O27" s="3" t="s">
        <v>12</v>
      </c>
      <c r="P27" s="3" t="s">
        <v>16</v>
      </c>
      <c r="Q27" s="3" t="s">
        <v>14</v>
      </c>
      <c r="R27" s="22" t="s">
        <v>624</v>
      </c>
    </row>
    <row r="28" spans="1:18" ht="84.95" customHeight="1" x14ac:dyDescent="0.25">
      <c r="A28" s="3" t="s">
        <v>133</v>
      </c>
      <c r="B28" s="34" t="s">
        <v>539</v>
      </c>
      <c r="C28" s="35">
        <v>41281</v>
      </c>
      <c r="D28" s="35"/>
      <c r="E28" s="34" t="s">
        <v>539</v>
      </c>
      <c r="F28" s="35">
        <v>41355</v>
      </c>
      <c r="G28" s="36" t="str">
        <f>+"01-NOV-2012"</f>
        <v>01-NOV-2012</v>
      </c>
      <c r="H28" s="37"/>
      <c r="I28" s="3" t="str">
        <f>+"14-NOV-2013"</f>
        <v>14-NOV-2013</v>
      </c>
      <c r="J28" s="35">
        <v>41653</v>
      </c>
      <c r="K28" s="63">
        <f t="shared" si="0"/>
        <v>342</v>
      </c>
      <c r="L28" s="35"/>
      <c r="M28" s="3" t="s">
        <v>21</v>
      </c>
      <c r="N28" s="3" t="s">
        <v>134</v>
      </c>
      <c r="O28" s="3" t="s">
        <v>12</v>
      </c>
      <c r="P28" s="3" t="s">
        <v>16</v>
      </c>
      <c r="Q28" s="3" t="s">
        <v>14</v>
      </c>
      <c r="R28" s="22" t="s">
        <v>18</v>
      </c>
    </row>
    <row r="29" spans="1:18" ht="84.95" customHeight="1" x14ac:dyDescent="0.25">
      <c r="A29" s="3" t="s">
        <v>135</v>
      </c>
      <c r="B29" s="34" t="s">
        <v>539</v>
      </c>
      <c r="C29" s="35">
        <v>41281</v>
      </c>
      <c r="D29" s="35"/>
      <c r="E29" s="34" t="s">
        <v>539</v>
      </c>
      <c r="F29" s="35">
        <v>41355</v>
      </c>
      <c r="G29" s="36" t="str">
        <f>+"01-NOV-2012"</f>
        <v>01-NOV-2012</v>
      </c>
      <c r="H29" s="37"/>
      <c r="I29" s="3" t="str">
        <f>+"14-NOV-2013"</f>
        <v>14-NOV-2013</v>
      </c>
      <c r="J29" s="35">
        <v>41653</v>
      </c>
      <c r="K29" s="63">
        <f t="shared" si="0"/>
        <v>342</v>
      </c>
      <c r="L29" s="35"/>
      <c r="M29" s="3" t="s">
        <v>21</v>
      </c>
      <c r="N29" s="3" t="s">
        <v>136</v>
      </c>
      <c r="O29" s="3" t="s">
        <v>12</v>
      </c>
      <c r="P29" s="3" t="s">
        <v>16</v>
      </c>
      <c r="Q29" s="3" t="s">
        <v>14</v>
      </c>
      <c r="R29" s="22" t="s">
        <v>18</v>
      </c>
    </row>
    <row r="30" spans="1:18" ht="84.95" customHeight="1" x14ac:dyDescent="0.25">
      <c r="A30" s="3" t="s">
        <v>137</v>
      </c>
      <c r="B30" s="34" t="s">
        <v>539</v>
      </c>
      <c r="C30" s="35">
        <v>41281</v>
      </c>
      <c r="D30" s="35"/>
      <c r="E30" s="34" t="s">
        <v>539</v>
      </c>
      <c r="F30" s="35">
        <v>41355</v>
      </c>
      <c r="G30" s="36" t="str">
        <f>+"01-NOV-2012"</f>
        <v>01-NOV-2012</v>
      </c>
      <c r="H30" s="37"/>
      <c r="I30" s="3" t="str">
        <f>+"14-NOV-2013"</f>
        <v>14-NOV-2013</v>
      </c>
      <c r="J30" s="35">
        <v>41653</v>
      </c>
      <c r="K30" s="63">
        <f t="shared" si="0"/>
        <v>342</v>
      </c>
      <c r="L30" s="35"/>
      <c r="M30" s="3" t="s">
        <v>21</v>
      </c>
      <c r="N30" s="3" t="s">
        <v>138</v>
      </c>
      <c r="O30" s="3" t="s">
        <v>12</v>
      </c>
      <c r="P30" s="3" t="s">
        <v>16</v>
      </c>
      <c r="Q30" s="3" t="s">
        <v>14</v>
      </c>
      <c r="R30" s="22" t="s">
        <v>18</v>
      </c>
    </row>
    <row r="31" spans="1:18" ht="84.95" customHeight="1" x14ac:dyDescent="0.25">
      <c r="A31" s="3" t="s">
        <v>139</v>
      </c>
      <c r="B31" s="34" t="s">
        <v>539</v>
      </c>
      <c r="C31" s="35">
        <v>41281</v>
      </c>
      <c r="D31" s="35"/>
      <c r="E31" s="34" t="s">
        <v>539</v>
      </c>
      <c r="F31" s="35">
        <v>41355</v>
      </c>
      <c r="G31" s="36" t="str">
        <f>+"01-NOV-2012"</f>
        <v>01-NOV-2012</v>
      </c>
      <c r="H31" s="37"/>
      <c r="I31" s="3" t="str">
        <f>+"14-NOV-2013"</f>
        <v>14-NOV-2013</v>
      </c>
      <c r="J31" s="35">
        <v>41653</v>
      </c>
      <c r="K31" s="63">
        <f t="shared" si="0"/>
        <v>342</v>
      </c>
      <c r="L31" s="35"/>
      <c r="M31" s="3" t="s">
        <v>21</v>
      </c>
      <c r="N31" s="3" t="s">
        <v>140</v>
      </c>
      <c r="O31" s="3" t="s">
        <v>12</v>
      </c>
      <c r="P31" s="3" t="s">
        <v>16</v>
      </c>
      <c r="Q31" s="3" t="s">
        <v>14</v>
      </c>
      <c r="R31" s="22" t="s">
        <v>18</v>
      </c>
    </row>
    <row r="32" spans="1:18" ht="84.95" customHeight="1" x14ac:dyDescent="0.25">
      <c r="A32" s="3" t="s">
        <v>120</v>
      </c>
      <c r="B32" s="34" t="s">
        <v>539</v>
      </c>
      <c r="C32" s="35">
        <v>41148</v>
      </c>
      <c r="D32" s="35"/>
      <c r="E32" s="34" t="s">
        <v>539</v>
      </c>
      <c r="F32" s="35" t="s">
        <v>539</v>
      </c>
      <c r="G32" s="36" t="str">
        <f>+"02-JUL-2012"</f>
        <v>02-JUL-2012</v>
      </c>
      <c r="H32" s="37"/>
      <c r="I32" s="3" t="str">
        <f>+"19-SEP-2013"</f>
        <v>19-SEP-2013</v>
      </c>
      <c r="J32" s="35">
        <v>41663</v>
      </c>
      <c r="K32" s="63">
        <f t="shared" si="0"/>
        <v>332</v>
      </c>
      <c r="L32" s="35"/>
      <c r="M32" s="3" t="s">
        <v>21</v>
      </c>
      <c r="N32" s="3" t="s">
        <v>121</v>
      </c>
      <c r="O32" s="3" t="s">
        <v>12</v>
      </c>
      <c r="P32" s="3" t="s">
        <v>44</v>
      </c>
      <c r="Q32" s="3" t="s">
        <v>38</v>
      </c>
      <c r="R32" s="22" t="s">
        <v>122</v>
      </c>
    </row>
    <row r="33" spans="1:18" ht="84.95" customHeight="1" x14ac:dyDescent="0.25">
      <c r="A33" s="3" t="s">
        <v>123</v>
      </c>
      <c r="B33" s="34" t="s">
        <v>539</v>
      </c>
      <c r="C33" s="35">
        <v>41148</v>
      </c>
      <c r="D33" s="35"/>
      <c r="E33" s="34" t="s">
        <v>539</v>
      </c>
      <c r="F33" s="35" t="s">
        <v>539</v>
      </c>
      <c r="G33" s="36" t="str">
        <f>+"02-JUL-2012"</f>
        <v>02-JUL-2012</v>
      </c>
      <c r="H33" s="37"/>
      <c r="I33" s="3" t="str">
        <f>+"19-SEP-2013"</f>
        <v>19-SEP-2013</v>
      </c>
      <c r="J33" s="35">
        <v>41663</v>
      </c>
      <c r="K33" s="63">
        <f t="shared" si="0"/>
        <v>332</v>
      </c>
      <c r="L33" s="35"/>
      <c r="M33" s="3" t="s">
        <v>21</v>
      </c>
      <c r="N33" s="3" t="s">
        <v>124</v>
      </c>
      <c r="O33" s="3" t="s">
        <v>12</v>
      </c>
      <c r="P33" s="3" t="s">
        <v>16</v>
      </c>
      <c r="Q33" s="3" t="s">
        <v>38</v>
      </c>
      <c r="R33" s="22" t="s">
        <v>122</v>
      </c>
    </row>
    <row r="34" spans="1:18" ht="84.95" customHeight="1" x14ac:dyDescent="0.25">
      <c r="A34" s="3" t="s">
        <v>125</v>
      </c>
      <c r="B34" s="34" t="s">
        <v>539</v>
      </c>
      <c r="C34" s="35">
        <v>41148</v>
      </c>
      <c r="D34" s="35"/>
      <c r="E34" s="34" t="s">
        <v>539</v>
      </c>
      <c r="F34" s="35" t="s">
        <v>539</v>
      </c>
      <c r="G34" s="36" t="str">
        <f>+"02-JUL-2012"</f>
        <v>02-JUL-2012</v>
      </c>
      <c r="H34" s="37"/>
      <c r="I34" s="3" t="str">
        <f>+"19-SEP-2013"</f>
        <v>19-SEP-2013</v>
      </c>
      <c r="J34" s="35">
        <v>41663</v>
      </c>
      <c r="K34" s="63">
        <f t="shared" si="0"/>
        <v>332</v>
      </c>
      <c r="L34" s="35"/>
      <c r="M34" s="3" t="s">
        <v>21</v>
      </c>
      <c r="N34" s="3" t="s">
        <v>126</v>
      </c>
      <c r="O34" s="3" t="s">
        <v>12</v>
      </c>
      <c r="P34" s="3" t="s">
        <v>67</v>
      </c>
      <c r="Q34" s="3" t="s">
        <v>38</v>
      </c>
      <c r="R34" s="22" t="s">
        <v>122</v>
      </c>
    </row>
    <row r="35" spans="1:18" ht="84.95" customHeight="1" x14ac:dyDescent="0.25">
      <c r="A35" s="3" t="s">
        <v>127</v>
      </c>
      <c r="B35" s="34" t="s">
        <v>539</v>
      </c>
      <c r="C35" s="35">
        <v>41148</v>
      </c>
      <c r="D35" s="35"/>
      <c r="E35" s="34" t="s">
        <v>539</v>
      </c>
      <c r="F35" s="35" t="s">
        <v>539</v>
      </c>
      <c r="G35" s="36" t="str">
        <f>+"02-JUL-2012"</f>
        <v>02-JUL-2012</v>
      </c>
      <c r="H35" s="37"/>
      <c r="I35" s="3" t="str">
        <f>+"19-SEP-2013"</f>
        <v>19-SEP-2013</v>
      </c>
      <c r="J35" s="35">
        <v>41663</v>
      </c>
      <c r="K35" s="63">
        <f t="shared" si="0"/>
        <v>332</v>
      </c>
      <c r="L35" s="35"/>
      <c r="M35" s="3" t="s">
        <v>21</v>
      </c>
      <c r="N35" s="3" t="s">
        <v>128</v>
      </c>
      <c r="O35" s="3" t="s">
        <v>12</v>
      </c>
      <c r="P35" s="3" t="s">
        <v>16</v>
      </c>
      <c r="Q35" s="3" t="s">
        <v>38</v>
      </c>
      <c r="R35" s="22" t="s">
        <v>122</v>
      </c>
    </row>
    <row r="36" spans="1:18" ht="90" x14ac:dyDescent="0.25">
      <c r="A36" s="3" t="s">
        <v>424</v>
      </c>
      <c r="B36" s="34" t="s">
        <v>539</v>
      </c>
      <c r="C36" s="35" t="s">
        <v>539</v>
      </c>
      <c r="D36" s="35"/>
      <c r="E36" s="34" t="s">
        <v>539</v>
      </c>
      <c r="F36" s="35">
        <v>41411</v>
      </c>
      <c r="G36" s="36" t="str">
        <f>+"17-DEC-2009"</f>
        <v>17-DEC-2009</v>
      </c>
      <c r="H36" s="37"/>
      <c r="I36" s="3" t="str">
        <f>+"16-JAN-2014"</f>
        <v>16-JAN-2014</v>
      </c>
      <c r="J36" s="35">
        <v>41691</v>
      </c>
      <c r="K36" s="63">
        <f t="shared" si="0"/>
        <v>304</v>
      </c>
      <c r="L36" s="35">
        <v>41408</v>
      </c>
      <c r="M36" s="3" t="s">
        <v>11</v>
      </c>
      <c r="N36" s="3" t="s">
        <v>425</v>
      </c>
      <c r="O36" s="3" t="s">
        <v>12</v>
      </c>
      <c r="P36" s="3" t="s">
        <v>27</v>
      </c>
      <c r="Q36" s="3" t="s">
        <v>23</v>
      </c>
      <c r="R36" s="22" t="s">
        <v>569</v>
      </c>
    </row>
    <row r="37" spans="1:18" ht="84.95" customHeight="1" x14ac:dyDescent="0.25">
      <c r="A37" s="3" t="s">
        <v>151</v>
      </c>
      <c r="B37" s="34" t="s">
        <v>539</v>
      </c>
      <c r="C37" s="35" t="s">
        <v>539</v>
      </c>
      <c r="D37" s="35"/>
      <c r="E37" s="34" t="s">
        <v>539</v>
      </c>
      <c r="F37" s="35">
        <v>41509</v>
      </c>
      <c r="G37" s="36" t="str">
        <f>+"02-JAN-2013"</f>
        <v>02-JAN-2013</v>
      </c>
      <c r="H37" s="37"/>
      <c r="I37" s="3" t="str">
        <f>+"27-FEB-2014"</f>
        <v>27-FEB-2014</v>
      </c>
      <c r="J37" s="35">
        <v>41705</v>
      </c>
      <c r="K37" s="63">
        <f t="shared" si="0"/>
        <v>290</v>
      </c>
      <c r="L37" s="35"/>
      <c r="M37" s="3" t="s">
        <v>21</v>
      </c>
      <c r="N37" s="3" t="s">
        <v>152</v>
      </c>
      <c r="O37" s="3" t="s">
        <v>12</v>
      </c>
      <c r="P37" s="3" t="s">
        <v>19</v>
      </c>
      <c r="Q37" s="3" t="s">
        <v>17</v>
      </c>
      <c r="R37" s="22" t="s">
        <v>153</v>
      </c>
    </row>
    <row r="38" spans="1:18" ht="84.95" customHeight="1" x14ac:dyDescent="0.25">
      <c r="A38" s="3" t="s">
        <v>154</v>
      </c>
      <c r="B38" s="34" t="s">
        <v>539</v>
      </c>
      <c r="C38" s="35" t="s">
        <v>539</v>
      </c>
      <c r="D38" s="35"/>
      <c r="E38" s="34" t="s">
        <v>539</v>
      </c>
      <c r="F38" s="35">
        <v>41548</v>
      </c>
      <c r="G38" s="36" t="str">
        <f>+"02-JAN-2013"</f>
        <v>02-JAN-2013</v>
      </c>
      <c r="H38" s="37"/>
      <c r="I38" s="3" t="str">
        <f>+"27-FEB-2014"</f>
        <v>27-FEB-2014</v>
      </c>
      <c r="J38" s="35">
        <v>41705</v>
      </c>
      <c r="K38" s="63">
        <f t="shared" si="0"/>
        <v>290</v>
      </c>
      <c r="L38" s="35"/>
      <c r="M38" s="3" t="s">
        <v>21</v>
      </c>
      <c r="N38" s="3" t="s">
        <v>155</v>
      </c>
      <c r="O38" s="3" t="s">
        <v>12</v>
      </c>
      <c r="P38" s="3" t="s">
        <v>19</v>
      </c>
      <c r="Q38" s="3" t="s">
        <v>17</v>
      </c>
      <c r="R38" s="22" t="s">
        <v>153</v>
      </c>
    </row>
    <row r="39" spans="1:18" ht="105" x14ac:dyDescent="0.25">
      <c r="A39" s="3" t="s">
        <v>375</v>
      </c>
      <c r="B39" s="34" t="s">
        <v>539</v>
      </c>
      <c r="C39" s="35" t="s">
        <v>539</v>
      </c>
      <c r="D39" s="35"/>
      <c r="E39" s="34" t="s">
        <v>539</v>
      </c>
      <c r="F39" s="35">
        <v>41548</v>
      </c>
      <c r="G39" s="36" t="str">
        <f>+"04-JAN-2013"</f>
        <v>04-JAN-2013</v>
      </c>
      <c r="H39" s="37"/>
      <c r="I39" s="3" t="str">
        <f>+"27-FEB-2014"</f>
        <v>27-FEB-2014</v>
      </c>
      <c r="J39" s="35">
        <v>41705</v>
      </c>
      <c r="K39" s="63">
        <f t="shared" si="0"/>
        <v>290</v>
      </c>
      <c r="L39" s="35"/>
      <c r="M39" s="3" t="s">
        <v>21</v>
      </c>
      <c r="N39" s="3" t="s">
        <v>376</v>
      </c>
      <c r="O39" s="3" t="s">
        <v>12</v>
      </c>
      <c r="P39" s="3" t="s">
        <v>19</v>
      </c>
      <c r="Q39" s="3" t="s">
        <v>17</v>
      </c>
      <c r="R39" s="22" t="s">
        <v>153</v>
      </c>
    </row>
    <row r="40" spans="1:18" ht="84.95" customHeight="1" x14ac:dyDescent="0.25">
      <c r="A40" s="3" t="s">
        <v>439</v>
      </c>
      <c r="B40" s="34" t="s">
        <v>539</v>
      </c>
      <c r="C40" s="35" t="s">
        <v>539</v>
      </c>
      <c r="D40" s="35"/>
      <c r="E40" s="34" t="s">
        <v>539</v>
      </c>
      <c r="F40" s="35">
        <v>41548</v>
      </c>
      <c r="G40" s="36" t="str">
        <f>+"04-APR-2013"</f>
        <v>04-APR-2013</v>
      </c>
      <c r="H40" s="37"/>
      <c r="I40" s="3" t="str">
        <f>+"27-FEB-2014"</f>
        <v>27-FEB-2014</v>
      </c>
      <c r="J40" s="35">
        <v>41705</v>
      </c>
      <c r="K40" s="63">
        <f t="shared" si="0"/>
        <v>290</v>
      </c>
      <c r="L40" s="35"/>
      <c r="M40" s="3" t="s">
        <v>21</v>
      </c>
      <c r="N40" s="3" t="s">
        <v>440</v>
      </c>
      <c r="O40" s="3" t="s">
        <v>12</v>
      </c>
      <c r="P40" s="3" t="s">
        <v>19</v>
      </c>
      <c r="Q40" s="3" t="s">
        <v>17</v>
      </c>
      <c r="R40" s="22" t="s">
        <v>441</v>
      </c>
    </row>
    <row r="41" spans="1:18" ht="84.95" customHeight="1" x14ac:dyDescent="0.25">
      <c r="A41" s="3" t="s">
        <v>190</v>
      </c>
      <c r="B41" s="34" t="s">
        <v>539</v>
      </c>
      <c r="C41" s="35">
        <v>41512</v>
      </c>
      <c r="D41" s="35"/>
      <c r="E41" s="34" t="s">
        <v>539</v>
      </c>
      <c r="F41" s="35">
        <v>41598</v>
      </c>
      <c r="G41" s="36" t="str">
        <f>+"21-JUN-2013"</f>
        <v>21-JUN-2013</v>
      </c>
      <c r="H41" s="37"/>
      <c r="I41" s="3" t="str">
        <f>+"05-FEB-2014"</f>
        <v>05-FEB-2014</v>
      </c>
      <c r="J41" s="35">
        <v>41711</v>
      </c>
      <c r="K41" s="63">
        <f t="shared" si="0"/>
        <v>284</v>
      </c>
      <c r="L41" s="35">
        <v>41598</v>
      </c>
      <c r="M41" s="3" t="s">
        <v>11</v>
      </c>
      <c r="N41" s="3" t="s">
        <v>191</v>
      </c>
      <c r="O41" s="3" t="s">
        <v>12</v>
      </c>
      <c r="P41" s="3" t="s">
        <v>16</v>
      </c>
      <c r="Q41" s="3" t="s">
        <v>23</v>
      </c>
      <c r="R41" s="22" t="s">
        <v>192</v>
      </c>
    </row>
    <row r="42" spans="1:18" ht="84.95" customHeight="1" x14ac:dyDescent="0.25">
      <c r="A42" s="3" t="s">
        <v>470</v>
      </c>
      <c r="B42" s="34" t="s">
        <v>539</v>
      </c>
      <c r="C42" s="35">
        <v>40319</v>
      </c>
      <c r="D42" s="35"/>
      <c r="E42" s="34" t="s">
        <v>539</v>
      </c>
      <c r="F42" s="35" t="s">
        <v>539</v>
      </c>
      <c r="G42" s="36" t="str">
        <f>+"20-NOV-2009"</f>
        <v>20-NOV-2009</v>
      </c>
      <c r="H42" s="37"/>
      <c r="I42" s="3" t="str">
        <f>+"16-JAN-2014"</f>
        <v>16-JAN-2014</v>
      </c>
      <c r="J42" s="35">
        <v>41719</v>
      </c>
      <c r="K42" s="63">
        <f t="shared" si="0"/>
        <v>276</v>
      </c>
      <c r="L42" s="35"/>
      <c r="M42" s="3" t="s">
        <v>21</v>
      </c>
      <c r="N42" s="3" t="s">
        <v>471</v>
      </c>
      <c r="O42" s="3" t="s">
        <v>12</v>
      </c>
      <c r="P42" s="3" t="s">
        <v>16</v>
      </c>
      <c r="Q42" s="3" t="s">
        <v>38</v>
      </c>
      <c r="R42" s="22" t="s">
        <v>122</v>
      </c>
    </row>
    <row r="43" spans="1:18" ht="84.95" customHeight="1" x14ac:dyDescent="0.25">
      <c r="A43" s="3" t="s">
        <v>181</v>
      </c>
      <c r="B43" s="34" t="s">
        <v>539</v>
      </c>
      <c r="C43" s="35" t="s">
        <v>539</v>
      </c>
      <c r="D43" s="35"/>
      <c r="E43" s="34" t="s">
        <v>539</v>
      </c>
      <c r="F43" s="35">
        <v>41540</v>
      </c>
      <c r="G43" s="36" t="str">
        <f>+"17-MAY-2013"</f>
        <v>17-MAY-2013</v>
      </c>
      <c r="H43" s="37"/>
      <c r="I43" s="3" t="str">
        <f>+"14-NOV-2013"</f>
        <v>14-NOV-2013</v>
      </c>
      <c r="J43" s="35">
        <v>41737</v>
      </c>
      <c r="K43" s="63">
        <f t="shared" si="0"/>
        <v>258</v>
      </c>
      <c r="L43" s="35">
        <v>41540</v>
      </c>
      <c r="M43" s="3" t="s">
        <v>11</v>
      </c>
      <c r="N43" s="3" t="s">
        <v>182</v>
      </c>
      <c r="O43" s="3" t="s">
        <v>12</v>
      </c>
      <c r="P43" s="3" t="s">
        <v>16</v>
      </c>
      <c r="Q43" s="3" t="s">
        <v>23</v>
      </c>
      <c r="R43" s="22" t="s">
        <v>24</v>
      </c>
    </row>
    <row r="44" spans="1:18" ht="84.95" customHeight="1" x14ac:dyDescent="0.25">
      <c r="A44" s="3" t="s">
        <v>92</v>
      </c>
      <c r="B44" s="34" t="s">
        <v>539</v>
      </c>
      <c r="C44" s="35">
        <v>40820</v>
      </c>
      <c r="D44" s="35"/>
      <c r="E44" s="34" t="s">
        <v>539</v>
      </c>
      <c r="F44" s="35">
        <v>41089</v>
      </c>
      <c r="G44" s="36" t="str">
        <f>+"11-JUL-2011"</f>
        <v>11-JUL-2011</v>
      </c>
      <c r="H44" s="37"/>
      <c r="I44" s="3" t="str">
        <f>+"01-MAY-2014"</f>
        <v>01-MAY-2014</v>
      </c>
      <c r="J44" s="35">
        <v>41799</v>
      </c>
      <c r="K44" s="63">
        <f t="shared" si="0"/>
        <v>196</v>
      </c>
      <c r="L44" s="35">
        <v>41180</v>
      </c>
      <c r="M44" s="3" t="s">
        <v>11</v>
      </c>
      <c r="N44" s="3" t="s">
        <v>93</v>
      </c>
      <c r="O44" s="3" t="s">
        <v>12</v>
      </c>
      <c r="P44" s="3" t="s">
        <v>19</v>
      </c>
      <c r="Q44" s="3" t="s">
        <v>43</v>
      </c>
      <c r="R44" s="22" t="s">
        <v>70</v>
      </c>
    </row>
    <row r="45" spans="1:18" ht="84.95" customHeight="1" x14ac:dyDescent="0.25">
      <c r="A45" s="3" t="s">
        <v>468</v>
      </c>
      <c r="B45" s="34" t="s">
        <v>539</v>
      </c>
      <c r="C45" s="35">
        <v>40543</v>
      </c>
      <c r="D45" s="35"/>
      <c r="E45" s="34" t="s">
        <v>539</v>
      </c>
      <c r="F45" s="35" t="s">
        <v>539</v>
      </c>
      <c r="G45" s="36" t="str">
        <f>+"18-JUN-2009"</f>
        <v>18-JUN-2009</v>
      </c>
      <c r="H45" s="37"/>
      <c r="I45" s="3" t="str">
        <f>+"12-JUN-2014"</f>
        <v>12-JUN-2014</v>
      </c>
      <c r="J45" s="35">
        <v>41803</v>
      </c>
      <c r="K45" s="63">
        <f t="shared" si="0"/>
        <v>192</v>
      </c>
      <c r="L45" s="35"/>
      <c r="M45" s="3" t="s">
        <v>21</v>
      </c>
      <c r="N45" s="3" t="s">
        <v>469</v>
      </c>
      <c r="O45" s="3" t="s">
        <v>12</v>
      </c>
      <c r="P45" s="3" t="s">
        <v>27</v>
      </c>
      <c r="Q45" s="3" t="s">
        <v>14</v>
      </c>
      <c r="R45" s="22" t="s">
        <v>570</v>
      </c>
    </row>
    <row r="46" spans="1:18" ht="84.95" customHeight="1" x14ac:dyDescent="0.25">
      <c r="A46" s="3" t="s">
        <v>474</v>
      </c>
      <c r="B46" s="34" t="s">
        <v>539</v>
      </c>
      <c r="C46" s="35">
        <v>40772</v>
      </c>
      <c r="D46" s="35"/>
      <c r="E46" s="34" t="s">
        <v>539</v>
      </c>
      <c r="F46" s="35" t="s">
        <v>539</v>
      </c>
      <c r="G46" s="36" t="str">
        <f>+"04-FEB-2010"</f>
        <v>04-FEB-2010</v>
      </c>
      <c r="H46" s="37"/>
      <c r="I46" s="3" t="str">
        <f>+"26-JUN-2014"</f>
        <v>26-JUN-2014</v>
      </c>
      <c r="J46" s="35">
        <v>41817</v>
      </c>
      <c r="K46" s="63">
        <f t="shared" si="0"/>
        <v>178</v>
      </c>
      <c r="L46" s="35"/>
      <c r="M46" s="3" t="s">
        <v>21</v>
      </c>
      <c r="N46" s="3" t="s">
        <v>475</v>
      </c>
      <c r="O46" s="3" t="s">
        <v>12</v>
      </c>
      <c r="P46" s="3" t="s">
        <v>16</v>
      </c>
      <c r="Q46" s="3" t="s">
        <v>23</v>
      </c>
      <c r="R46" s="22" t="s">
        <v>39</v>
      </c>
    </row>
    <row r="47" spans="1:18" ht="90" x14ac:dyDescent="0.25">
      <c r="A47" s="3" t="s">
        <v>458</v>
      </c>
      <c r="B47" s="34" t="s">
        <v>539</v>
      </c>
      <c r="C47" s="35">
        <v>39209</v>
      </c>
      <c r="D47" s="35"/>
      <c r="E47" s="34" t="s">
        <v>539</v>
      </c>
      <c r="F47" s="35" t="s">
        <v>539</v>
      </c>
      <c r="G47" s="36" t="str">
        <f>+"05-OCT-2006"</f>
        <v>05-OCT-2006</v>
      </c>
      <c r="H47" s="37"/>
      <c r="I47" s="3" t="str">
        <f>+"16-APR-2009"</f>
        <v>16-APR-2009</v>
      </c>
      <c r="J47" s="35">
        <v>41823</v>
      </c>
      <c r="K47" s="63">
        <f t="shared" si="0"/>
        <v>172</v>
      </c>
      <c r="L47" s="35"/>
      <c r="M47" s="3" t="s">
        <v>21</v>
      </c>
      <c r="N47" s="3" t="s">
        <v>459</v>
      </c>
      <c r="O47" s="3" t="s">
        <v>12</v>
      </c>
      <c r="P47" s="3" t="s">
        <v>27</v>
      </c>
      <c r="Q47" s="3" t="s">
        <v>14</v>
      </c>
      <c r="R47" s="22" t="s">
        <v>455</v>
      </c>
    </row>
    <row r="48" spans="1:18" ht="102" customHeight="1" x14ac:dyDescent="0.25">
      <c r="A48" s="3" t="s">
        <v>462</v>
      </c>
      <c r="B48" s="34" t="s">
        <v>539</v>
      </c>
      <c r="C48" s="35">
        <v>39717</v>
      </c>
      <c r="D48" s="35"/>
      <c r="E48" s="34" t="s">
        <v>539</v>
      </c>
      <c r="F48" s="35">
        <v>40624</v>
      </c>
      <c r="G48" s="36" t="str">
        <f>+"21-AUG-2008"</f>
        <v>21-AUG-2008</v>
      </c>
      <c r="H48" s="37"/>
      <c r="I48" s="3" t="str">
        <f>+"10-JUL-2014"</f>
        <v>10-JUL-2014</v>
      </c>
      <c r="J48" s="35">
        <v>41831</v>
      </c>
      <c r="K48" s="63">
        <f t="shared" si="0"/>
        <v>164</v>
      </c>
      <c r="L48" s="35"/>
      <c r="M48" s="3" t="s">
        <v>11</v>
      </c>
      <c r="N48" s="3" t="s">
        <v>463</v>
      </c>
      <c r="O48" s="3" t="s">
        <v>12</v>
      </c>
      <c r="P48" s="3" t="s">
        <v>44</v>
      </c>
      <c r="Q48" s="3" t="s">
        <v>38</v>
      </c>
      <c r="R48" s="22" t="s">
        <v>557</v>
      </c>
    </row>
    <row r="49" spans="1:18" ht="84.95" customHeight="1" x14ac:dyDescent="0.25">
      <c r="A49" s="3" t="s">
        <v>100</v>
      </c>
      <c r="B49" s="34" t="s">
        <v>539</v>
      </c>
      <c r="C49" s="35">
        <v>40963</v>
      </c>
      <c r="D49" s="35"/>
      <c r="E49" s="34" t="s">
        <v>539</v>
      </c>
      <c r="F49" s="35">
        <v>41449</v>
      </c>
      <c r="G49" s="36" t="str">
        <f>+"01-NOV-2011"</f>
        <v>01-NOV-2011</v>
      </c>
      <c r="H49" s="37"/>
      <c r="I49" s="3" t="str">
        <f>+"12-JUN-2014"</f>
        <v>12-JUN-2014</v>
      </c>
      <c r="J49" s="35">
        <v>41841</v>
      </c>
      <c r="K49" s="63">
        <f t="shared" si="0"/>
        <v>154</v>
      </c>
      <c r="L49" s="35">
        <v>41225</v>
      </c>
      <c r="M49" s="3" t="s">
        <v>11</v>
      </c>
      <c r="N49" s="3" t="s">
        <v>101</v>
      </c>
      <c r="O49" s="3" t="s">
        <v>12</v>
      </c>
      <c r="P49" s="3" t="s">
        <v>67</v>
      </c>
      <c r="Q49" s="3" t="s">
        <v>23</v>
      </c>
      <c r="R49" s="22" t="s">
        <v>559</v>
      </c>
    </row>
    <row r="50" spans="1:18" ht="84.95" customHeight="1" x14ac:dyDescent="0.25">
      <c r="A50" s="3" t="s">
        <v>396</v>
      </c>
      <c r="B50" s="34" t="s">
        <v>539</v>
      </c>
      <c r="C50" s="35" t="s">
        <v>539</v>
      </c>
      <c r="D50" s="35"/>
      <c r="E50" s="34" t="s">
        <v>539</v>
      </c>
      <c r="F50" s="35" t="s">
        <v>539</v>
      </c>
      <c r="G50" s="36" t="str">
        <f>+"24-JAN-2014"</f>
        <v>24-JAN-2014</v>
      </c>
      <c r="H50" s="37"/>
      <c r="I50" s="3" t="str">
        <f>+"26-JUN-2014"</f>
        <v>26-JUN-2014</v>
      </c>
      <c r="J50" s="35">
        <v>41848</v>
      </c>
      <c r="K50" s="63">
        <f t="shared" si="0"/>
        <v>147</v>
      </c>
      <c r="L50" s="35"/>
      <c r="M50" s="3" t="s">
        <v>11</v>
      </c>
      <c r="N50" s="3" t="s">
        <v>397</v>
      </c>
      <c r="O50" s="3" t="s">
        <v>12</v>
      </c>
      <c r="P50" s="3" t="s">
        <v>16</v>
      </c>
      <c r="Q50" s="3" t="s">
        <v>14</v>
      </c>
      <c r="R50" s="22" t="s">
        <v>192</v>
      </c>
    </row>
    <row r="51" spans="1:18" ht="84.95" customHeight="1" x14ac:dyDescent="0.25">
      <c r="A51" s="3" t="s">
        <v>36</v>
      </c>
      <c r="B51" s="34" t="s">
        <v>539</v>
      </c>
      <c r="C51" s="35">
        <v>40003</v>
      </c>
      <c r="D51" s="35"/>
      <c r="E51" s="34" t="s">
        <v>539</v>
      </c>
      <c r="F51" s="35">
        <v>40863</v>
      </c>
      <c r="G51" s="36" t="str">
        <f>+"29-AUG-2008"</f>
        <v>29-AUG-2008</v>
      </c>
      <c r="H51" s="37"/>
      <c r="I51" s="3" t="str">
        <f>+"26-JUN-2014"</f>
        <v>26-JUN-2014</v>
      </c>
      <c r="J51" s="35">
        <v>41851</v>
      </c>
      <c r="K51" s="63">
        <f t="shared" si="0"/>
        <v>144</v>
      </c>
      <c r="L51" s="35">
        <v>41054</v>
      </c>
      <c r="M51" s="3" t="s">
        <v>11</v>
      </c>
      <c r="N51" s="3" t="s">
        <v>37</v>
      </c>
      <c r="O51" s="3" t="s">
        <v>12</v>
      </c>
      <c r="P51" s="3" t="s">
        <v>19</v>
      </c>
      <c r="Q51" s="3" t="s">
        <v>14</v>
      </c>
      <c r="R51" s="22" t="s">
        <v>571</v>
      </c>
    </row>
    <row r="52" spans="1:18" ht="84.95" customHeight="1" x14ac:dyDescent="0.25">
      <c r="A52" s="3" t="s">
        <v>50</v>
      </c>
      <c r="B52" s="34">
        <v>41120</v>
      </c>
      <c r="C52" s="35">
        <v>41128</v>
      </c>
      <c r="D52" s="35"/>
      <c r="E52" s="34">
        <v>41128</v>
      </c>
      <c r="F52" s="35">
        <v>41427</v>
      </c>
      <c r="G52" s="36" t="str">
        <f>+"16-JUN-2010"</f>
        <v>16-JUN-2010</v>
      </c>
      <c r="H52" s="37"/>
      <c r="I52" s="3" t="str">
        <f>+"17-OCT-2013"</f>
        <v>17-OCT-2013</v>
      </c>
      <c r="J52" s="35">
        <v>41851</v>
      </c>
      <c r="K52" s="63">
        <f t="shared" si="0"/>
        <v>144</v>
      </c>
      <c r="L52" s="35">
        <v>41457</v>
      </c>
      <c r="M52" s="3" t="s">
        <v>11</v>
      </c>
      <c r="N52" s="3" t="s">
        <v>51</v>
      </c>
      <c r="O52" s="3" t="s">
        <v>12</v>
      </c>
      <c r="P52" s="3" t="s">
        <v>16</v>
      </c>
      <c r="Q52" s="3" t="s">
        <v>23</v>
      </c>
      <c r="R52" s="22" t="s">
        <v>24</v>
      </c>
    </row>
    <row r="53" spans="1:18" ht="84.95" customHeight="1" x14ac:dyDescent="0.25">
      <c r="A53" s="52" t="s">
        <v>706</v>
      </c>
      <c r="B53" s="53">
        <v>40763</v>
      </c>
      <c r="C53" s="53">
        <v>40812</v>
      </c>
      <c r="D53" s="53"/>
      <c r="E53" s="52" t="s">
        <v>539</v>
      </c>
      <c r="F53" s="53">
        <v>41036</v>
      </c>
      <c r="G53" s="53">
        <v>40679</v>
      </c>
      <c r="H53" s="52"/>
      <c r="I53" s="53">
        <v>41865</v>
      </c>
      <c r="J53" s="60">
        <v>41880</v>
      </c>
      <c r="K53" s="63">
        <f t="shared" si="0"/>
        <v>115</v>
      </c>
      <c r="L53" s="60"/>
      <c r="M53" s="52" t="s">
        <v>21</v>
      </c>
      <c r="N53" s="3" t="s">
        <v>707</v>
      </c>
      <c r="O53" s="52" t="s">
        <v>12</v>
      </c>
      <c r="P53" s="52" t="s">
        <v>44</v>
      </c>
      <c r="Q53" s="3" t="s">
        <v>17</v>
      </c>
      <c r="R53" s="52" t="s">
        <v>80</v>
      </c>
    </row>
    <row r="54" spans="1:18" ht="84.95" customHeight="1" x14ac:dyDescent="0.25">
      <c r="A54" s="52" t="s">
        <v>708</v>
      </c>
      <c r="B54" s="53">
        <v>40763</v>
      </c>
      <c r="C54" s="53">
        <v>40812</v>
      </c>
      <c r="D54" s="53"/>
      <c r="E54" s="52" t="s">
        <v>539</v>
      </c>
      <c r="F54" s="53">
        <v>41036</v>
      </c>
      <c r="G54" s="53">
        <v>40679</v>
      </c>
      <c r="H54" s="52"/>
      <c r="I54" s="53">
        <v>41865</v>
      </c>
      <c r="J54" s="60">
        <v>41880</v>
      </c>
      <c r="K54" s="63">
        <f t="shared" si="0"/>
        <v>115</v>
      </c>
      <c r="L54" s="60"/>
      <c r="M54" s="52" t="s">
        <v>21</v>
      </c>
      <c r="N54" s="3" t="s">
        <v>709</v>
      </c>
      <c r="O54" s="52" t="s">
        <v>12</v>
      </c>
      <c r="P54" s="52" t="s">
        <v>44</v>
      </c>
      <c r="Q54" s="3" t="s">
        <v>17</v>
      </c>
      <c r="R54" s="52" t="s">
        <v>80</v>
      </c>
    </row>
    <row r="55" spans="1:18" ht="84.95" customHeight="1" x14ac:dyDescent="0.25">
      <c r="A55" s="52" t="s">
        <v>710</v>
      </c>
      <c r="B55" s="53">
        <v>40763</v>
      </c>
      <c r="C55" s="53">
        <v>40812</v>
      </c>
      <c r="D55" s="53"/>
      <c r="E55" s="52" t="s">
        <v>539</v>
      </c>
      <c r="F55" s="53">
        <v>41036</v>
      </c>
      <c r="G55" s="53">
        <v>40679</v>
      </c>
      <c r="H55" s="52"/>
      <c r="I55" s="53">
        <v>41865</v>
      </c>
      <c r="J55" s="60">
        <v>41880</v>
      </c>
      <c r="K55" s="63">
        <f t="shared" si="0"/>
        <v>115</v>
      </c>
      <c r="L55" s="60"/>
      <c r="M55" s="52" t="s">
        <v>21</v>
      </c>
      <c r="N55" s="3" t="s">
        <v>711</v>
      </c>
      <c r="O55" s="52" t="s">
        <v>12</v>
      </c>
      <c r="P55" s="52" t="s">
        <v>44</v>
      </c>
      <c r="Q55" s="3" t="s">
        <v>17</v>
      </c>
      <c r="R55" s="52" t="s">
        <v>80</v>
      </c>
    </row>
    <row r="56" spans="1:18" ht="84.95" customHeight="1" x14ac:dyDescent="0.25">
      <c r="A56" s="52" t="s">
        <v>712</v>
      </c>
      <c r="B56" s="53">
        <v>40792</v>
      </c>
      <c r="C56" s="53">
        <v>40812</v>
      </c>
      <c r="D56" s="53"/>
      <c r="E56" s="52" t="s">
        <v>539</v>
      </c>
      <c r="F56" s="53">
        <v>41036</v>
      </c>
      <c r="G56" s="53">
        <v>40679</v>
      </c>
      <c r="H56" s="52"/>
      <c r="I56" s="53">
        <v>41865</v>
      </c>
      <c r="J56" s="60">
        <v>41880</v>
      </c>
      <c r="K56" s="63">
        <f t="shared" si="0"/>
        <v>115</v>
      </c>
      <c r="L56" s="60"/>
      <c r="M56" s="52" t="s">
        <v>21</v>
      </c>
      <c r="N56" s="3" t="s">
        <v>713</v>
      </c>
      <c r="O56" s="52" t="s">
        <v>12</v>
      </c>
      <c r="P56" s="52" t="s">
        <v>44</v>
      </c>
      <c r="Q56" s="3" t="s">
        <v>17</v>
      </c>
      <c r="R56" s="52" t="s">
        <v>80</v>
      </c>
    </row>
    <row r="57" spans="1:18" ht="84.95" customHeight="1" x14ac:dyDescent="0.25">
      <c r="A57" s="3" t="s">
        <v>602</v>
      </c>
      <c r="B57" s="34">
        <v>41135</v>
      </c>
      <c r="C57" s="35">
        <v>41208</v>
      </c>
      <c r="D57" s="35"/>
      <c r="E57" s="34" t="s">
        <v>539</v>
      </c>
      <c r="F57" s="35" t="s">
        <v>539</v>
      </c>
      <c r="G57" s="2" t="str">
        <f>+"30-SEP-2009"</f>
        <v>30-SEP-2009</v>
      </c>
      <c r="H57" s="37"/>
      <c r="I57" s="2" t="str">
        <f>+"14-NOV-2013"</f>
        <v>14-NOV-2013</v>
      </c>
      <c r="J57" s="62">
        <v>41893</v>
      </c>
      <c r="K57" s="63">
        <f t="shared" si="0"/>
        <v>102</v>
      </c>
      <c r="L57" s="62">
        <v>41505</v>
      </c>
      <c r="M57" s="2" t="s">
        <v>21</v>
      </c>
      <c r="N57" s="2" t="s">
        <v>626</v>
      </c>
      <c r="O57" s="2" t="s">
        <v>12</v>
      </c>
      <c r="P57" s="2" t="s">
        <v>67</v>
      </c>
      <c r="Q57" s="2" t="s">
        <v>23</v>
      </c>
      <c r="R57" s="21" t="s">
        <v>601</v>
      </c>
    </row>
    <row r="58" spans="1:18" ht="84.95" customHeight="1" x14ac:dyDescent="0.25">
      <c r="A58" s="3" t="s">
        <v>603</v>
      </c>
      <c r="B58" s="34">
        <v>40952</v>
      </c>
      <c r="C58" s="35">
        <v>40983</v>
      </c>
      <c r="D58" s="35"/>
      <c r="E58" s="34">
        <v>41386</v>
      </c>
      <c r="F58" s="35" t="s">
        <v>539</v>
      </c>
      <c r="G58" s="2" t="str">
        <f>+"03-JAN-2012"</f>
        <v>03-JAN-2012</v>
      </c>
      <c r="H58" s="37"/>
      <c r="I58" s="2" t="str">
        <f>+"14-AUG-2014"</f>
        <v>14-AUG-2014</v>
      </c>
      <c r="J58" s="62">
        <v>41897</v>
      </c>
      <c r="K58" s="63">
        <f t="shared" si="0"/>
        <v>98</v>
      </c>
      <c r="L58" s="35"/>
      <c r="M58" s="2" t="s">
        <v>11</v>
      </c>
      <c r="N58" s="2" t="s">
        <v>627</v>
      </c>
      <c r="O58" s="2" t="s">
        <v>12</v>
      </c>
      <c r="P58" s="2" t="s">
        <v>19</v>
      </c>
      <c r="Q58" s="2" t="s">
        <v>17</v>
      </c>
      <c r="R58" s="21" t="s">
        <v>604</v>
      </c>
    </row>
    <row r="59" spans="1:18" ht="84.95" customHeight="1" x14ac:dyDescent="0.25">
      <c r="A59" s="3" t="s">
        <v>612</v>
      </c>
      <c r="B59" s="34">
        <v>40704</v>
      </c>
      <c r="C59" s="35">
        <v>40715</v>
      </c>
      <c r="D59" s="35"/>
      <c r="E59" s="34">
        <v>40864</v>
      </c>
      <c r="F59" s="35" t="s">
        <v>539</v>
      </c>
      <c r="G59" s="2" t="str">
        <f>+"16-DEC-2010"</f>
        <v>16-DEC-2010</v>
      </c>
      <c r="H59" s="37"/>
      <c r="I59" s="2" t="str">
        <f>+"14-AUG-2014"</f>
        <v>14-AUG-2014</v>
      </c>
      <c r="J59" s="62">
        <v>41899</v>
      </c>
      <c r="K59" s="63">
        <f t="shared" si="0"/>
        <v>96</v>
      </c>
      <c r="L59" s="62">
        <v>41537</v>
      </c>
      <c r="M59" s="2" t="s">
        <v>11</v>
      </c>
      <c r="N59" s="2" t="s">
        <v>635</v>
      </c>
      <c r="O59" s="2" t="s">
        <v>12</v>
      </c>
      <c r="P59" s="2" t="s">
        <v>27</v>
      </c>
      <c r="Q59" s="2" t="s">
        <v>17</v>
      </c>
      <c r="R59" s="21" t="s">
        <v>613</v>
      </c>
    </row>
    <row r="60" spans="1:18" ht="84.95" customHeight="1" x14ac:dyDescent="0.25">
      <c r="A60" s="3" t="s">
        <v>614</v>
      </c>
      <c r="B60" s="34">
        <v>41085</v>
      </c>
      <c r="C60" s="35">
        <v>41115</v>
      </c>
      <c r="D60" s="35"/>
      <c r="E60" s="34" t="s">
        <v>539</v>
      </c>
      <c r="F60" s="35" t="s">
        <v>539</v>
      </c>
      <c r="G60" s="2" t="str">
        <f>+"19-APR-2012"</f>
        <v>19-APR-2012</v>
      </c>
      <c r="H60" s="42"/>
      <c r="I60" s="2" t="str">
        <f>+"15-SEP-2014"</f>
        <v>15-SEP-2014</v>
      </c>
      <c r="J60" s="62">
        <v>41918</v>
      </c>
      <c r="K60" s="63">
        <f t="shared" si="0"/>
        <v>77</v>
      </c>
      <c r="L60" s="41"/>
      <c r="M60" s="2" t="s">
        <v>21</v>
      </c>
      <c r="N60" s="2" t="s">
        <v>636</v>
      </c>
      <c r="O60" s="2" t="s">
        <v>12</v>
      </c>
      <c r="P60" s="2" t="s">
        <v>16</v>
      </c>
      <c r="Q60" s="2" t="s">
        <v>23</v>
      </c>
      <c r="R60" s="21" t="s">
        <v>644</v>
      </c>
    </row>
    <row r="61" spans="1:18" ht="84.95" customHeight="1" x14ac:dyDescent="0.25">
      <c r="A61" s="52" t="s">
        <v>647</v>
      </c>
      <c r="B61" s="34" t="s">
        <v>539</v>
      </c>
      <c r="C61" s="34" t="s">
        <v>539</v>
      </c>
      <c r="D61" s="34"/>
      <c r="E61" s="34" t="s">
        <v>539</v>
      </c>
      <c r="F61" s="34" t="s">
        <v>539</v>
      </c>
      <c r="G61" s="52" t="str">
        <f>+"20-SEP-2010"</f>
        <v>20-SEP-2010</v>
      </c>
      <c r="H61" s="37"/>
      <c r="I61" s="52" t="str">
        <f>+"27-FEB-2014"</f>
        <v>27-FEB-2014</v>
      </c>
      <c r="J61" s="60">
        <v>41935</v>
      </c>
      <c r="K61" s="63">
        <f t="shared" si="0"/>
        <v>60</v>
      </c>
      <c r="L61" s="54"/>
      <c r="M61" s="52" t="s">
        <v>21</v>
      </c>
      <c r="N61" s="3" t="s">
        <v>658</v>
      </c>
      <c r="O61" s="3" t="s">
        <v>12</v>
      </c>
      <c r="P61" s="52" t="s">
        <v>16</v>
      </c>
      <c r="Q61" s="2" t="s">
        <v>23</v>
      </c>
      <c r="R61" s="22" t="s">
        <v>664</v>
      </c>
    </row>
    <row r="62" spans="1:18" ht="84.95" customHeight="1" x14ac:dyDescent="0.25">
      <c r="A62" s="52" t="s">
        <v>648</v>
      </c>
      <c r="B62" s="34">
        <v>41239</v>
      </c>
      <c r="C62" s="35">
        <v>41292</v>
      </c>
      <c r="D62" s="35"/>
      <c r="E62" s="34" t="s">
        <v>539</v>
      </c>
      <c r="F62" s="35" t="s">
        <v>539</v>
      </c>
      <c r="G62" s="52" t="str">
        <f>+"02-AUG-2012"</f>
        <v>02-AUG-2012</v>
      </c>
      <c r="H62" s="37"/>
      <c r="I62" s="52" t="str">
        <f>+"19-DEC-2013"</f>
        <v>19-DEC-2013</v>
      </c>
      <c r="J62" s="60">
        <v>41942</v>
      </c>
      <c r="K62" s="63">
        <f t="shared" si="0"/>
        <v>53</v>
      </c>
      <c r="L62" s="54"/>
      <c r="M62" s="52" t="s">
        <v>21</v>
      </c>
      <c r="N62" s="3" t="s">
        <v>659</v>
      </c>
      <c r="O62" s="3" t="s">
        <v>12</v>
      </c>
      <c r="P62" s="52" t="s">
        <v>44</v>
      </c>
      <c r="Q62" s="52" t="s">
        <v>38</v>
      </c>
      <c r="R62" s="22" t="s">
        <v>49</v>
      </c>
    </row>
    <row r="63" spans="1:18" ht="84.95" customHeight="1" x14ac:dyDescent="0.25">
      <c r="A63" s="52" t="s">
        <v>649</v>
      </c>
      <c r="B63" s="34">
        <v>41239</v>
      </c>
      <c r="C63" s="35">
        <v>41292</v>
      </c>
      <c r="D63" s="35"/>
      <c r="E63" s="34" t="s">
        <v>539</v>
      </c>
      <c r="F63" s="35" t="s">
        <v>539</v>
      </c>
      <c r="G63" s="52" t="str">
        <f>+"03-AUG-2012"</f>
        <v>03-AUG-2012</v>
      </c>
      <c r="H63" s="37"/>
      <c r="I63" s="52" t="str">
        <f>+"19-DEC-2013"</f>
        <v>19-DEC-2013</v>
      </c>
      <c r="J63" s="60">
        <v>41942</v>
      </c>
      <c r="K63" s="63">
        <f t="shared" si="0"/>
        <v>53</v>
      </c>
      <c r="L63" s="54"/>
      <c r="M63" s="52" t="s">
        <v>21</v>
      </c>
      <c r="N63" s="3" t="s">
        <v>660</v>
      </c>
      <c r="O63" s="3" t="s">
        <v>12</v>
      </c>
      <c r="P63" s="52" t="s">
        <v>16</v>
      </c>
      <c r="Q63" s="52" t="s">
        <v>38</v>
      </c>
      <c r="R63" s="22" t="s">
        <v>49</v>
      </c>
    </row>
    <row r="64" spans="1:18" ht="84.95" customHeight="1" x14ac:dyDescent="0.25">
      <c r="A64" s="52" t="s">
        <v>650</v>
      </c>
      <c r="B64" s="34">
        <v>41239</v>
      </c>
      <c r="C64" s="35">
        <v>41292</v>
      </c>
      <c r="D64" s="35"/>
      <c r="E64" s="34" t="s">
        <v>539</v>
      </c>
      <c r="F64" s="35" t="s">
        <v>539</v>
      </c>
      <c r="G64" s="52" t="str">
        <f>+"03-AUG-2012"</f>
        <v>03-AUG-2012</v>
      </c>
      <c r="H64" s="37"/>
      <c r="I64" s="52" t="str">
        <f>+"19-DEC-2013"</f>
        <v>19-DEC-2013</v>
      </c>
      <c r="J64" s="60">
        <v>41942</v>
      </c>
      <c r="K64" s="63">
        <f t="shared" si="0"/>
        <v>53</v>
      </c>
      <c r="L64" s="54"/>
      <c r="M64" s="52" t="s">
        <v>21</v>
      </c>
      <c r="N64" s="3" t="s">
        <v>661</v>
      </c>
      <c r="O64" s="3" t="s">
        <v>12</v>
      </c>
      <c r="P64" s="52" t="s">
        <v>44</v>
      </c>
      <c r="Q64" s="52" t="s">
        <v>38</v>
      </c>
      <c r="R64" s="22" t="s">
        <v>49</v>
      </c>
    </row>
    <row r="65" spans="1:18" ht="84.95" customHeight="1" x14ac:dyDescent="0.25">
      <c r="A65" s="52" t="s">
        <v>651</v>
      </c>
      <c r="B65" s="34">
        <v>41239</v>
      </c>
      <c r="C65" s="35">
        <v>41292</v>
      </c>
      <c r="D65" s="35"/>
      <c r="E65" s="34" t="s">
        <v>539</v>
      </c>
      <c r="F65" s="35" t="s">
        <v>539</v>
      </c>
      <c r="G65" s="52" t="str">
        <f>+"03-AUG-2012"</f>
        <v>03-AUG-2012</v>
      </c>
      <c r="H65" s="37"/>
      <c r="I65" s="52" t="str">
        <f>+"19-DEC-2013"</f>
        <v>19-DEC-2013</v>
      </c>
      <c r="J65" s="60">
        <v>41942</v>
      </c>
      <c r="K65" s="63">
        <f t="shared" si="0"/>
        <v>53</v>
      </c>
      <c r="L65" s="54"/>
      <c r="M65" s="52" t="s">
        <v>21</v>
      </c>
      <c r="N65" s="3" t="s">
        <v>662</v>
      </c>
      <c r="O65" s="3" t="s">
        <v>12</v>
      </c>
      <c r="P65" s="52" t="s">
        <v>67</v>
      </c>
      <c r="Q65" s="52" t="s">
        <v>38</v>
      </c>
      <c r="R65" s="22" t="s">
        <v>49</v>
      </c>
    </row>
    <row r="66" spans="1:18" ht="84.95" customHeight="1" x14ac:dyDescent="0.25">
      <c r="A66" s="52" t="s">
        <v>646</v>
      </c>
      <c r="B66" s="34">
        <v>39321</v>
      </c>
      <c r="C66" s="35">
        <v>39889</v>
      </c>
      <c r="D66" s="35"/>
      <c r="E66" s="34">
        <v>40002</v>
      </c>
      <c r="F66" s="35">
        <v>41407</v>
      </c>
      <c r="G66" s="52" t="str">
        <f>+"29-JUN-2007"</f>
        <v>29-JUN-2007</v>
      </c>
      <c r="H66" s="37"/>
      <c r="I66" s="52" t="str">
        <f>+"14-AUG-2014"</f>
        <v>14-AUG-2014</v>
      </c>
      <c r="J66" s="60">
        <v>41943</v>
      </c>
      <c r="K66" s="63">
        <f t="shared" ref="K66:K73" si="1">DATE(2014, 12, 22) - J66</f>
        <v>52</v>
      </c>
      <c r="L66" s="60">
        <v>41407</v>
      </c>
      <c r="M66" s="52" t="s">
        <v>11</v>
      </c>
      <c r="N66" s="3" t="s">
        <v>656</v>
      </c>
      <c r="O66" s="3" t="s">
        <v>12</v>
      </c>
      <c r="P66" s="52" t="s">
        <v>16</v>
      </c>
      <c r="Q66" s="3" t="s">
        <v>17</v>
      </c>
      <c r="R66" s="22" t="s">
        <v>657</v>
      </c>
    </row>
    <row r="67" spans="1:18" ht="84.95" customHeight="1" x14ac:dyDescent="0.25">
      <c r="A67" s="52" t="s">
        <v>678</v>
      </c>
      <c r="B67" s="34" t="s">
        <v>539</v>
      </c>
      <c r="C67" s="35" t="s">
        <v>539</v>
      </c>
      <c r="D67" s="35"/>
      <c r="E67" s="34" t="s">
        <v>539</v>
      </c>
      <c r="F67" s="35" t="s">
        <v>539</v>
      </c>
      <c r="G67" s="50" t="str">
        <f>+"23-JUN-2014"</f>
        <v>23-JUN-2014</v>
      </c>
      <c r="H67" s="37"/>
      <c r="I67" s="52" t="str">
        <f>+"16-OCT-2014"</f>
        <v>16-OCT-2014</v>
      </c>
      <c r="J67" s="60">
        <v>41956</v>
      </c>
      <c r="K67" s="63">
        <f t="shared" si="1"/>
        <v>39</v>
      </c>
      <c r="L67" s="35"/>
      <c r="M67" s="3"/>
      <c r="N67" s="3" t="s">
        <v>684</v>
      </c>
      <c r="O67" s="3" t="s">
        <v>12</v>
      </c>
      <c r="P67" s="3" t="s">
        <v>16</v>
      </c>
      <c r="Q67" s="52" t="s">
        <v>38</v>
      </c>
      <c r="R67" s="45" t="s">
        <v>49</v>
      </c>
    </row>
    <row r="68" spans="1:18" ht="84.95" customHeight="1" x14ac:dyDescent="0.25">
      <c r="A68" s="3" t="s">
        <v>700</v>
      </c>
      <c r="B68" s="34">
        <v>41007</v>
      </c>
      <c r="C68" s="35">
        <v>41046</v>
      </c>
      <c r="D68" s="35"/>
      <c r="E68" s="34">
        <v>41575</v>
      </c>
      <c r="F68" s="54">
        <v>41624</v>
      </c>
      <c r="G68" s="50" t="str">
        <f>+"22-MAR-2012"</f>
        <v>22-MAR-2012</v>
      </c>
      <c r="H68" s="37"/>
      <c r="I68" s="52" t="str">
        <f>+"20-NOV-2014"</f>
        <v>20-NOV-2014</v>
      </c>
      <c r="J68" s="60">
        <v>41964</v>
      </c>
      <c r="K68" s="63">
        <f t="shared" si="1"/>
        <v>31</v>
      </c>
      <c r="L68" s="60">
        <v>41624</v>
      </c>
      <c r="M68" s="3" t="s">
        <v>11</v>
      </c>
      <c r="N68" s="3" t="s">
        <v>494</v>
      </c>
      <c r="O68" s="3" t="s">
        <v>12</v>
      </c>
      <c r="P68" s="3" t="s">
        <v>16</v>
      </c>
      <c r="Q68" s="45" t="s">
        <v>23</v>
      </c>
      <c r="R68" s="22" t="s">
        <v>703</v>
      </c>
    </row>
    <row r="69" spans="1:18" ht="84.95" customHeight="1" x14ac:dyDescent="0.25">
      <c r="A69" s="52" t="s">
        <v>720</v>
      </c>
      <c r="B69" s="34" t="s">
        <v>539</v>
      </c>
      <c r="C69" s="60">
        <v>40470</v>
      </c>
      <c r="D69" s="60"/>
      <c r="E69" s="34" t="s">
        <v>539</v>
      </c>
      <c r="F69" s="34" t="s">
        <v>539</v>
      </c>
      <c r="G69" s="50" t="str">
        <f>+"04-NOV-2008"</f>
        <v>04-NOV-2008</v>
      </c>
      <c r="H69" s="37"/>
      <c r="I69" s="50" t="str">
        <f>+"02-OCT-2014"</f>
        <v>02-OCT-2014</v>
      </c>
      <c r="J69" s="60">
        <v>41989</v>
      </c>
      <c r="K69" s="63">
        <f t="shared" si="1"/>
        <v>6</v>
      </c>
      <c r="L69" s="35"/>
      <c r="M69" s="3" t="s">
        <v>21</v>
      </c>
      <c r="N69" s="3" t="s">
        <v>733</v>
      </c>
      <c r="O69" s="3" t="s">
        <v>12</v>
      </c>
      <c r="P69" s="3" t="s">
        <v>16</v>
      </c>
      <c r="Q69" s="3" t="s">
        <v>14</v>
      </c>
      <c r="R69" s="50" t="s">
        <v>24</v>
      </c>
    </row>
    <row r="70" spans="1:18" ht="84.95" customHeight="1" x14ac:dyDescent="0.25">
      <c r="A70" s="52" t="s">
        <v>727</v>
      </c>
      <c r="B70" s="34" t="s">
        <v>539</v>
      </c>
      <c r="C70" s="60">
        <v>38142</v>
      </c>
      <c r="D70" s="60"/>
      <c r="E70" s="60" t="s">
        <v>539</v>
      </c>
      <c r="F70" s="60">
        <v>38796</v>
      </c>
      <c r="G70" s="52" t="str">
        <f>+"01-APR-2004"</f>
        <v>01-APR-2004</v>
      </c>
      <c r="H70" s="37"/>
      <c r="I70" s="52" t="str">
        <f>+"02-OCT-2014"</f>
        <v>02-OCT-2014</v>
      </c>
      <c r="J70" s="60">
        <v>41989</v>
      </c>
      <c r="K70" s="63">
        <f t="shared" si="1"/>
        <v>6</v>
      </c>
      <c r="L70" s="60">
        <v>38877</v>
      </c>
      <c r="M70" s="52" t="s">
        <v>11</v>
      </c>
      <c r="N70" s="3" t="s">
        <v>734</v>
      </c>
      <c r="O70" s="52" t="s">
        <v>12</v>
      </c>
      <c r="P70" s="52" t="s">
        <v>16</v>
      </c>
      <c r="Q70" s="3" t="s">
        <v>14</v>
      </c>
      <c r="R70" s="50" t="s">
        <v>24</v>
      </c>
    </row>
    <row r="71" spans="1:18" ht="84.95" customHeight="1" x14ac:dyDescent="0.25">
      <c r="A71" s="52" t="s">
        <v>728</v>
      </c>
      <c r="B71" s="34" t="s">
        <v>539</v>
      </c>
      <c r="C71" s="60">
        <v>38356</v>
      </c>
      <c r="D71" s="60"/>
      <c r="E71" s="60" t="s">
        <v>539</v>
      </c>
      <c r="F71" s="60">
        <v>38796</v>
      </c>
      <c r="G71" s="52" t="str">
        <f>+"22-APR-2004"</f>
        <v>22-APR-2004</v>
      </c>
      <c r="H71" s="37"/>
      <c r="I71" s="52" t="str">
        <f>+"02-OCT-2014"</f>
        <v>02-OCT-2014</v>
      </c>
      <c r="J71" s="60">
        <v>41989</v>
      </c>
      <c r="K71" s="63">
        <f t="shared" si="1"/>
        <v>6</v>
      </c>
      <c r="L71" s="60">
        <v>38877</v>
      </c>
      <c r="M71" s="52" t="s">
        <v>11</v>
      </c>
      <c r="N71" s="3" t="s">
        <v>735</v>
      </c>
      <c r="O71" s="52" t="s">
        <v>12</v>
      </c>
      <c r="P71" s="52" t="s">
        <v>16</v>
      </c>
      <c r="Q71" s="3" t="s">
        <v>14</v>
      </c>
      <c r="R71" s="50" t="s">
        <v>24</v>
      </c>
    </row>
    <row r="72" spans="1:18" ht="84.95" customHeight="1" x14ac:dyDescent="0.25">
      <c r="A72" s="52" t="s">
        <v>729</v>
      </c>
      <c r="B72" s="34" t="s">
        <v>539</v>
      </c>
      <c r="C72" s="60">
        <v>38985</v>
      </c>
      <c r="D72" s="60"/>
      <c r="E72" s="60" t="s">
        <v>539</v>
      </c>
      <c r="F72" s="60">
        <v>39647</v>
      </c>
      <c r="G72" s="52" t="str">
        <f>+"16-FEB-2006"</f>
        <v>16-FEB-2006</v>
      </c>
      <c r="H72" s="37"/>
      <c r="I72" s="52" t="str">
        <f>+"02-OCT-2014"</f>
        <v>02-OCT-2014</v>
      </c>
      <c r="J72" s="60">
        <v>41989</v>
      </c>
      <c r="K72" s="63">
        <f t="shared" si="1"/>
        <v>6</v>
      </c>
      <c r="L72" s="60">
        <v>39401</v>
      </c>
      <c r="M72" s="52" t="s">
        <v>11</v>
      </c>
      <c r="N72" s="3" t="s">
        <v>736</v>
      </c>
      <c r="O72" s="52" t="s">
        <v>12</v>
      </c>
      <c r="P72" s="52" t="s">
        <v>16</v>
      </c>
      <c r="Q72" s="3" t="s">
        <v>14</v>
      </c>
      <c r="R72" s="50" t="s">
        <v>24</v>
      </c>
    </row>
    <row r="73" spans="1:18" ht="84.95" customHeight="1" x14ac:dyDescent="0.25">
      <c r="A73" s="52" t="s">
        <v>730</v>
      </c>
      <c r="B73" s="60" t="s">
        <v>539</v>
      </c>
      <c r="C73" s="60">
        <v>36529</v>
      </c>
      <c r="D73" s="60"/>
      <c r="E73" s="60" t="s">
        <v>539</v>
      </c>
      <c r="F73" s="60">
        <v>38943</v>
      </c>
      <c r="G73" s="61" t="str">
        <f>+"18-NOV-1999"</f>
        <v>18-NOV-1999</v>
      </c>
      <c r="H73" s="3"/>
      <c r="I73" s="52" t="str">
        <f>+"08-MAR-2012"</f>
        <v>08-MAR-2012</v>
      </c>
      <c r="J73" s="60">
        <v>41989</v>
      </c>
      <c r="K73" s="63">
        <f t="shared" si="1"/>
        <v>6</v>
      </c>
      <c r="L73" s="60">
        <v>38877</v>
      </c>
      <c r="M73" s="52" t="s">
        <v>11</v>
      </c>
      <c r="N73" s="3" t="s">
        <v>737</v>
      </c>
      <c r="O73" s="52" t="s">
        <v>12</v>
      </c>
      <c r="P73" s="52" t="s">
        <v>16</v>
      </c>
      <c r="Q73" s="3" t="s">
        <v>14</v>
      </c>
      <c r="R73" s="50" t="s">
        <v>24</v>
      </c>
    </row>
    <row r="74" spans="1:18" ht="24.95" customHeight="1" x14ac:dyDescent="0.25">
      <c r="H74" s="13"/>
      <c r="J74" s="59"/>
    </row>
    <row r="75" spans="1:18" ht="24.95" customHeight="1" x14ac:dyDescent="0.25">
      <c r="H75" s="13"/>
    </row>
    <row r="76" spans="1:18" ht="24.95" customHeight="1" x14ac:dyDescent="0.25">
      <c r="H76" s="13"/>
    </row>
    <row r="77" spans="1:18" ht="24.95" customHeight="1" x14ac:dyDescent="0.25">
      <c r="H77" s="13"/>
    </row>
    <row r="78" spans="1:18" ht="24.95" customHeight="1" x14ac:dyDescent="0.25">
      <c r="H78" s="13"/>
    </row>
    <row r="79" spans="1:18" ht="24.95" customHeight="1" x14ac:dyDescent="0.25">
      <c r="H79" s="13"/>
    </row>
    <row r="80" spans="1:18" ht="24.95" customHeight="1" x14ac:dyDescent="0.25">
      <c r="H80" s="13"/>
    </row>
    <row r="81" spans="1:18" ht="24.95" customHeight="1" x14ac:dyDescent="0.25">
      <c r="H81" s="13"/>
    </row>
    <row r="82" spans="1:18" ht="24.95" customHeight="1" x14ac:dyDescent="0.25">
      <c r="H82" s="13"/>
    </row>
    <row r="83" spans="1:18" ht="24.95" customHeight="1" x14ac:dyDescent="0.25">
      <c r="A83" s="10"/>
      <c r="B83" s="10"/>
      <c r="C83" s="10"/>
      <c r="D83" s="10"/>
      <c r="E83" s="10"/>
      <c r="F83" s="10"/>
      <c r="G83" s="10"/>
      <c r="H83" s="13"/>
      <c r="I83" s="10"/>
      <c r="J83" s="10"/>
      <c r="K83" s="10"/>
      <c r="L83" s="10"/>
      <c r="M83" s="10"/>
      <c r="N83" s="11"/>
      <c r="O83" s="10"/>
      <c r="P83" s="10"/>
      <c r="Q83" s="10"/>
      <c r="R83" s="10"/>
    </row>
    <row r="84" spans="1:18" ht="24.95" customHeight="1" x14ac:dyDescent="0.25">
      <c r="A84" s="10"/>
      <c r="B84" s="10"/>
      <c r="C84" s="10"/>
      <c r="D84" s="10"/>
      <c r="E84" s="10"/>
      <c r="F84" s="10"/>
      <c r="G84" s="10"/>
      <c r="H84" s="13"/>
      <c r="I84" s="10"/>
      <c r="J84" s="10"/>
      <c r="K84" s="10"/>
      <c r="L84" s="10"/>
      <c r="M84" s="10"/>
      <c r="N84" s="11"/>
      <c r="O84" s="10"/>
      <c r="P84" s="10"/>
      <c r="Q84" s="10"/>
      <c r="R84" s="10"/>
    </row>
    <row r="85" spans="1:18" ht="24.95" customHeight="1" x14ac:dyDescent="0.25">
      <c r="A85" s="10"/>
      <c r="B85" s="10"/>
      <c r="C85" s="10"/>
      <c r="D85" s="10"/>
      <c r="E85" s="10"/>
      <c r="F85" s="10"/>
      <c r="G85" s="10"/>
      <c r="H85" s="13"/>
      <c r="I85" s="10"/>
      <c r="J85" s="10"/>
      <c r="K85" s="10"/>
      <c r="L85" s="10"/>
      <c r="M85" s="10"/>
      <c r="N85" s="11"/>
      <c r="O85" s="10"/>
      <c r="P85" s="10"/>
      <c r="Q85" s="10"/>
      <c r="R85" s="10"/>
    </row>
    <row r="86" spans="1:18" ht="24.95" customHeight="1" x14ac:dyDescent="0.25">
      <c r="A86" s="10"/>
      <c r="B86" s="10"/>
      <c r="C86" s="10"/>
      <c r="D86" s="10"/>
      <c r="E86" s="10"/>
      <c r="F86" s="10"/>
      <c r="G86" s="10"/>
      <c r="H86" s="13"/>
      <c r="I86" s="10"/>
      <c r="J86" s="10"/>
      <c r="K86" s="10"/>
      <c r="L86" s="10"/>
      <c r="M86" s="10"/>
      <c r="N86" s="11"/>
      <c r="O86" s="10"/>
      <c r="P86" s="10"/>
      <c r="Q86" s="10"/>
      <c r="R86" s="10"/>
    </row>
    <row r="87" spans="1:18" ht="24.95" customHeight="1" x14ac:dyDescent="0.25">
      <c r="A87" s="10"/>
      <c r="B87" s="10"/>
      <c r="C87" s="10"/>
      <c r="D87" s="10"/>
      <c r="E87" s="10"/>
      <c r="F87" s="10"/>
      <c r="G87" s="10"/>
      <c r="H87" s="13"/>
      <c r="I87" s="10"/>
      <c r="J87" s="10"/>
      <c r="K87" s="10"/>
      <c r="L87" s="10"/>
      <c r="M87" s="10"/>
      <c r="N87" s="11"/>
      <c r="O87" s="10"/>
      <c r="P87" s="10"/>
      <c r="Q87" s="10"/>
      <c r="R87" s="10"/>
    </row>
    <row r="88" spans="1:18" ht="24.95" customHeight="1" x14ac:dyDescent="0.25">
      <c r="A88" s="10"/>
      <c r="B88" s="10"/>
      <c r="C88" s="10"/>
      <c r="D88" s="10"/>
      <c r="E88" s="10"/>
      <c r="F88" s="10"/>
      <c r="G88" s="10"/>
      <c r="H88" s="13"/>
      <c r="I88" s="10"/>
      <c r="J88" s="10"/>
      <c r="K88" s="10"/>
      <c r="L88" s="10"/>
      <c r="M88" s="10"/>
      <c r="N88" s="11"/>
      <c r="O88" s="10"/>
      <c r="P88" s="10"/>
      <c r="Q88" s="10"/>
      <c r="R88" s="10"/>
    </row>
    <row r="89" spans="1:18" ht="24.95" customHeight="1" x14ac:dyDescent="0.25">
      <c r="A89" s="10"/>
      <c r="B89" s="10"/>
      <c r="C89" s="10"/>
      <c r="D89" s="10"/>
      <c r="E89" s="10"/>
      <c r="F89" s="10"/>
      <c r="G89" s="10"/>
      <c r="H89" s="13"/>
      <c r="I89" s="10"/>
      <c r="J89" s="10"/>
      <c r="K89" s="10"/>
      <c r="L89" s="10"/>
      <c r="M89" s="10"/>
      <c r="N89" s="11"/>
      <c r="O89" s="10"/>
      <c r="P89" s="10"/>
      <c r="Q89" s="10"/>
      <c r="R89" s="10"/>
    </row>
    <row r="90" spans="1:18" ht="24.95" customHeight="1" x14ac:dyDescent="0.25">
      <c r="A90" s="10"/>
      <c r="B90" s="10"/>
      <c r="C90" s="10"/>
      <c r="D90" s="10"/>
      <c r="E90" s="10"/>
      <c r="F90" s="10"/>
      <c r="G90" s="10"/>
      <c r="H90" s="13"/>
      <c r="I90" s="10"/>
      <c r="J90" s="10"/>
      <c r="K90" s="10"/>
      <c r="L90" s="10"/>
      <c r="M90" s="10"/>
      <c r="N90" s="11"/>
      <c r="O90" s="10"/>
      <c r="P90" s="10"/>
      <c r="Q90" s="10"/>
      <c r="R90" s="10"/>
    </row>
    <row r="91" spans="1:18" ht="24.95" customHeight="1" x14ac:dyDescent="0.25">
      <c r="A91" s="10"/>
      <c r="B91" s="10"/>
      <c r="C91" s="10"/>
      <c r="D91" s="10"/>
      <c r="E91" s="10"/>
      <c r="F91" s="10"/>
      <c r="G91" s="10"/>
      <c r="H91" s="13"/>
      <c r="I91" s="10"/>
      <c r="J91" s="10"/>
      <c r="K91" s="10"/>
      <c r="L91" s="10"/>
      <c r="M91" s="10"/>
      <c r="N91" s="11"/>
      <c r="O91" s="10"/>
      <c r="P91" s="10"/>
      <c r="Q91" s="10"/>
      <c r="R91" s="10"/>
    </row>
    <row r="92" spans="1:18" ht="24.95" customHeight="1" x14ac:dyDescent="0.25">
      <c r="A92" s="10"/>
      <c r="B92" s="10"/>
      <c r="C92" s="10"/>
      <c r="D92" s="10"/>
      <c r="E92" s="10"/>
      <c r="F92" s="10"/>
      <c r="G92" s="10"/>
      <c r="H92" s="13"/>
      <c r="I92" s="10"/>
      <c r="J92" s="10"/>
      <c r="K92" s="10"/>
      <c r="L92" s="10"/>
      <c r="M92" s="10"/>
      <c r="N92" s="11"/>
      <c r="O92" s="10"/>
      <c r="P92" s="10"/>
      <c r="Q92" s="10"/>
      <c r="R92" s="10"/>
    </row>
    <row r="93" spans="1:18" ht="24.95" customHeight="1" x14ac:dyDescent="0.25">
      <c r="A93" s="10"/>
      <c r="B93" s="10"/>
      <c r="C93" s="10"/>
      <c r="D93" s="10"/>
      <c r="E93" s="10"/>
      <c r="F93" s="10"/>
      <c r="G93" s="10"/>
      <c r="H93" s="13"/>
      <c r="I93" s="10"/>
      <c r="J93" s="10"/>
      <c r="K93" s="10"/>
      <c r="L93" s="10"/>
      <c r="M93" s="10"/>
      <c r="N93" s="11"/>
      <c r="O93" s="10"/>
      <c r="P93" s="10"/>
      <c r="Q93" s="10"/>
      <c r="R93" s="10"/>
    </row>
    <row r="94" spans="1:18" ht="24.95" customHeight="1" x14ac:dyDescent="0.25">
      <c r="A94" s="10"/>
      <c r="B94" s="10"/>
      <c r="C94" s="10"/>
      <c r="D94" s="10"/>
      <c r="E94" s="10"/>
      <c r="F94" s="10"/>
      <c r="G94" s="10"/>
      <c r="H94" s="13"/>
      <c r="I94" s="10"/>
      <c r="J94" s="10"/>
      <c r="K94" s="10"/>
      <c r="L94" s="10"/>
      <c r="M94" s="10"/>
      <c r="N94" s="11"/>
      <c r="O94" s="10"/>
      <c r="P94" s="10"/>
      <c r="Q94" s="10"/>
      <c r="R94" s="10"/>
    </row>
    <row r="95" spans="1:18" ht="24.95" customHeight="1" x14ac:dyDescent="0.25">
      <c r="A95" s="10"/>
      <c r="B95" s="10"/>
      <c r="C95" s="10"/>
      <c r="D95" s="10"/>
      <c r="E95" s="10"/>
      <c r="F95" s="10"/>
      <c r="G95" s="10"/>
      <c r="H95" s="13"/>
      <c r="I95" s="10"/>
      <c r="J95" s="10"/>
      <c r="K95" s="10"/>
      <c r="L95" s="10"/>
      <c r="M95" s="10"/>
      <c r="N95" s="11"/>
      <c r="O95" s="10"/>
      <c r="P95" s="10"/>
      <c r="Q95" s="10"/>
      <c r="R95" s="10"/>
    </row>
    <row r="96" spans="1:18" ht="24.95" customHeight="1" x14ac:dyDescent="0.25">
      <c r="A96" s="10"/>
      <c r="B96" s="10"/>
      <c r="C96" s="10"/>
      <c r="D96" s="10"/>
      <c r="E96" s="10"/>
      <c r="F96" s="10"/>
      <c r="G96" s="10"/>
      <c r="H96" s="13"/>
      <c r="I96" s="10"/>
      <c r="J96" s="10"/>
      <c r="K96" s="10"/>
      <c r="L96" s="10"/>
      <c r="M96" s="10"/>
      <c r="N96" s="11"/>
      <c r="O96" s="10"/>
      <c r="P96" s="10"/>
      <c r="Q96" s="10"/>
      <c r="R96" s="10"/>
    </row>
    <row r="97" spans="1:18" ht="24.95" customHeight="1" x14ac:dyDescent="0.25">
      <c r="A97" s="10"/>
      <c r="B97" s="10"/>
      <c r="C97" s="10"/>
      <c r="D97" s="10"/>
      <c r="E97" s="10"/>
      <c r="F97" s="10"/>
      <c r="G97" s="10"/>
      <c r="H97" s="13"/>
      <c r="I97" s="10"/>
      <c r="J97" s="10"/>
      <c r="K97" s="10"/>
      <c r="L97" s="10"/>
      <c r="M97" s="10"/>
      <c r="N97" s="11"/>
      <c r="O97" s="10"/>
      <c r="P97" s="10"/>
      <c r="Q97" s="10"/>
      <c r="R97" s="10"/>
    </row>
    <row r="98" spans="1:18" ht="24.95" customHeight="1" x14ac:dyDescent="0.25">
      <c r="A98" s="10"/>
      <c r="B98" s="10"/>
      <c r="C98" s="10"/>
      <c r="D98" s="10"/>
      <c r="E98" s="10"/>
      <c r="F98" s="10"/>
      <c r="G98" s="10"/>
      <c r="H98" s="13"/>
      <c r="I98" s="10"/>
      <c r="J98" s="10"/>
      <c r="K98" s="10"/>
      <c r="L98" s="10"/>
      <c r="M98" s="10"/>
      <c r="N98" s="11"/>
      <c r="O98" s="10"/>
      <c r="P98" s="10"/>
      <c r="Q98" s="10"/>
      <c r="R98" s="10"/>
    </row>
    <row r="99" spans="1:18" ht="24.95" customHeight="1" x14ac:dyDescent="0.25">
      <c r="A99" s="10"/>
      <c r="B99" s="10"/>
      <c r="C99" s="10"/>
      <c r="D99" s="10"/>
      <c r="E99" s="10"/>
      <c r="F99" s="10"/>
      <c r="G99" s="10"/>
      <c r="H99" s="13"/>
      <c r="I99" s="10"/>
      <c r="J99" s="10"/>
      <c r="K99" s="10"/>
      <c r="L99" s="10"/>
      <c r="M99" s="10"/>
      <c r="N99" s="11"/>
      <c r="O99" s="10"/>
      <c r="P99" s="10"/>
      <c r="Q99" s="10"/>
      <c r="R99" s="10"/>
    </row>
    <row r="100" spans="1:18" ht="24.95" customHeight="1" x14ac:dyDescent="0.25">
      <c r="A100" s="10"/>
      <c r="B100" s="10"/>
      <c r="C100" s="10"/>
      <c r="D100" s="10"/>
      <c r="E100" s="10"/>
      <c r="F100" s="10"/>
      <c r="G100" s="10"/>
      <c r="H100" s="13"/>
      <c r="I100" s="10"/>
      <c r="J100" s="10"/>
      <c r="K100" s="10"/>
      <c r="L100" s="10"/>
      <c r="M100" s="10"/>
      <c r="N100" s="11"/>
      <c r="O100" s="10"/>
      <c r="P100" s="10"/>
      <c r="Q100" s="10"/>
      <c r="R100" s="10"/>
    </row>
    <row r="101" spans="1:18" ht="24.95" customHeight="1" x14ac:dyDescent="0.25">
      <c r="A101" s="10"/>
      <c r="B101" s="10"/>
      <c r="C101" s="10"/>
      <c r="D101" s="10"/>
      <c r="E101" s="10"/>
      <c r="F101" s="10"/>
      <c r="G101" s="10"/>
      <c r="H101" s="13"/>
      <c r="I101" s="10"/>
      <c r="J101" s="10"/>
      <c r="K101" s="10"/>
      <c r="L101" s="10"/>
      <c r="M101" s="10"/>
      <c r="N101" s="11"/>
      <c r="O101" s="10"/>
      <c r="P101" s="10"/>
      <c r="Q101" s="10"/>
      <c r="R101" s="10"/>
    </row>
    <row r="102" spans="1:18" ht="24.95" customHeight="1" x14ac:dyDescent="0.25">
      <c r="A102" s="10"/>
      <c r="B102" s="10"/>
      <c r="C102" s="10"/>
      <c r="D102" s="10"/>
      <c r="E102" s="10"/>
      <c r="F102" s="10"/>
      <c r="G102" s="10"/>
      <c r="H102" s="13"/>
      <c r="I102" s="10"/>
      <c r="J102" s="10"/>
      <c r="K102" s="10"/>
      <c r="L102" s="10"/>
      <c r="M102" s="10"/>
      <c r="N102" s="11"/>
      <c r="O102" s="10"/>
      <c r="P102" s="10"/>
      <c r="Q102" s="10"/>
      <c r="R102" s="10"/>
    </row>
    <row r="103" spans="1:18" ht="24.95" customHeight="1" x14ac:dyDescent="0.25">
      <c r="A103" s="10"/>
      <c r="B103" s="10"/>
      <c r="C103" s="10"/>
      <c r="D103" s="10"/>
      <c r="E103" s="10"/>
      <c r="F103" s="10"/>
      <c r="G103" s="10"/>
      <c r="H103" s="13"/>
      <c r="I103" s="10"/>
      <c r="J103" s="10"/>
      <c r="K103" s="10"/>
      <c r="L103" s="10"/>
      <c r="M103" s="10"/>
      <c r="N103" s="11"/>
      <c r="O103" s="10"/>
      <c r="P103" s="10"/>
      <c r="Q103" s="10"/>
      <c r="R103" s="10"/>
    </row>
    <row r="104" spans="1:18" ht="24.95" customHeight="1" x14ac:dyDescent="0.25">
      <c r="A104" s="10"/>
      <c r="B104" s="10"/>
      <c r="C104" s="10"/>
      <c r="D104" s="10"/>
      <c r="E104" s="10"/>
      <c r="F104" s="10"/>
      <c r="G104" s="10"/>
      <c r="H104" s="13"/>
      <c r="I104" s="10"/>
      <c r="J104" s="10"/>
      <c r="K104" s="10"/>
      <c r="L104" s="10"/>
      <c r="M104" s="10"/>
      <c r="N104" s="11"/>
      <c r="O104" s="10"/>
      <c r="P104" s="10"/>
      <c r="Q104" s="10"/>
      <c r="R104" s="10"/>
    </row>
    <row r="105" spans="1:18" ht="24.95" customHeight="1" x14ac:dyDescent="0.25">
      <c r="A105" s="10"/>
      <c r="B105" s="10"/>
      <c r="C105" s="10"/>
      <c r="D105" s="10"/>
      <c r="E105" s="10"/>
      <c r="F105" s="10"/>
      <c r="G105" s="10"/>
      <c r="H105" s="13"/>
      <c r="I105" s="10"/>
      <c r="J105" s="10"/>
      <c r="K105" s="10"/>
      <c r="L105" s="10"/>
      <c r="M105" s="10"/>
      <c r="N105" s="11"/>
      <c r="O105" s="10"/>
      <c r="P105" s="10"/>
      <c r="Q105" s="10"/>
      <c r="R105" s="10"/>
    </row>
    <row r="106" spans="1:18" ht="24.95" customHeight="1" x14ac:dyDescent="0.25">
      <c r="A106" s="10"/>
      <c r="B106" s="10"/>
      <c r="C106" s="10"/>
      <c r="D106" s="10"/>
      <c r="E106" s="10"/>
      <c r="F106" s="10"/>
      <c r="G106" s="10"/>
      <c r="H106" s="13"/>
      <c r="I106" s="10"/>
      <c r="J106" s="10"/>
      <c r="K106" s="10"/>
      <c r="L106" s="10"/>
      <c r="M106" s="10"/>
      <c r="N106" s="11"/>
      <c r="O106" s="10"/>
      <c r="P106" s="10"/>
      <c r="Q106" s="10"/>
      <c r="R106" s="10"/>
    </row>
    <row r="107" spans="1:18" ht="24.95" customHeight="1" x14ac:dyDescent="0.25">
      <c r="A107" s="10"/>
      <c r="B107" s="10"/>
      <c r="C107" s="10"/>
      <c r="D107" s="10"/>
      <c r="E107" s="10"/>
      <c r="F107" s="10"/>
      <c r="G107" s="10"/>
      <c r="H107" s="13"/>
      <c r="I107" s="10"/>
      <c r="J107" s="10"/>
      <c r="K107" s="10"/>
      <c r="L107" s="10"/>
      <c r="M107" s="10"/>
      <c r="N107" s="11"/>
      <c r="O107" s="10"/>
      <c r="P107" s="10"/>
      <c r="Q107" s="10"/>
      <c r="R107" s="10"/>
    </row>
    <row r="108" spans="1:18" ht="24.95" customHeight="1" x14ac:dyDescent="0.25">
      <c r="A108" s="10"/>
      <c r="B108" s="10"/>
      <c r="C108" s="10"/>
      <c r="D108" s="10"/>
      <c r="E108" s="10"/>
      <c r="F108" s="10"/>
      <c r="G108" s="10"/>
      <c r="H108" s="13"/>
      <c r="I108" s="10"/>
      <c r="J108" s="10"/>
      <c r="K108" s="10"/>
      <c r="L108" s="10"/>
      <c r="M108" s="10"/>
      <c r="N108" s="11"/>
      <c r="O108" s="10"/>
      <c r="P108" s="10"/>
      <c r="Q108" s="10"/>
      <c r="R108" s="10"/>
    </row>
    <row r="109" spans="1:18" ht="24.95" customHeight="1" x14ac:dyDescent="0.25">
      <c r="A109" s="10"/>
      <c r="B109" s="10"/>
      <c r="C109" s="10"/>
      <c r="D109" s="10"/>
      <c r="E109" s="10"/>
      <c r="F109" s="10"/>
      <c r="G109" s="10"/>
      <c r="H109" s="13"/>
      <c r="I109" s="10"/>
      <c r="J109" s="10"/>
      <c r="K109" s="10"/>
      <c r="L109" s="10"/>
      <c r="M109" s="10"/>
      <c r="N109" s="11"/>
      <c r="O109" s="10"/>
      <c r="P109" s="10"/>
      <c r="Q109" s="10"/>
      <c r="R109" s="10"/>
    </row>
    <row r="110" spans="1:18" ht="24.95" customHeight="1" x14ac:dyDescent="0.25">
      <c r="A110" s="10"/>
      <c r="B110" s="10"/>
      <c r="C110" s="10"/>
      <c r="D110" s="10"/>
      <c r="E110" s="10"/>
      <c r="F110" s="10"/>
      <c r="G110" s="10"/>
      <c r="H110" s="13"/>
      <c r="I110" s="10"/>
      <c r="J110" s="10"/>
      <c r="K110" s="10"/>
      <c r="L110" s="10"/>
      <c r="M110" s="10"/>
      <c r="N110" s="11"/>
      <c r="O110" s="10"/>
      <c r="P110" s="10"/>
      <c r="Q110" s="10"/>
      <c r="R110" s="10"/>
    </row>
    <row r="111" spans="1:18" ht="24.95" customHeight="1" x14ac:dyDescent="0.25">
      <c r="A111" s="10"/>
      <c r="B111" s="10"/>
      <c r="C111" s="10"/>
      <c r="D111" s="10"/>
      <c r="E111" s="10"/>
      <c r="F111" s="10"/>
      <c r="G111" s="10"/>
      <c r="H111" s="13"/>
      <c r="I111" s="10"/>
      <c r="J111" s="10"/>
      <c r="K111" s="10"/>
      <c r="L111" s="10"/>
      <c r="M111" s="10"/>
      <c r="N111" s="11"/>
      <c r="O111" s="10"/>
      <c r="P111" s="10"/>
      <c r="Q111" s="10"/>
      <c r="R111" s="10"/>
    </row>
    <row r="112" spans="1:18" ht="24.95" customHeight="1" x14ac:dyDescent="0.25">
      <c r="A112" s="10"/>
      <c r="B112" s="10"/>
      <c r="C112" s="10"/>
      <c r="D112" s="10"/>
      <c r="E112" s="10"/>
      <c r="F112" s="10"/>
      <c r="G112" s="10"/>
      <c r="H112" s="13"/>
      <c r="I112" s="10"/>
      <c r="J112" s="10"/>
      <c r="K112" s="10"/>
      <c r="L112" s="10"/>
      <c r="M112" s="10"/>
      <c r="N112" s="11"/>
      <c r="O112" s="10"/>
      <c r="P112" s="10"/>
      <c r="Q112" s="10"/>
      <c r="R112" s="10"/>
    </row>
    <row r="113" spans="1:18" ht="24.95" customHeight="1" x14ac:dyDescent="0.25">
      <c r="A113" s="10"/>
      <c r="B113" s="10"/>
      <c r="C113" s="10"/>
      <c r="D113" s="10"/>
      <c r="E113" s="10"/>
      <c r="F113" s="10"/>
      <c r="G113" s="10"/>
      <c r="H113" s="13"/>
      <c r="I113" s="10"/>
      <c r="J113" s="10"/>
      <c r="K113" s="10"/>
      <c r="L113" s="10"/>
      <c r="M113" s="10"/>
      <c r="N113" s="11"/>
      <c r="O113" s="10"/>
      <c r="P113" s="10"/>
      <c r="Q113" s="10"/>
      <c r="R113" s="10"/>
    </row>
    <row r="114" spans="1:18" ht="24.95" customHeight="1" x14ac:dyDescent="0.25">
      <c r="A114" s="10"/>
      <c r="B114" s="10"/>
      <c r="C114" s="10"/>
      <c r="D114" s="10"/>
      <c r="E114" s="10"/>
      <c r="F114" s="10"/>
      <c r="G114" s="10"/>
      <c r="H114" s="13"/>
      <c r="I114" s="10"/>
      <c r="J114" s="10"/>
      <c r="K114" s="10"/>
      <c r="L114" s="10"/>
      <c r="M114" s="10"/>
      <c r="N114" s="11"/>
      <c r="O114" s="10"/>
      <c r="P114" s="10"/>
      <c r="Q114" s="10"/>
      <c r="R114" s="10"/>
    </row>
    <row r="115" spans="1:18" ht="24.95" customHeight="1" x14ac:dyDescent="0.25">
      <c r="A115" s="10"/>
      <c r="B115" s="10"/>
      <c r="C115" s="10"/>
      <c r="D115" s="10"/>
      <c r="E115" s="10"/>
      <c r="F115" s="10"/>
      <c r="G115" s="10"/>
      <c r="H115" s="13"/>
      <c r="I115" s="10"/>
      <c r="J115" s="10"/>
      <c r="K115" s="10"/>
      <c r="L115" s="10"/>
      <c r="M115" s="10"/>
      <c r="N115" s="11"/>
      <c r="O115" s="10"/>
      <c r="P115" s="10"/>
      <c r="Q115" s="10"/>
      <c r="R115" s="10"/>
    </row>
    <row r="116" spans="1:18" ht="24.95" customHeight="1" x14ac:dyDescent="0.25">
      <c r="A116" s="10"/>
      <c r="B116" s="10"/>
      <c r="C116" s="10"/>
      <c r="D116" s="10"/>
      <c r="E116" s="10"/>
      <c r="F116" s="10"/>
      <c r="G116" s="10"/>
      <c r="H116" s="13"/>
      <c r="I116" s="10"/>
      <c r="J116" s="10"/>
      <c r="K116" s="10"/>
      <c r="L116" s="10"/>
      <c r="M116" s="10"/>
      <c r="N116" s="11"/>
      <c r="O116" s="10"/>
      <c r="P116" s="10"/>
      <c r="Q116" s="10"/>
      <c r="R116" s="10"/>
    </row>
    <row r="117" spans="1:18" ht="24.95" customHeight="1" x14ac:dyDescent="0.25">
      <c r="A117" s="10"/>
      <c r="B117" s="10"/>
      <c r="C117" s="10"/>
      <c r="D117" s="10"/>
      <c r="E117" s="10"/>
      <c r="F117" s="10"/>
      <c r="G117" s="10"/>
      <c r="H117" s="13"/>
      <c r="I117" s="10"/>
      <c r="J117" s="10"/>
      <c r="K117" s="10"/>
      <c r="L117" s="10"/>
      <c r="M117" s="10"/>
      <c r="N117" s="11"/>
      <c r="O117" s="10"/>
      <c r="P117" s="10"/>
      <c r="Q117" s="10"/>
      <c r="R117" s="10"/>
    </row>
    <row r="118" spans="1:18" ht="24.95" customHeight="1" x14ac:dyDescent="0.25">
      <c r="A118" s="10"/>
      <c r="B118" s="10"/>
      <c r="C118" s="10"/>
      <c r="D118" s="10"/>
      <c r="E118" s="10"/>
      <c r="F118" s="10"/>
      <c r="G118" s="10"/>
      <c r="H118" s="13"/>
      <c r="I118" s="10"/>
      <c r="J118" s="10"/>
      <c r="K118" s="10"/>
      <c r="L118" s="10"/>
      <c r="M118" s="10"/>
      <c r="N118" s="11"/>
      <c r="O118" s="10"/>
      <c r="P118" s="10"/>
      <c r="Q118" s="10"/>
      <c r="R118" s="10"/>
    </row>
    <row r="119" spans="1:18" ht="24.95" customHeight="1" x14ac:dyDescent="0.25">
      <c r="A119" s="10"/>
      <c r="B119" s="10"/>
      <c r="C119" s="10"/>
      <c r="D119" s="10"/>
      <c r="E119" s="10"/>
      <c r="F119" s="10"/>
      <c r="G119" s="10"/>
      <c r="H119" s="13"/>
      <c r="I119" s="10"/>
      <c r="J119" s="10"/>
      <c r="K119" s="10"/>
      <c r="L119" s="10"/>
      <c r="M119" s="10"/>
      <c r="N119" s="11"/>
      <c r="O119" s="10"/>
      <c r="P119" s="10"/>
      <c r="Q119" s="10"/>
      <c r="R119" s="10"/>
    </row>
    <row r="120" spans="1:18" ht="24.95" customHeight="1" x14ac:dyDescent="0.25">
      <c r="A120" s="10"/>
      <c r="B120" s="10"/>
      <c r="C120" s="10"/>
      <c r="D120" s="10"/>
      <c r="E120" s="10"/>
      <c r="F120" s="10"/>
      <c r="G120" s="10"/>
      <c r="H120" s="13"/>
      <c r="I120" s="10"/>
      <c r="J120" s="10"/>
      <c r="K120" s="10"/>
      <c r="L120" s="10"/>
      <c r="M120" s="10"/>
      <c r="N120" s="11"/>
      <c r="O120" s="10"/>
      <c r="P120" s="10"/>
      <c r="Q120" s="10"/>
      <c r="R120" s="10"/>
    </row>
    <row r="121" spans="1:18" ht="24.95" customHeight="1" x14ac:dyDescent="0.25">
      <c r="A121" s="10"/>
      <c r="B121" s="10"/>
      <c r="C121" s="10"/>
      <c r="D121" s="10"/>
      <c r="E121" s="10"/>
      <c r="F121" s="10"/>
      <c r="G121" s="10"/>
      <c r="H121" s="13"/>
      <c r="I121" s="10"/>
      <c r="J121" s="10"/>
      <c r="K121" s="10"/>
      <c r="L121" s="10"/>
      <c r="M121" s="10"/>
      <c r="N121" s="11"/>
      <c r="O121" s="10"/>
      <c r="P121" s="10"/>
      <c r="Q121" s="10"/>
      <c r="R121" s="10"/>
    </row>
    <row r="122" spans="1:18" ht="24.95" customHeight="1" x14ac:dyDescent="0.25">
      <c r="A122" s="10"/>
      <c r="B122" s="10"/>
      <c r="C122" s="10"/>
      <c r="D122" s="10"/>
      <c r="E122" s="10"/>
      <c r="F122" s="10"/>
      <c r="G122" s="10"/>
      <c r="H122" s="13"/>
      <c r="I122" s="10"/>
      <c r="J122" s="10"/>
      <c r="K122" s="10"/>
      <c r="L122" s="10"/>
      <c r="M122" s="10"/>
      <c r="N122" s="11"/>
      <c r="O122" s="10"/>
      <c r="P122" s="10"/>
      <c r="Q122" s="10"/>
      <c r="R122" s="10"/>
    </row>
    <row r="123" spans="1:18" ht="24.95" customHeight="1" x14ac:dyDescent="0.25">
      <c r="A123" s="10"/>
      <c r="B123" s="10"/>
      <c r="C123" s="10"/>
      <c r="D123" s="10"/>
      <c r="E123" s="10"/>
      <c r="F123" s="10"/>
      <c r="G123" s="10"/>
      <c r="H123" s="13"/>
      <c r="I123" s="10"/>
      <c r="J123" s="10"/>
      <c r="K123" s="10"/>
      <c r="L123" s="10"/>
      <c r="M123" s="10"/>
      <c r="N123" s="11"/>
      <c r="O123" s="10"/>
      <c r="P123" s="10"/>
      <c r="Q123" s="10"/>
      <c r="R123" s="10"/>
    </row>
    <row r="124" spans="1:18" ht="24.95" customHeight="1" x14ac:dyDescent="0.25">
      <c r="A124" s="10"/>
      <c r="B124" s="10"/>
      <c r="C124" s="10"/>
      <c r="D124" s="10"/>
      <c r="E124" s="10"/>
      <c r="F124" s="10"/>
      <c r="G124" s="10"/>
      <c r="H124" s="13"/>
      <c r="I124" s="10"/>
      <c r="J124" s="10"/>
      <c r="K124" s="10"/>
      <c r="L124" s="10"/>
      <c r="M124" s="10"/>
      <c r="N124" s="11"/>
      <c r="O124" s="10"/>
      <c r="P124" s="10"/>
      <c r="Q124" s="10"/>
      <c r="R124" s="10"/>
    </row>
    <row r="125" spans="1:18" ht="24.95" customHeight="1" x14ac:dyDescent="0.25">
      <c r="A125" s="10"/>
      <c r="B125" s="10"/>
      <c r="C125" s="10"/>
      <c r="D125" s="10"/>
      <c r="E125" s="10"/>
      <c r="F125" s="10"/>
      <c r="G125" s="10"/>
      <c r="H125" s="13"/>
      <c r="I125" s="10"/>
      <c r="J125" s="10"/>
      <c r="K125" s="10"/>
      <c r="L125" s="10"/>
      <c r="M125" s="10"/>
      <c r="N125" s="11"/>
      <c r="O125" s="10"/>
      <c r="P125" s="10"/>
      <c r="Q125" s="10"/>
      <c r="R125" s="10"/>
    </row>
    <row r="126" spans="1:18" ht="24.95" customHeight="1" x14ac:dyDescent="0.25">
      <c r="A126" s="10"/>
      <c r="B126" s="10"/>
      <c r="C126" s="10"/>
      <c r="D126" s="10"/>
      <c r="E126" s="10"/>
      <c r="F126" s="10"/>
      <c r="G126" s="10"/>
      <c r="H126" s="13"/>
      <c r="I126" s="10"/>
      <c r="J126" s="10"/>
      <c r="K126" s="10"/>
      <c r="L126" s="10"/>
      <c r="M126" s="10"/>
      <c r="N126" s="11"/>
      <c r="O126" s="10"/>
      <c r="P126" s="10"/>
      <c r="Q126" s="10"/>
      <c r="R126" s="10"/>
    </row>
    <row r="127" spans="1:18" ht="24.95" customHeight="1" x14ac:dyDescent="0.25">
      <c r="A127" s="10"/>
      <c r="B127" s="10"/>
      <c r="C127" s="10"/>
      <c r="D127" s="10"/>
      <c r="E127" s="10"/>
      <c r="F127" s="10"/>
      <c r="G127" s="10"/>
      <c r="H127" s="13"/>
      <c r="I127" s="10"/>
      <c r="J127" s="10"/>
      <c r="K127" s="10"/>
      <c r="L127" s="10"/>
      <c r="M127" s="10"/>
      <c r="N127" s="11"/>
      <c r="O127" s="10"/>
      <c r="P127" s="10"/>
      <c r="Q127" s="10"/>
      <c r="R127" s="10"/>
    </row>
    <row r="128" spans="1:18" ht="24.95" customHeight="1" x14ac:dyDescent="0.25">
      <c r="A128" s="10"/>
      <c r="B128" s="10"/>
      <c r="C128" s="10"/>
      <c r="D128" s="10"/>
      <c r="E128" s="10"/>
      <c r="F128" s="10"/>
      <c r="G128" s="10"/>
      <c r="H128" s="13"/>
      <c r="I128" s="10"/>
      <c r="J128" s="10"/>
      <c r="K128" s="10"/>
      <c r="L128" s="10"/>
      <c r="M128" s="10"/>
      <c r="N128" s="11"/>
      <c r="O128" s="10"/>
      <c r="P128" s="10"/>
      <c r="Q128" s="10"/>
      <c r="R128" s="10"/>
    </row>
    <row r="129" spans="1:18" ht="24.95" customHeight="1" x14ac:dyDescent="0.25">
      <c r="A129" s="10"/>
      <c r="B129" s="10"/>
      <c r="C129" s="10"/>
      <c r="D129" s="10"/>
      <c r="E129" s="10"/>
      <c r="F129" s="10"/>
      <c r="G129" s="10"/>
      <c r="H129" s="13"/>
      <c r="I129" s="10"/>
      <c r="J129" s="10"/>
      <c r="K129" s="10"/>
      <c r="L129" s="10"/>
      <c r="M129" s="10"/>
      <c r="N129" s="11"/>
      <c r="O129" s="10"/>
      <c r="P129" s="10"/>
      <c r="Q129" s="10"/>
      <c r="R129" s="10"/>
    </row>
    <row r="130" spans="1:18" ht="24.95" customHeight="1" x14ac:dyDescent="0.25">
      <c r="A130" s="10"/>
      <c r="B130" s="10"/>
      <c r="C130" s="10"/>
      <c r="D130" s="10"/>
      <c r="E130" s="10"/>
      <c r="F130" s="10"/>
      <c r="G130" s="10"/>
      <c r="H130" s="13"/>
      <c r="I130" s="10"/>
      <c r="J130" s="10"/>
      <c r="K130" s="10"/>
      <c r="L130" s="10"/>
      <c r="M130" s="10"/>
      <c r="N130" s="11"/>
      <c r="O130" s="10"/>
      <c r="P130" s="10"/>
      <c r="Q130" s="10"/>
      <c r="R130" s="10"/>
    </row>
    <row r="131" spans="1:18" ht="24.95" customHeight="1" x14ac:dyDescent="0.25">
      <c r="A131" s="10"/>
      <c r="B131" s="10"/>
      <c r="C131" s="10"/>
      <c r="D131" s="10"/>
      <c r="E131" s="10"/>
      <c r="F131" s="10"/>
      <c r="G131" s="10"/>
      <c r="H131" s="13"/>
      <c r="I131" s="10"/>
      <c r="J131" s="10"/>
      <c r="K131" s="10"/>
      <c r="L131" s="10"/>
      <c r="M131" s="10"/>
      <c r="N131" s="11"/>
      <c r="O131" s="10"/>
      <c r="P131" s="10"/>
      <c r="Q131" s="10"/>
      <c r="R131" s="10"/>
    </row>
    <row r="132" spans="1:18" ht="24.95" customHeight="1" x14ac:dyDescent="0.25">
      <c r="A132" s="10"/>
      <c r="B132" s="10"/>
      <c r="C132" s="10"/>
      <c r="D132" s="10"/>
      <c r="E132" s="10"/>
      <c r="F132" s="10"/>
      <c r="G132" s="10"/>
      <c r="H132" s="13"/>
      <c r="I132" s="10"/>
      <c r="J132" s="10"/>
      <c r="K132" s="10"/>
      <c r="L132" s="10"/>
      <c r="M132" s="10"/>
      <c r="N132" s="11"/>
      <c r="O132" s="10"/>
      <c r="P132" s="10"/>
      <c r="Q132" s="10"/>
      <c r="R132" s="10"/>
    </row>
    <row r="133" spans="1:18" ht="24.95" customHeight="1" x14ac:dyDescent="0.25">
      <c r="A133" s="10"/>
      <c r="B133" s="10"/>
      <c r="C133" s="10"/>
      <c r="D133" s="10"/>
      <c r="E133" s="10"/>
      <c r="F133" s="10"/>
      <c r="G133" s="10"/>
      <c r="H133" s="13"/>
      <c r="I133" s="10"/>
      <c r="J133" s="10"/>
      <c r="K133" s="10"/>
      <c r="L133" s="10"/>
      <c r="M133" s="10"/>
      <c r="N133" s="11"/>
      <c r="O133" s="10"/>
      <c r="P133" s="10"/>
      <c r="Q133" s="10"/>
      <c r="R133" s="10"/>
    </row>
    <row r="134" spans="1:18" ht="24.95" customHeight="1" x14ac:dyDescent="0.25">
      <c r="A134" s="10"/>
      <c r="B134" s="10"/>
      <c r="C134" s="10"/>
      <c r="D134" s="10"/>
      <c r="E134" s="10"/>
      <c r="F134" s="10"/>
      <c r="G134" s="10"/>
      <c r="H134" s="13"/>
      <c r="I134" s="10"/>
      <c r="J134" s="10"/>
      <c r="K134" s="10"/>
      <c r="L134" s="10"/>
      <c r="M134" s="10"/>
      <c r="N134" s="11"/>
      <c r="O134" s="10"/>
      <c r="P134" s="10"/>
      <c r="Q134" s="10"/>
      <c r="R134" s="10"/>
    </row>
    <row r="135" spans="1:18" ht="24.95" customHeight="1" x14ac:dyDescent="0.25">
      <c r="A135" s="10"/>
      <c r="B135" s="10"/>
      <c r="C135" s="10"/>
      <c r="D135" s="10"/>
      <c r="E135" s="10"/>
      <c r="F135" s="10"/>
      <c r="G135" s="10"/>
      <c r="H135" s="13"/>
      <c r="I135" s="10"/>
      <c r="J135" s="10"/>
      <c r="K135" s="10"/>
      <c r="L135" s="10"/>
      <c r="M135" s="10"/>
      <c r="N135" s="11"/>
      <c r="O135" s="10"/>
      <c r="P135" s="10"/>
      <c r="Q135" s="10"/>
      <c r="R135" s="10"/>
    </row>
    <row r="136" spans="1:18" ht="24.95" customHeight="1" x14ac:dyDescent="0.25">
      <c r="A136" s="10"/>
      <c r="B136" s="10"/>
      <c r="C136" s="10"/>
      <c r="D136" s="10"/>
      <c r="E136" s="10"/>
      <c r="F136" s="10"/>
      <c r="G136" s="10"/>
      <c r="H136" s="13"/>
      <c r="I136" s="10"/>
      <c r="J136" s="10"/>
      <c r="K136" s="10"/>
      <c r="L136" s="10"/>
      <c r="M136" s="10"/>
      <c r="N136" s="11"/>
      <c r="O136" s="10"/>
      <c r="P136" s="10"/>
      <c r="Q136" s="10"/>
      <c r="R136" s="10"/>
    </row>
    <row r="137" spans="1:18" ht="24.95" customHeight="1" x14ac:dyDescent="0.25">
      <c r="A137" s="10"/>
      <c r="B137" s="10"/>
      <c r="C137" s="10"/>
      <c r="D137" s="10"/>
      <c r="E137" s="10"/>
      <c r="F137" s="10"/>
      <c r="G137" s="10"/>
      <c r="H137" s="13"/>
      <c r="I137" s="10"/>
      <c r="J137" s="10"/>
      <c r="K137" s="10"/>
      <c r="L137" s="10"/>
      <c r="M137" s="10"/>
      <c r="N137" s="11"/>
      <c r="O137" s="10"/>
      <c r="P137" s="10"/>
      <c r="Q137" s="10"/>
      <c r="R137" s="10"/>
    </row>
    <row r="138" spans="1:18" ht="24.95" customHeight="1" x14ac:dyDescent="0.25">
      <c r="A138" s="10"/>
      <c r="B138" s="10"/>
      <c r="C138" s="10"/>
      <c r="D138" s="10"/>
      <c r="E138" s="10"/>
      <c r="F138" s="10"/>
      <c r="G138" s="10"/>
      <c r="H138" s="13"/>
      <c r="I138" s="10"/>
      <c r="J138" s="10"/>
      <c r="K138" s="10"/>
      <c r="L138" s="10"/>
      <c r="M138" s="10"/>
      <c r="N138" s="11"/>
      <c r="O138" s="10"/>
      <c r="P138" s="10"/>
      <c r="Q138" s="10"/>
      <c r="R138" s="10"/>
    </row>
    <row r="139" spans="1:18" ht="24.95" customHeight="1" x14ac:dyDescent="0.25">
      <c r="A139" s="10"/>
      <c r="B139" s="10"/>
      <c r="C139" s="10"/>
      <c r="D139" s="10"/>
      <c r="E139" s="10"/>
      <c r="F139" s="10"/>
      <c r="G139" s="10"/>
      <c r="H139" s="13"/>
      <c r="I139" s="10"/>
      <c r="J139" s="10"/>
      <c r="K139" s="10"/>
      <c r="L139" s="10"/>
      <c r="M139" s="10"/>
      <c r="N139" s="11"/>
      <c r="O139" s="10"/>
      <c r="P139" s="10"/>
      <c r="Q139" s="10"/>
      <c r="R139" s="10"/>
    </row>
    <row r="140" spans="1:18" ht="24.95" customHeight="1" x14ac:dyDescent="0.25">
      <c r="A140" s="10"/>
      <c r="B140" s="10"/>
      <c r="C140" s="10"/>
      <c r="D140" s="10"/>
      <c r="E140" s="10"/>
      <c r="F140" s="10"/>
      <c r="G140" s="10"/>
      <c r="H140" s="13"/>
      <c r="I140" s="10"/>
      <c r="J140" s="10"/>
      <c r="K140" s="10"/>
      <c r="L140" s="10"/>
      <c r="M140" s="10"/>
      <c r="N140" s="11"/>
      <c r="O140" s="10"/>
      <c r="P140" s="10"/>
      <c r="Q140" s="10"/>
      <c r="R140" s="10"/>
    </row>
    <row r="141" spans="1:18" ht="24.95" customHeight="1" x14ac:dyDescent="0.25">
      <c r="A141" s="10"/>
      <c r="B141" s="10"/>
      <c r="C141" s="10"/>
      <c r="D141" s="10"/>
      <c r="E141" s="10"/>
      <c r="F141" s="10"/>
      <c r="G141" s="10"/>
      <c r="H141" s="13"/>
      <c r="I141" s="10"/>
      <c r="J141" s="10"/>
      <c r="K141" s="10"/>
      <c r="L141" s="10"/>
      <c r="M141" s="10"/>
      <c r="N141" s="11"/>
      <c r="O141" s="10"/>
      <c r="P141" s="10"/>
      <c r="Q141" s="10"/>
      <c r="R141" s="10"/>
    </row>
    <row r="142" spans="1:18" ht="24.95" customHeight="1" x14ac:dyDescent="0.25">
      <c r="A142" s="10"/>
      <c r="B142" s="10"/>
      <c r="C142" s="10"/>
      <c r="D142" s="10"/>
      <c r="E142" s="10"/>
      <c r="F142" s="10"/>
      <c r="G142" s="10"/>
      <c r="H142" s="13"/>
      <c r="I142" s="10"/>
      <c r="J142" s="10"/>
      <c r="K142" s="10"/>
      <c r="L142" s="10"/>
      <c r="M142" s="10"/>
      <c r="N142" s="11"/>
      <c r="O142" s="10"/>
      <c r="P142" s="10"/>
      <c r="Q142" s="10"/>
      <c r="R142" s="10"/>
    </row>
    <row r="143" spans="1:18" ht="24.95" customHeight="1" x14ac:dyDescent="0.25">
      <c r="A143" s="10"/>
      <c r="B143" s="10"/>
      <c r="C143" s="10"/>
      <c r="D143" s="10"/>
      <c r="E143" s="10"/>
      <c r="F143" s="10"/>
      <c r="G143" s="10"/>
      <c r="H143" s="13"/>
      <c r="I143" s="10"/>
      <c r="J143" s="10"/>
      <c r="K143" s="10"/>
      <c r="L143" s="10"/>
      <c r="M143" s="10"/>
      <c r="N143" s="11"/>
      <c r="O143" s="10"/>
      <c r="P143" s="10"/>
      <c r="Q143" s="10"/>
      <c r="R143" s="10"/>
    </row>
    <row r="144" spans="1:18" ht="24.95" customHeight="1" x14ac:dyDescent="0.25">
      <c r="A144" s="10"/>
      <c r="B144" s="10"/>
      <c r="C144" s="10"/>
      <c r="D144" s="10"/>
      <c r="E144" s="10"/>
      <c r="F144" s="10"/>
      <c r="G144" s="10"/>
      <c r="H144" s="13"/>
      <c r="I144" s="10"/>
      <c r="J144" s="10"/>
      <c r="K144" s="10"/>
      <c r="L144" s="10"/>
      <c r="M144" s="10"/>
      <c r="N144" s="11"/>
      <c r="O144" s="10"/>
      <c r="P144" s="10"/>
      <c r="Q144" s="10"/>
      <c r="R144" s="10"/>
    </row>
    <row r="145" spans="1:18" ht="24.95" customHeight="1" x14ac:dyDescent="0.25">
      <c r="A145" s="10"/>
      <c r="B145" s="10"/>
      <c r="C145" s="10"/>
      <c r="D145" s="10"/>
      <c r="E145" s="10"/>
      <c r="F145" s="10"/>
      <c r="G145" s="10"/>
      <c r="H145" s="13"/>
      <c r="I145" s="10"/>
      <c r="J145" s="10"/>
      <c r="K145" s="10"/>
      <c r="L145" s="10"/>
      <c r="M145" s="10"/>
      <c r="N145" s="11"/>
      <c r="O145" s="10"/>
      <c r="P145" s="10"/>
      <c r="Q145" s="10"/>
      <c r="R145" s="10"/>
    </row>
    <row r="146" spans="1:18" ht="24.95" customHeight="1" x14ac:dyDescent="0.25">
      <c r="A146" s="10"/>
      <c r="B146" s="10"/>
      <c r="C146" s="10"/>
      <c r="D146" s="10"/>
      <c r="E146" s="10"/>
      <c r="F146" s="10"/>
      <c r="G146" s="10"/>
      <c r="H146" s="13"/>
      <c r="I146" s="10"/>
      <c r="J146" s="10"/>
      <c r="K146" s="10"/>
      <c r="L146" s="10"/>
      <c r="M146" s="10"/>
      <c r="N146" s="11"/>
      <c r="O146" s="10"/>
      <c r="P146" s="10"/>
      <c r="Q146" s="10"/>
      <c r="R146" s="10"/>
    </row>
    <row r="147" spans="1:18" ht="24.95" customHeight="1" x14ac:dyDescent="0.25">
      <c r="A147" s="10"/>
      <c r="B147" s="10"/>
      <c r="C147" s="10"/>
      <c r="D147" s="10"/>
      <c r="E147" s="10"/>
      <c r="F147" s="10"/>
      <c r="G147" s="10"/>
      <c r="H147" s="13"/>
      <c r="I147" s="10"/>
      <c r="J147" s="10"/>
      <c r="K147" s="10"/>
      <c r="L147" s="10"/>
      <c r="M147" s="10"/>
      <c r="N147" s="11"/>
      <c r="O147" s="10"/>
      <c r="P147" s="10"/>
      <c r="Q147" s="10"/>
      <c r="R147" s="10"/>
    </row>
    <row r="148" spans="1:18" ht="24.95" customHeight="1" x14ac:dyDescent="0.25">
      <c r="A148" s="10"/>
      <c r="B148" s="10"/>
      <c r="C148" s="10"/>
      <c r="D148" s="10"/>
      <c r="E148" s="10"/>
      <c r="F148" s="10"/>
      <c r="G148" s="10"/>
      <c r="H148" s="13"/>
      <c r="I148" s="10"/>
      <c r="J148" s="10"/>
      <c r="K148" s="10"/>
      <c r="L148" s="10"/>
      <c r="M148" s="10"/>
      <c r="N148" s="11"/>
      <c r="O148" s="10"/>
      <c r="P148" s="10"/>
      <c r="Q148" s="10"/>
      <c r="R148" s="10"/>
    </row>
    <row r="149" spans="1:18" ht="24.95" customHeight="1" x14ac:dyDescent="0.25">
      <c r="A149" s="10"/>
      <c r="B149" s="10"/>
      <c r="C149" s="10"/>
      <c r="D149" s="10"/>
      <c r="E149" s="10"/>
      <c r="F149" s="10"/>
      <c r="G149" s="10"/>
      <c r="H149" s="13"/>
      <c r="I149" s="10"/>
      <c r="J149" s="10"/>
      <c r="K149" s="10"/>
      <c r="L149" s="10"/>
      <c r="M149" s="10"/>
      <c r="N149" s="11"/>
      <c r="O149" s="10"/>
      <c r="P149" s="10"/>
      <c r="Q149" s="10"/>
      <c r="R149" s="10"/>
    </row>
    <row r="150" spans="1:18" ht="24.95" customHeight="1" x14ac:dyDescent="0.25">
      <c r="A150" s="10"/>
      <c r="B150" s="10"/>
      <c r="C150" s="10"/>
      <c r="D150" s="10"/>
      <c r="E150" s="10"/>
      <c r="F150" s="10"/>
      <c r="G150" s="10"/>
      <c r="H150" s="13"/>
      <c r="I150" s="10"/>
      <c r="J150" s="10"/>
      <c r="K150" s="10"/>
      <c r="L150" s="10"/>
      <c r="M150" s="10"/>
      <c r="N150" s="11"/>
      <c r="O150" s="10"/>
      <c r="P150" s="10"/>
      <c r="Q150" s="10"/>
      <c r="R150" s="10"/>
    </row>
    <row r="151" spans="1:18" ht="24.95" customHeight="1" x14ac:dyDescent="0.25">
      <c r="A151" s="10"/>
      <c r="B151" s="10"/>
      <c r="C151" s="10"/>
      <c r="D151" s="10"/>
      <c r="E151" s="10"/>
      <c r="F151" s="10"/>
      <c r="G151" s="10"/>
      <c r="H151" s="13"/>
      <c r="I151" s="10"/>
      <c r="J151" s="10"/>
      <c r="K151" s="10"/>
      <c r="L151" s="10"/>
      <c r="M151" s="10"/>
      <c r="N151" s="11"/>
      <c r="O151" s="10"/>
      <c r="P151" s="10"/>
      <c r="Q151" s="10"/>
      <c r="R151" s="10"/>
    </row>
    <row r="152" spans="1:18" ht="24.95" customHeight="1" x14ac:dyDescent="0.25">
      <c r="A152" s="10"/>
      <c r="B152" s="10"/>
      <c r="C152" s="10"/>
      <c r="D152" s="10"/>
      <c r="E152" s="10"/>
      <c r="F152" s="10"/>
      <c r="G152" s="10"/>
      <c r="H152" s="13"/>
      <c r="I152" s="10"/>
      <c r="J152" s="10"/>
      <c r="K152" s="10"/>
      <c r="L152" s="10"/>
      <c r="M152" s="10"/>
      <c r="N152" s="11"/>
      <c r="O152" s="10"/>
      <c r="P152" s="10"/>
      <c r="Q152" s="10"/>
      <c r="R152" s="10"/>
    </row>
    <row r="153" spans="1:18" ht="24.95" customHeight="1" x14ac:dyDescent="0.25">
      <c r="A153" s="10"/>
      <c r="B153" s="10"/>
      <c r="C153" s="10"/>
      <c r="D153" s="10"/>
      <c r="E153" s="10"/>
      <c r="F153" s="10"/>
      <c r="G153" s="10"/>
      <c r="H153" s="13"/>
      <c r="I153" s="10"/>
      <c r="J153" s="10"/>
      <c r="K153" s="10"/>
      <c r="L153" s="10"/>
      <c r="M153" s="10"/>
      <c r="N153" s="11"/>
      <c r="O153" s="10"/>
      <c r="P153" s="10"/>
      <c r="Q153" s="10"/>
      <c r="R153" s="10"/>
    </row>
    <row r="154" spans="1:18" ht="24.95" customHeight="1" x14ac:dyDescent="0.25">
      <c r="A154" s="10"/>
      <c r="B154" s="10"/>
      <c r="C154" s="10"/>
      <c r="D154" s="10"/>
      <c r="E154" s="10"/>
      <c r="F154" s="10"/>
      <c r="G154" s="10"/>
      <c r="H154" s="13"/>
      <c r="I154" s="10"/>
      <c r="J154" s="10"/>
      <c r="K154" s="10"/>
      <c r="L154" s="10"/>
      <c r="M154" s="10"/>
      <c r="N154" s="11"/>
      <c r="O154" s="10"/>
      <c r="P154" s="10"/>
      <c r="Q154" s="10"/>
      <c r="R154" s="10"/>
    </row>
    <row r="155" spans="1:18" ht="24.95" customHeight="1" x14ac:dyDescent="0.25">
      <c r="A155" s="10"/>
      <c r="B155" s="10"/>
      <c r="C155" s="10"/>
      <c r="D155" s="10"/>
      <c r="E155" s="10"/>
      <c r="F155" s="10"/>
      <c r="G155" s="10"/>
      <c r="H155" s="13"/>
      <c r="I155" s="10"/>
      <c r="J155" s="10"/>
      <c r="K155" s="10"/>
      <c r="L155" s="10"/>
      <c r="M155" s="10"/>
      <c r="N155" s="11"/>
      <c r="O155" s="10"/>
      <c r="P155" s="10"/>
      <c r="Q155" s="10"/>
      <c r="R155" s="10"/>
    </row>
    <row r="156" spans="1:18" ht="24.95" customHeight="1" x14ac:dyDescent="0.25">
      <c r="A156" s="10"/>
      <c r="B156" s="10"/>
      <c r="C156" s="10"/>
      <c r="D156" s="10"/>
      <c r="E156" s="10"/>
      <c r="F156" s="10"/>
      <c r="G156" s="10"/>
      <c r="H156" s="13"/>
      <c r="I156" s="10"/>
      <c r="J156" s="10"/>
      <c r="K156" s="10"/>
      <c r="L156" s="10"/>
      <c r="M156" s="10"/>
      <c r="N156" s="11"/>
      <c r="O156" s="10"/>
      <c r="P156" s="10"/>
      <c r="Q156" s="10"/>
      <c r="R156" s="10"/>
    </row>
    <row r="157" spans="1:18" ht="24.95" customHeight="1" x14ac:dyDescent="0.25">
      <c r="A157" s="10"/>
      <c r="B157" s="10"/>
      <c r="C157" s="10"/>
      <c r="D157" s="10"/>
      <c r="E157" s="10"/>
      <c r="F157" s="10"/>
      <c r="G157" s="10"/>
      <c r="H157" s="13"/>
      <c r="I157" s="10"/>
      <c r="J157" s="10"/>
      <c r="K157" s="10"/>
      <c r="L157" s="10"/>
      <c r="M157" s="10"/>
      <c r="N157" s="11"/>
      <c r="O157" s="10"/>
      <c r="P157" s="10"/>
      <c r="Q157" s="10"/>
      <c r="R157" s="10"/>
    </row>
    <row r="158" spans="1:18" ht="24.95" customHeight="1" x14ac:dyDescent="0.25">
      <c r="A158" s="10"/>
      <c r="B158" s="10"/>
      <c r="C158" s="10"/>
      <c r="D158" s="10"/>
      <c r="E158" s="10"/>
      <c r="F158" s="10"/>
      <c r="G158" s="10"/>
      <c r="H158" s="13"/>
      <c r="I158" s="10"/>
      <c r="J158" s="10"/>
      <c r="K158" s="10"/>
      <c r="L158" s="10"/>
      <c r="M158" s="10"/>
      <c r="N158" s="11"/>
      <c r="O158" s="10"/>
      <c r="P158" s="10"/>
      <c r="Q158" s="10"/>
      <c r="R158" s="10"/>
    </row>
    <row r="159" spans="1:18" ht="24.95" customHeight="1" x14ac:dyDescent="0.25">
      <c r="A159" s="10"/>
      <c r="B159" s="10"/>
      <c r="C159" s="10"/>
      <c r="D159" s="10"/>
      <c r="E159" s="10"/>
      <c r="F159" s="10"/>
      <c r="G159" s="10"/>
      <c r="H159" s="13"/>
      <c r="I159" s="10"/>
      <c r="J159" s="10"/>
      <c r="K159" s="10"/>
      <c r="L159" s="10"/>
      <c r="M159" s="10"/>
      <c r="N159" s="11"/>
      <c r="O159" s="10"/>
      <c r="P159" s="10"/>
      <c r="Q159" s="10"/>
      <c r="R159" s="10"/>
    </row>
    <row r="160" spans="1:18" ht="24.95" customHeight="1" x14ac:dyDescent="0.25">
      <c r="A160" s="10"/>
      <c r="B160" s="10"/>
      <c r="C160" s="10"/>
      <c r="D160" s="10"/>
      <c r="E160" s="10"/>
      <c r="F160" s="10"/>
      <c r="G160" s="10"/>
      <c r="H160" s="13"/>
      <c r="I160" s="10"/>
      <c r="J160" s="10"/>
      <c r="K160" s="10"/>
      <c r="L160" s="10"/>
      <c r="M160" s="10"/>
      <c r="N160" s="11"/>
      <c r="O160" s="10"/>
      <c r="P160" s="10"/>
      <c r="Q160" s="10"/>
      <c r="R160" s="10"/>
    </row>
    <row r="161" spans="1:18" ht="24.95" customHeight="1" x14ac:dyDescent="0.25">
      <c r="A161" s="10"/>
      <c r="B161" s="10"/>
      <c r="C161" s="10"/>
      <c r="D161" s="10"/>
      <c r="E161" s="10"/>
      <c r="F161" s="10"/>
      <c r="G161" s="10"/>
      <c r="H161" s="13"/>
      <c r="I161" s="10"/>
      <c r="J161" s="10"/>
      <c r="K161" s="10"/>
      <c r="L161" s="10"/>
      <c r="M161" s="10"/>
      <c r="N161" s="11"/>
      <c r="O161" s="10"/>
      <c r="P161" s="10"/>
      <c r="Q161" s="10"/>
      <c r="R161" s="10"/>
    </row>
    <row r="162" spans="1:18" ht="24.95" customHeight="1" x14ac:dyDescent="0.25">
      <c r="A162" s="10"/>
      <c r="B162" s="10"/>
      <c r="C162" s="10"/>
      <c r="D162" s="10"/>
      <c r="E162" s="10"/>
      <c r="F162" s="10"/>
      <c r="G162" s="10"/>
      <c r="H162" s="13"/>
      <c r="I162" s="10"/>
      <c r="J162" s="10"/>
      <c r="K162" s="10"/>
      <c r="L162" s="10"/>
      <c r="M162" s="10"/>
      <c r="N162" s="11"/>
      <c r="O162" s="10"/>
      <c r="P162" s="10"/>
      <c r="Q162" s="10"/>
      <c r="R162" s="10"/>
    </row>
    <row r="163" spans="1:18" ht="24.95" customHeight="1" x14ac:dyDescent="0.25">
      <c r="A163" s="10"/>
      <c r="B163" s="10"/>
      <c r="C163" s="10"/>
      <c r="D163" s="10"/>
      <c r="E163" s="10"/>
      <c r="F163" s="10"/>
      <c r="G163" s="10"/>
      <c r="H163" s="13"/>
      <c r="I163" s="10"/>
      <c r="J163" s="10"/>
      <c r="K163" s="10"/>
      <c r="L163" s="10"/>
      <c r="M163" s="10"/>
      <c r="N163" s="11"/>
      <c r="O163" s="10"/>
      <c r="P163" s="10"/>
      <c r="Q163" s="10"/>
      <c r="R163" s="10"/>
    </row>
    <row r="164" spans="1:18" ht="24.95" customHeight="1" x14ac:dyDescent="0.25">
      <c r="A164" s="10"/>
      <c r="B164" s="10"/>
      <c r="C164" s="10"/>
      <c r="D164" s="10"/>
      <c r="E164" s="10"/>
      <c r="F164" s="10"/>
      <c r="G164" s="10"/>
      <c r="H164" s="13"/>
      <c r="I164" s="10"/>
      <c r="J164" s="10"/>
      <c r="K164" s="10"/>
      <c r="L164" s="10"/>
      <c r="M164" s="10"/>
      <c r="N164" s="11"/>
      <c r="O164" s="10"/>
      <c r="P164" s="10"/>
      <c r="Q164" s="10"/>
      <c r="R164" s="10"/>
    </row>
    <row r="165" spans="1:18" ht="24.95" customHeight="1" x14ac:dyDescent="0.25">
      <c r="A165" s="10"/>
      <c r="B165" s="10"/>
      <c r="C165" s="10"/>
      <c r="D165" s="10"/>
      <c r="E165" s="10"/>
      <c r="F165" s="10"/>
      <c r="G165" s="10"/>
      <c r="H165" s="13"/>
      <c r="I165" s="10"/>
      <c r="J165" s="10"/>
      <c r="K165" s="10"/>
      <c r="L165" s="10"/>
      <c r="M165" s="10"/>
      <c r="N165" s="11"/>
      <c r="O165" s="10"/>
      <c r="P165" s="10"/>
      <c r="Q165" s="10"/>
      <c r="R165" s="10"/>
    </row>
    <row r="166" spans="1:18" ht="24.95" customHeight="1" x14ac:dyDescent="0.25">
      <c r="A166" s="10"/>
      <c r="B166" s="10"/>
      <c r="C166" s="10"/>
      <c r="D166" s="10"/>
      <c r="E166" s="10"/>
      <c r="F166" s="10"/>
      <c r="G166" s="10"/>
      <c r="H166" s="13"/>
      <c r="I166" s="10"/>
      <c r="J166" s="10"/>
      <c r="K166" s="10"/>
      <c r="L166" s="10"/>
      <c r="M166" s="10"/>
      <c r="N166" s="11"/>
      <c r="O166" s="10"/>
      <c r="P166" s="10"/>
      <c r="Q166" s="10"/>
      <c r="R166" s="10"/>
    </row>
    <row r="167" spans="1:18" ht="24.95" customHeight="1" x14ac:dyDescent="0.25">
      <c r="A167" s="10"/>
      <c r="B167" s="10"/>
      <c r="C167" s="10"/>
      <c r="D167" s="10"/>
      <c r="E167" s="10"/>
      <c r="F167" s="10"/>
      <c r="G167" s="10"/>
      <c r="H167" s="13"/>
      <c r="I167" s="10"/>
      <c r="J167" s="10"/>
      <c r="K167" s="10"/>
      <c r="L167" s="10"/>
      <c r="M167" s="10"/>
      <c r="N167" s="11"/>
      <c r="O167" s="10"/>
      <c r="P167" s="10"/>
      <c r="Q167" s="10"/>
      <c r="R167" s="10"/>
    </row>
    <row r="168" spans="1:18" ht="24.95" customHeight="1" x14ac:dyDescent="0.25">
      <c r="A168" s="10"/>
      <c r="B168" s="10"/>
      <c r="C168" s="10"/>
      <c r="D168" s="10"/>
      <c r="E168" s="10"/>
      <c r="F168" s="10"/>
      <c r="G168" s="10"/>
      <c r="H168" s="13"/>
      <c r="I168" s="10"/>
      <c r="J168" s="10"/>
      <c r="K168" s="10"/>
      <c r="L168" s="10"/>
      <c r="M168" s="10"/>
      <c r="N168" s="11"/>
      <c r="O168" s="10"/>
      <c r="P168" s="10"/>
      <c r="Q168" s="10"/>
      <c r="R168" s="10"/>
    </row>
    <row r="169" spans="1:18" ht="24.95" customHeight="1" x14ac:dyDescent="0.25">
      <c r="A169" s="10"/>
      <c r="B169" s="10"/>
      <c r="C169" s="10"/>
      <c r="D169" s="10"/>
      <c r="E169" s="10"/>
      <c r="F169" s="10"/>
      <c r="G169" s="10"/>
      <c r="H169" s="13"/>
      <c r="I169" s="10"/>
      <c r="J169" s="10"/>
      <c r="K169" s="10"/>
      <c r="L169" s="10"/>
      <c r="M169" s="10"/>
      <c r="N169" s="11"/>
      <c r="O169" s="10"/>
      <c r="P169" s="10"/>
      <c r="Q169" s="10"/>
      <c r="R169" s="10"/>
    </row>
    <row r="170" spans="1:18" ht="24.95" customHeight="1" x14ac:dyDescent="0.25">
      <c r="A170" s="10"/>
      <c r="B170" s="10"/>
      <c r="C170" s="10"/>
      <c r="D170" s="10"/>
      <c r="E170" s="10"/>
      <c r="F170" s="10"/>
      <c r="G170" s="10"/>
      <c r="H170" s="13"/>
      <c r="I170" s="10"/>
      <c r="J170" s="10"/>
      <c r="K170" s="10"/>
      <c r="L170" s="10"/>
      <c r="M170" s="10"/>
      <c r="N170" s="11"/>
      <c r="O170" s="10"/>
      <c r="P170" s="10"/>
      <c r="Q170" s="10"/>
      <c r="R170" s="10"/>
    </row>
    <row r="171" spans="1:18" ht="24.95" customHeight="1" x14ac:dyDescent="0.25">
      <c r="A171" s="10"/>
      <c r="B171" s="10"/>
      <c r="C171" s="10"/>
      <c r="D171" s="10"/>
      <c r="E171" s="10"/>
      <c r="F171" s="10"/>
      <c r="G171" s="10"/>
      <c r="H171" s="13"/>
      <c r="I171" s="10"/>
      <c r="J171" s="10"/>
      <c r="K171" s="10"/>
      <c r="L171" s="10"/>
      <c r="M171" s="10"/>
      <c r="N171" s="11"/>
      <c r="O171" s="10"/>
      <c r="P171" s="10"/>
      <c r="Q171" s="10"/>
      <c r="R171" s="10"/>
    </row>
    <row r="172" spans="1:18" ht="24.95" customHeight="1" x14ac:dyDescent="0.25">
      <c r="A172" s="10"/>
      <c r="B172" s="10"/>
      <c r="C172" s="10"/>
      <c r="D172" s="10"/>
      <c r="E172" s="10"/>
      <c r="F172" s="10"/>
      <c r="G172" s="10"/>
      <c r="H172" s="13"/>
      <c r="I172" s="10"/>
      <c r="J172" s="10"/>
      <c r="K172" s="10"/>
      <c r="L172" s="10"/>
      <c r="M172" s="10"/>
      <c r="N172" s="11"/>
      <c r="O172" s="10"/>
      <c r="P172" s="10"/>
      <c r="Q172" s="10"/>
      <c r="R172" s="10"/>
    </row>
    <row r="173" spans="1:18" ht="24.95" customHeight="1" x14ac:dyDescent="0.25">
      <c r="A173" s="10"/>
      <c r="B173" s="10"/>
      <c r="C173" s="10"/>
      <c r="D173" s="10"/>
      <c r="E173" s="10"/>
      <c r="F173" s="10"/>
      <c r="G173" s="10"/>
      <c r="H173" s="13"/>
      <c r="I173" s="10"/>
      <c r="J173" s="10"/>
      <c r="K173" s="10"/>
      <c r="L173" s="10"/>
      <c r="M173" s="10"/>
      <c r="N173" s="11"/>
      <c r="O173" s="10"/>
      <c r="P173" s="10"/>
      <c r="Q173" s="10"/>
      <c r="R173" s="10"/>
    </row>
    <row r="174" spans="1:18" ht="24.95" customHeight="1" x14ac:dyDescent="0.25">
      <c r="A174" s="10"/>
      <c r="B174" s="10"/>
      <c r="C174" s="10"/>
      <c r="D174" s="10"/>
      <c r="E174" s="10"/>
      <c r="F174" s="10"/>
      <c r="G174" s="10"/>
      <c r="H174" s="13"/>
      <c r="I174" s="10"/>
      <c r="J174" s="10"/>
      <c r="K174" s="10"/>
      <c r="L174" s="10"/>
      <c r="M174" s="10"/>
      <c r="N174" s="11"/>
      <c r="O174" s="10"/>
      <c r="P174" s="10"/>
      <c r="Q174" s="10"/>
      <c r="R174" s="10"/>
    </row>
    <row r="175" spans="1:18" ht="24.95" customHeight="1" x14ac:dyDescent="0.25">
      <c r="A175" s="10"/>
      <c r="B175" s="10"/>
      <c r="C175" s="10"/>
      <c r="D175" s="10"/>
      <c r="E175" s="10"/>
      <c r="F175" s="10"/>
      <c r="G175" s="10"/>
      <c r="H175" s="13"/>
      <c r="I175" s="10"/>
      <c r="J175" s="10"/>
      <c r="K175" s="10"/>
      <c r="L175" s="10"/>
      <c r="M175" s="10"/>
      <c r="N175" s="11"/>
      <c r="O175" s="10"/>
      <c r="P175" s="10"/>
      <c r="Q175" s="10"/>
      <c r="R175" s="10"/>
    </row>
    <row r="176" spans="1:18" ht="24.95" customHeight="1" x14ac:dyDescent="0.25">
      <c r="A176" s="10"/>
      <c r="B176" s="10"/>
      <c r="C176" s="10"/>
      <c r="D176" s="10"/>
      <c r="E176" s="10"/>
      <c r="F176" s="10"/>
      <c r="G176" s="10"/>
      <c r="H176" s="13"/>
      <c r="I176" s="10"/>
      <c r="J176" s="10"/>
      <c r="K176" s="10"/>
      <c r="L176" s="10"/>
      <c r="M176" s="10"/>
      <c r="N176" s="11"/>
      <c r="O176" s="10"/>
      <c r="P176" s="10"/>
      <c r="Q176" s="10"/>
      <c r="R176" s="10"/>
    </row>
    <row r="177" spans="1:18" ht="24.95" customHeight="1" x14ac:dyDescent="0.25">
      <c r="A177" s="10"/>
      <c r="B177" s="10"/>
      <c r="C177" s="10"/>
      <c r="D177" s="10"/>
      <c r="E177" s="10"/>
      <c r="F177" s="10"/>
      <c r="G177" s="10"/>
      <c r="H177" s="13"/>
      <c r="I177" s="10"/>
      <c r="J177" s="10"/>
      <c r="K177" s="10"/>
      <c r="L177" s="10"/>
      <c r="M177" s="10"/>
      <c r="N177" s="11"/>
      <c r="O177" s="10"/>
      <c r="P177" s="10"/>
      <c r="Q177" s="10"/>
      <c r="R177" s="10"/>
    </row>
    <row r="178" spans="1:18" ht="24.95" customHeight="1" x14ac:dyDescent="0.25">
      <c r="A178" s="10"/>
      <c r="B178" s="10"/>
      <c r="C178" s="10"/>
      <c r="D178" s="10"/>
      <c r="E178" s="10"/>
      <c r="F178" s="10"/>
      <c r="G178" s="10"/>
      <c r="H178" s="13"/>
      <c r="I178" s="10"/>
      <c r="J178" s="10"/>
      <c r="K178" s="10"/>
      <c r="L178" s="10"/>
      <c r="M178" s="10"/>
      <c r="N178" s="11"/>
      <c r="O178" s="10"/>
      <c r="P178" s="10"/>
      <c r="Q178" s="10"/>
      <c r="R178" s="10"/>
    </row>
    <row r="179" spans="1:18" ht="24.95" customHeight="1" x14ac:dyDescent="0.25">
      <c r="A179" s="10"/>
      <c r="B179" s="10"/>
      <c r="C179" s="10"/>
      <c r="D179" s="10"/>
      <c r="E179" s="10"/>
      <c r="F179" s="10"/>
      <c r="G179" s="10"/>
      <c r="H179" s="13"/>
      <c r="I179" s="10"/>
      <c r="J179" s="10"/>
      <c r="K179" s="10"/>
      <c r="L179" s="10"/>
      <c r="M179" s="10"/>
      <c r="N179" s="11"/>
      <c r="O179" s="10"/>
      <c r="P179" s="10"/>
      <c r="Q179" s="10"/>
      <c r="R179" s="10"/>
    </row>
    <row r="180" spans="1:18" ht="24.95" customHeight="1" x14ac:dyDescent="0.25">
      <c r="A180" s="10"/>
      <c r="B180" s="10"/>
      <c r="C180" s="10"/>
      <c r="D180" s="10"/>
      <c r="E180" s="10"/>
      <c r="F180" s="10"/>
      <c r="G180" s="10"/>
      <c r="H180" s="13"/>
      <c r="I180" s="10"/>
      <c r="J180" s="10"/>
      <c r="K180" s="10"/>
      <c r="L180" s="10"/>
      <c r="M180" s="10"/>
      <c r="N180" s="11"/>
      <c r="O180" s="10"/>
      <c r="P180" s="10"/>
      <c r="Q180" s="10"/>
      <c r="R180" s="10"/>
    </row>
    <row r="181" spans="1:18" ht="24.95" customHeight="1" x14ac:dyDescent="0.25">
      <c r="A181" s="10"/>
      <c r="B181" s="10"/>
      <c r="C181" s="10"/>
      <c r="D181" s="10"/>
      <c r="E181" s="10"/>
      <c r="F181" s="10"/>
      <c r="G181" s="10"/>
      <c r="H181" s="13"/>
      <c r="I181" s="10"/>
      <c r="J181" s="10"/>
      <c r="K181" s="10"/>
      <c r="L181" s="10"/>
      <c r="M181" s="10"/>
      <c r="N181" s="11"/>
      <c r="O181" s="10"/>
      <c r="P181" s="10"/>
      <c r="Q181" s="10"/>
      <c r="R181" s="10"/>
    </row>
    <row r="182" spans="1:18" ht="24.95" customHeight="1" x14ac:dyDescent="0.25">
      <c r="A182" s="10"/>
      <c r="B182" s="10"/>
      <c r="C182" s="10"/>
      <c r="D182" s="10"/>
      <c r="E182" s="10"/>
      <c r="F182" s="10"/>
      <c r="G182" s="10"/>
      <c r="H182" s="13"/>
      <c r="I182" s="10"/>
      <c r="J182" s="10"/>
      <c r="K182" s="10"/>
      <c r="L182" s="10"/>
      <c r="M182" s="10"/>
      <c r="N182" s="11"/>
      <c r="O182" s="10"/>
      <c r="P182" s="10"/>
      <c r="Q182" s="10"/>
      <c r="R182" s="10"/>
    </row>
    <row r="183" spans="1:18" ht="24.95" customHeight="1" x14ac:dyDescent="0.25">
      <c r="A183" s="10"/>
      <c r="B183" s="10"/>
      <c r="C183" s="10"/>
      <c r="D183" s="10"/>
      <c r="E183" s="10"/>
      <c r="F183" s="10"/>
      <c r="G183" s="10"/>
      <c r="H183" s="13"/>
      <c r="I183" s="10"/>
      <c r="J183" s="10"/>
      <c r="K183" s="10"/>
      <c r="L183" s="10"/>
      <c r="M183" s="10"/>
      <c r="N183" s="11"/>
      <c r="O183" s="10"/>
      <c r="P183" s="10"/>
      <c r="Q183" s="10"/>
      <c r="R183" s="10"/>
    </row>
    <row r="184" spans="1:18" ht="24.95" customHeight="1" x14ac:dyDescent="0.25">
      <c r="A184" s="10"/>
      <c r="B184" s="10"/>
      <c r="C184" s="10"/>
      <c r="D184" s="10"/>
      <c r="E184" s="10"/>
      <c r="F184" s="10"/>
      <c r="G184" s="10"/>
      <c r="H184" s="13"/>
      <c r="I184" s="10"/>
      <c r="J184" s="10"/>
      <c r="K184" s="10"/>
      <c r="L184" s="10"/>
      <c r="M184" s="10"/>
      <c r="N184" s="11"/>
      <c r="O184" s="10"/>
      <c r="P184" s="10"/>
      <c r="Q184" s="10"/>
      <c r="R184" s="10"/>
    </row>
    <row r="185" spans="1:18" ht="24.95" customHeight="1" x14ac:dyDescent="0.25">
      <c r="A185" s="10"/>
      <c r="B185" s="10"/>
      <c r="C185" s="10"/>
      <c r="D185" s="10"/>
      <c r="E185" s="10"/>
      <c r="F185" s="10"/>
      <c r="G185" s="10"/>
      <c r="H185" s="13"/>
      <c r="I185" s="10"/>
      <c r="J185" s="10"/>
      <c r="K185" s="10"/>
      <c r="L185" s="10"/>
      <c r="M185" s="10"/>
      <c r="N185" s="11"/>
      <c r="O185" s="10"/>
      <c r="P185" s="10"/>
      <c r="Q185" s="10"/>
      <c r="R185" s="10"/>
    </row>
    <row r="186" spans="1:18" ht="24.95" customHeight="1" x14ac:dyDescent="0.25">
      <c r="A186" s="10"/>
      <c r="B186" s="10"/>
      <c r="C186" s="10"/>
      <c r="D186" s="10"/>
      <c r="E186" s="10"/>
      <c r="F186" s="10"/>
      <c r="G186" s="10"/>
      <c r="H186" s="13"/>
      <c r="I186" s="10"/>
      <c r="J186" s="10"/>
      <c r="K186" s="10"/>
      <c r="L186" s="10"/>
      <c r="M186" s="10"/>
      <c r="N186" s="11"/>
      <c r="O186" s="10"/>
      <c r="P186" s="10"/>
      <c r="Q186" s="10"/>
      <c r="R186" s="10"/>
    </row>
    <row r="187" spans="1:18" ht="24.95" customHeight="1" x14ac:dyDescent="0.25">
      <c r="A187" s="10"/>
      <c r="B187" s="10"/>
      <c r="C187" s="10"/>
      <c r="D187" s="10"/>
      <c r="E187" s="10"/>
      <c r="F187" s="10"/>
      <c r="G187" s="10"/>
      <c r="H187" s="13"/>
      <c r="I187" s="10"/>
      <c r="J187" s="10"/>
      <c r="K187" s="10"/>
      <c r="L187" s="10"/>
      <c r="M187" s="10"/>
      <c r="N187" s="11"/>
      <c r="O187" s="10"/>
      <c r="P187" s="10"/>
      <c r="Q187" s="10"/>
      <c r="R187" s="10"/>
    </row>
    <row r="188" spans="1:18" ht="24.95" customHeight="1" x14ac:dyDescent="0.25">
      <c r="A188" s="10"/>
      <c r="B188" s="10"/>
      <c r="C188" s="10"/>
      <c r="D188" s="10"/>
      <c r="E188" s="10"/>
      <c r="F188" s="10"/>
      <c r="G188" s="10"/>
      <c r="H188" s="13"/>
      <c r="I188" s="10"/>
      <c r="J188" s="10"/>
      <c r="K188" s="10"/>
      <c r="L188" s="10"/>
      <c r="M188" s="10"/>
      <c r="N188" s="11"/>
      <c r="O188" s="10"/>
      <c r="P188" s="10"/>
      <c r="Q188" s="10"/>
      <c r="R188" s="10"/>
    </row>
    <row r="189" spans="1:18" ht="24.95" customHeight="1" x14ac:dyDescent="0.25">
      <c r="A189" s="10"/>
      <c r="B189" s="10"/>
      <c r="C189" s="10"/>
      <c r="D189" s="10"/>
      <c r="E189" s="10"/>
      <c r="F189" s="10"/>
      <c r="G189" s="10"/>
      <c r="H189" s="13"/>
      <c r="I189" s="10"/>
      <c r="J189" s="10"/>
      <c r="K189" s="10"/>
      <c r="L189" s="10"/>
      <c r="M189" s="10"/>
      <c r="N189" s="11"/>
      <c r="O189" s="10"/>
      <c r="P189" s="10"/>
      <c r="Q189" s="10"/>
      <c r="R189" s="10"/>
    </row>
    <row r="190" spans="1:18" ht="24.95" customHeight="1" x14ac:dyDescent="0.25">
      <c r="A190" s="10"/>
      <c r="B190" s="10"/>
      <c r="C190" s="10"/>
      <c r="D190" s="10"/>
      <c r="E190" s="10"/>
      <c r="F190" s="10"/>
      <c r="G190" s="10"/>
      <c r="H190" s="13"/>
      <c r="I190" s="10"/>
      <c r="J190" s="10"/>
      <c r="K190" s="10"/>
      <c r="L190" s="10"/>
      <c r="M190" s="10"/>
      <c r="N190" s="11"/>
      <c r="O190" s="10"/>
      <c r="P190" s="10"/>
      <c r="Q190" s="10"/>
      <c r="R190" s="10"/>
    </row>
    <row r="191" spans="1:18" ht="24.95" customHeight="1" x14ac:dyDescent="0.25">
      <c r="A191" s="10"/>
      <c r="B191" s="10"/>
      <c r="C191" s="10"/>
      <c r="D191" s="10"/>
      <c r="E191" s="10"/>
      <c r="F191" s="10"/>
      <c r="G191" s="10"/>
      <c r="H191" s="13"/>
      <c r="I191" s="10"/>
      <c r="J191" s="10"/>
      <c r="K191" s="10"/>
      <c r="L191" s="10"/>
      <c r="M191" s="10"/>
      <c r="N191" s="11"/>
      <c r="O191" s="10"/>
      <c r="P191" s="10"/>
      <c r="Q191" s="10"/>
      <c r="R191" s="10"/>
    </row>
    <row r="192" spans="1:18" ht="24.95" customHeight="1" x14ac:dyDescent="0.25">
      <c r="A192" s="10"/>
      <c r="B192" s="10"/>
      <c r="C192" s="10"/>
      <c r="D192" s="10"/>
      <c r="E192" s="10"/>
      <c r="F192" s="10"/>
      <c r="G192" s="10"/>
      <c r="H192" s="13"/>
      <c r="I192" s="10"/>
      <c r="J192" s="10"/>
      <c r="K192" s="10"/>
      <c r="L192" s="10"/>
      <c r="M192" s="10"/>
      <c r="N192" s="11"/>
      <c r="O192" s="10"/>
      <c r="P192" s="10"/>
      <c r="Q192" s="10"/>
      <c r="R192" s="10"/>
    </row>
    <row r="193" spans="1:18" ht="24.95" customHeight="1" x14ac:dyDescent="0.25">
      <c r="A193" s="10"/>
      <c r="B193" s="10"/>
      <c r="C193" s="10"/>
      <c r="D193" s="10"/>
      <c r="E193" s="10"/>
      <c r="F193" s="10"/>
      <c r="G193" s="10"/>
      <c r="H193" s="13"/>
      <c r="I193" s="10"/>
      <c r="J193" s="10"/>
      <c r="K193" s="10"/>
      <c r="L193" s="10"/>
      <c r="M193" s="10"/>
      <c r="N193" s="11"/>
      <c r="O193" s="10"/>
      <c r="P193" s="10"/>
      <c r="Q193" s="10"/>
      <c r="R193" s="10"/>
    </row>
    <row r="194" spans="1:18" ht="24.95" customHeight="1" x14ac:dyDescent="0.25">
      <c r="A194" s="10"/>
      <c r="B194" s="10"/>
      <c r="C194" s="10"/>
      <c r="D194" s="10"/>
      <c r="E194" s="10"/>
      <c r="F194" s="10"/>
      <c r="G194" s="10"/>
      <c r="H194" s="13"/>
      <c r="I194" s="10"/>
      <c r="J194" s="10"/>
      <c r="K194" s="10"/>
      <c r="L194" s="10"/>
      <c r="M194" s="10"/>
      <c r="N194" s="11"/>
      <c r="O194" s="10"/>
      <c r="P194" s="10"/>
      <c r="Q194" s="10"/>
      <c r="R194" s="10"/>
    </row>
    <row r="195" spans="1:18" ht="24.95" customHeight="1" x14ac:dyDescent="0.25">
      <c r="H195" s="13"/>
    </row>
    <row r="196" spans="1:18" ht="24.95" customHeight="1" x14ac:dyDescent="0.25">
      <c r="H196" s="13"/>
    </row>
    <row r="197" spans="1:18" ht="24.95" customHeight="1" x14ac:dyDescent="0.25">
      <c r="H197" s="13"/>
    </row>
    <row r="198" spans="1:18" ht="24.95" customHeight="1" x14ac:dyDescent="0.25">
      <c r="H198" s="13"/>
    </row>
    <row r="199" spans="1:18" ht="24.95" customHeight="1" x14ac:dyDescent="0.25">
      <c r="H199" s="13"/>
    </row>
    <row r="200" spans="1:18" ht="24.95" customHeight="1" x14ac:dyDescent="0.25">
      <c r="A200" s="17"/>
      <c r="G200" s="17"/>
      <c r="H200" s="13"/>
      <c r="I200" s="17"/>
      <c r="J200" s="19"/>
      <c r="K200" s="17"/>
      <c r="L200" s="18"/>
      <c r="M200" s="17"/>
      <c r="N200" s="20"/>
      <c r="O200" s="17"/>
      <c r="P200" s="17"/>
      <c r="Q200" s="20"/>
      <c r="R200" s="26"/>
    </row>
    <row r="201" spans="1:18" ht="24.95" customHeight="1" x14ac:dyDescent="0.25">
      <c r="H201" s="13"/>
    </row>
    <row r="202" spans="1:18" ht="24.95" customHeight="1" x14ac:dyDescent="0.25">
      <c r="H202" s="13"/>
    </row>
    <row r="203" spans="1:18" ht="24.95" customHeight="1" x14ac:dyDescent="0.25">
      <c r="H203" s="13"/>
    </row>
    <row r="204" spans="1:18" ht="24.95" customHeight="1" x14ac:dyDescent="0.25">
      <c r="H204" s="13"/>
    </row>
    <row r="205" spans="1:18" ht="24.95" customHeight="1" x14ac:dyDescent="0.25">
      <c r="H205" s="13"/>
    </row>
    <row r="206" spans="1:18" ht="24.95" customHeight="1" x14ac:dyDescent="0.25">
      <c r="H206" s="13"/>
    </row>
    <row r="207" spans="1:18" ht="24.95" customHeight="1" x14ac:dyDescent="0.25">
      <c r="H207" s="13"/>
    </row>
    <row r="208" spans="1:18" ht="24.95" customHeight="1" x14ac:dyDescent="0.25">
      <c r="H208" s="13"/>
    </row>
    <row r="209" spans="1:18" ht="24.95" customHeight="1" x14ac:dyDescent="0.25">
      <c r="H209" s="13"/>
    </row>
    <row r="210" spans="1:18" ht="24.95" customHeight="1" x14ac:dyDescent="0.25">
      <c r="H210" s="13"/>
    </row>
    <row r="211" spans="1:18" ht="24.95" customHeight="1" x14ac:dyDescent="0.25">
      <c r="H211" s="13"/>
    </row>
    <row r="212" spans="1:18" ht="24.95" customHeight="1" x14ac:dyDescent="0.25">
      <c r="A212" s="17"/>
      <c r="G212" s="17"/>
      <c r="H212" s="13"/>
      <c r="I212" s="17"/>
      <c r="J212" s="19"/>
      <c r="K212" s="17"/>
      <c r="L212" s="18"/>
      <c r="M212" s="17"/>
      <c r="N212" s="20"/>
      <c r="O212" s="17"/>
      <c r="P212" s="17"/>
      <c r="Q212" s="20"/>
      <c r="R212" s="26"/>
    </row>
    <row r="213" spans="1:18" ht="24.95" customHeight="1" x14ac:dyDescent="0.25">
      <c r="A213" s="17"/>
      <c r="G213" s="17"/>
      <c r="H213" s="13"/>
      <c r="I213" s="17"/>
      <c r="J213" s="19"/>
      <c r="K213" s="17"/>
      <c r="L213" s="18"/>
      <c r="M213" s="17"/>
      <c r="N213" s="20"/>
      <c r="O213" s="17"/>
      <c r="P213" s="17"/>
      <c r="Q213" s="20"/>
      <c r="R213" s="26"/>
    </row>
    <row r="214" spans="1:18" ht="24.95" customHeight="1" x14ac:dyDescent="0.25">
      <c r="H214" s="13"/>
    </row>
    <row r="215" spans="1:18" ht="24.95" customHeight="1" x14ac:dyDescent="0.25">
      <c r="H215" s="13"/>
    </row>
    <row r="216" spans="1:18" x14ac:dyDescent="0.25">
      <c r="A216" s="17"/>
      <c r="G216" s="18"/>
      <c r="H216" s="13"/>
      <c r="I216" s="17"/>
      <c r="J216" s="19"/>
      <c r="K216" s="17"/>
      <c r="L216" s="18"/>
      <c r="M216" s="17"/>
      <c r="N216" s="20"/>
      <c r="O216" s="17"/>
      <c r="P216" s="17"/>
      <c r="Q216" s="20"/>
      <c r="R216" s="26"/>
    </row>
    <row r="217" spans="1:18" x14ac:dyDescent="0.25">
      <c r="A217" s="17"/>
      <c r="G217" s="18"/>
      <c r="H217" s="13"/>
      <c r="I217" s="17"/>
      <c r="J217" s="19"/>
      <c r="K217" s="17"/>
      <c r="L217" s="18"/>
      <c r="M217" s="17"/>
      <c r="N217" s="20"/>
      <c r="O217" s="17"/>
      <c r="P217" s="17"/>
      <c r="Q217" s="20"/>
      <c r="R217" s="26"/>
    </row>
    <row r="218" spans="1:18" x14ac:dyDescent="0.25">
      <c r="A218" s="17"/>
      <c r="G218" s="18"/>
      <c r="H218" s="13"/>
      <c r="I218" s="17"/>
      <c r="J218" s="19"/>
      <c r="K218" s="17"/>
      <c r="L218" s="18"/>
      <c r="M218" s="17"/>
      <c r="N218" s="20"/>
      <c r="O218" s="17"/>
      <c r="P218" s="17"/>
      <c r="Q218" s="20"/>
      <c r="R218" s="26"/>
    </row>
    <row r="219" spans="1:18" x14ac:dyDescent="0.25">
      <c r="A219" s="17"/>
      <c r="G219" s="17"/>
      <c r="H219" s="13"/>
      <c r="I219" s="17"/>
      <c r="J219" s="19"/>
      <c r="K219" s="17"/>
      <c r="L219" s="18"/>
      <c r="M219" s="17"/>
      <c r="N219" s="20"/>
      <c r="O219" s="17"/>
      <c r="P219" s="17"/>
      <c r="Q219" s="20"/>
      <c r="R219" s="26"/>
    </row>
    <row r="220" spans="1:18" x14ac:dyDescent="0.25">
      <c r="H220" s="13"/>
    </row>
    <row r="221" spans="1:18" x14ac:dyDescent="0.25">
      <c r="A221" s="17"/>
      <c r="G221" s="17"/>
      <c r="H221" s="13"/>
      <c r="I221" s="17"/>
      <c r="J221" s="19"/>
      <c r="K221" s="17"/>
      <c r="L221" s="18"/>
      <c r="M221" s="17"/>
      <c r="N221" s="20"/>
      <c r="O221" s="17"/>
      <c r="P221" s="17"/>
      <c r="Q221" s="20"/>
      <c r="R221" s="26"/>
    </row>
    <row r="222" spans="1:18" x14ac:dyDescent="0.25">
      <c r="A222" s="17"/>
      <c r="G222" s="18"/>
      <c r="H222" s="13"/>
      <c r="I222" s="17"/>
      <c r="J222" s="19"/>
      <c r="K222" s="17"/>
      <c r="L222" s="18"/>
      <c r="M222" s="17"/>
      <c r="N222" s="20"/>
      <c r="O222" s="17"/>
      <c r="P222" s="17"/>
      <c r="Q222" s="20"/>
      <c r="R222" s="26"/>
    </row>
    <row r="223" spans="1:18" x14ac:dyDescent="0.25">
      <c r="A223" s="17"/>
      <c r="G223" s="18"/>
      <c r="H223" s="13"/>
      <c r="I223" s="17"/>
      <c r="J223" s="19"/>
      <c r="K223" s="17"/>
      <c r="L223" s="18"/>
      <c r="M223" s="17"/>
      <c r="N223" s="20"/>
      <c r="O223" s="17"/>
      <c r="P223" s="17"/>
      <c r="Q223" s="20"/>
      <c r="R223" s="26"/>
    </row>
    <row r="224" spans="1:18" x14ac:dyDescent="0.25">
      <c r="A224" s="17"/>
      <c r="G224" s="18"/>
      <c r="H224" s="13"/>
      <c r="I224" s="17"/>
      <c r="J224" s="19"/>
      <c r="K224" s="17"/>
      <c r="L224" s="18"/>
      <c r="M224" s="17"/>
      <c r="N224" s="20"/>
      <c r="O224" s="17"/>
      <c r="P224" s="17"/>
      <c r="Q224" s="20"/>
      <c r="R224" s="26"/>
    </row>
    <row r="225" spans="1:18" x14ac:dyDescent="0.25">
      <c r="A225" s="17"/>
      <c r="G225" s="18"/>
      <c r="H225" s="13"/>
      <c r="I225" s="17"/>
      <c r="J225" s="19"/>
      <c r="K225" s="17"/>
      <c r="L225" s="18"/>
      <c r="M225" s="17"/>
      <c r="N225" s="20"/>
      <c r="O225" s="17"/>
      <c r="P225" s="17"/>
      <c r="Q225" s="20"/>
      <c r="R225" s="26"/>
    </row>
    <row r="226" spans="1:18" x14ac:dyDescent="0.25">
      <c r="H226" s="13"/>
      <c r="K226" s="13"/>
    </row>
    <row r="227" spans="1:18" x14ac:dyDescent="0.25">
      <c r="A227" s="10"/>
      <c r="B227" s="10"/>
      <c r="C227" s="10"/>
      <c r="D227" s="10"/>
      <c r="E227" s="10"/>
      <c r="F227" s="10"/>
      <c r="G227" s="10"/>
      <c r="H227" s="13"/>
      <c r="K227" s="13"/>
      <c r="L227" s="10"/>
      <c r="M227" s="10"/>
      <c r="N227" s="11"/>
      <c r="O227" s="10"/>
      <c r="P227" s="10"/>
      <c r="Q227" s="10"/>
      <c r="R227" s="10"/>
    </row>
    <row r="228" spans="1:18" x14ac:dyDescent="0.25">
      <c r="A228" s="10"/>
      <c r="B228" s="10"/>
      <c r="C228" s="10"/>
      <c r="D228" s="10"/>
      <c r="E228" s="10"/>
      <c r="F228" s="10"/>
      <c r="G228" s="10"/>
      <c r="H228" s="13"/>
      <c r="K228" s="13"/>
      <c r="L228" s="10"/>
      <c r="M228" s="10"/>
      <c r="N228" s="11"/>
      <c r="O228" s="10"/>
      <c r="P228" s="10"/>
      <c r="Q228" s="10"/>
      <c r="R228" s="10"/>
    </row>
    <row r="229" spans="1:18" x14ac:dyDescent="0.25">
      <c r="A229" s="10"/>
      <c r="B229" s="10"/>
      <c r="C229" s="10"/>
      <c r="D229" s="10"/>
      <c r="E229" s="10"/>
      <c r="F229" s="10"/>
      <c r="G229" s="10"/>
      <c r="H229" s="13"/>
      <c r="K229" s="13"/>
      <c r="L229" s="10"/>
      <c r="M229" s="10"/>
      <c r="N229" s="11"/>
      <c r="O229" s="10"/>
      <c r="P229" s="10"/>
      <c r="Q229" s="10"/>
      <c r="R229" s="10"/>
    </row>
    <row r="230" spans="1:18" x14ac:dyDescent="0.25">
      <c r="A230" s="10"/>
      <c r="B230" s="10"/>
      <c r="C230" s="10"/>
      <c r="D230" s="10"/>
      <c r="E230" s="10"/>
      <c r="F230" s="10"/>
      <c r="G230" s="10"/>
      <c r="H230" s="13"/>
      <c r="K230" s="13"/>
      <c r="L230" s="10"/>
      <c r="M230" s="10"/>
      <c r="N230" s="11"/>
      <c r="O230" s="10"/>
      <c r="P230" s="10"/>
      <c r="Q230" s="10"/>
      <c r="R230" s="10"/>
    </row>
    <row r="231" spans="1:18" x14ac:dyDescent="0.25">
      <c r="A231" s="10"/>
      <c r="B231" s="10"/>
      <c r="C231" s="10"/>
      <c r="D231" s="10"/>
      <c r="E231" s="10"/>
      <c r="F231" s="10"/>
      <c r="G231" s="10"/>
      <c r="H231" s="13"/>
      <c r="K231" s="13"/>
      <c r="L231" s="10"/>
      <c r="M231" s="10"/>
      <c r="N231" s="11"/>
      <c r="O231" s="10"/>
      <c r="P231" s="10"/>
      <c r="Q231" s="10"/>
      <c r="R231" s="10"/>
    </row>
    <row r="232" spans="1:18" x14ac:dyDescent="0.25">
      <c r="A232" s="10"/>
      <c r="B232" s="10"/>
      <c r="C232" s="10"/>
      <c r="D232" s="10"/>
      <c r="E232" s="10"/>
      <c r="F232" s="10"/>
      <c r="G232" s="10"/>
      <c r="H232" s="13"/>
      <c r="K232" s="13"/>
      <c r="L232" s="10"/>
      <c r="M232" s="10"/>
      <c r="N232" s="11"/>
      <c r="O232" s="10"/>
      <c r="P232" s="10"/>
      <c r="Q232" s="10"/>
      <c r="R232" s="10"/>
    </row>
    <row r="233" spans="1:18" x14ac:dyDescent="0.25">
      <c r="A233" s="10"/>
      <c r="B233" s="10"/>
      <c r="C233" s="10"/>
      <c r="D233" s="10"/>
      <c r="E233" s="10"/>
      <c r="F233" s="10"/>
      <c r="G233" s="10"/>
      <c r="H233" s="13"/>
      <c r="K233" s="13"/>
      <c r="L233" s="10"/>
      <c r="M233" s="10"/>
      <c r="N233" s="11"/>
      <c r="O233" s="10"/>
      <c r="P233" s="10"/>
      <c r="Q233" s="10"/>
      <c r="R233" s="10"/>
    </row>
    <row r="234" spans="1:18" x14ac:dyDescent="0.25">
      <c r="A234" s="10"/>
      <c r="B234" s="10"/>
      <c r="C234" s="10"/>
      <c r="D234" s="10"/>
      <c r="E234" s="10"/>
      <c r="F234" s="10"/>
      <c r="G234" s="10"/>
      <c r="H234" s="13"/>
      <c r="K234" s="13"/>
      <c r="L234" s="10"/>
      <c r="M234" s="10"/>
      <c r="N234" s="11"/>
      <c r="O234" s="10"/>
      <c r="P234" s="10"/>
      <c r="Q234" s="10"/>
      <c r="R234" s="10"/>
    </row>
    <row r="235" spans="1:18" x14ac:dyDescent="0.25">
      <c r="A235" s="10"/>
      <c r="B235" s="10"/>
      <c r="C235" s="10"/>
      <c r="D235" s="10"/>
      <c r="E235" s="10"/>
      <c r="F235" s="10"/>
      <c r="G235" s="10"/>
      <c r="H235" s="13"/>
      <c r="K235" s="13"/>
      <c r="L235" s="10"/>
      <c r="M235" s="10"/>
      <c r="N235" s="11"/>
      <c r="O235" s="10"/>
      <c r="P235" s="10"/>
      <c r="Q235" s="10"/>
      <c r="R235" s="10"/>
    </row>
    <row r="236" spans="1:18" x14ac:dyDescent="0.25">
      <c r="A236" s="10"/>
      <c r="B236" s="10"/>
      <c r="C236" s="10"/>
      <c r="D236" s="10"/>
      <c r="E236" s="10"/>
      <c r="F236" s="10"/>
      <c r="G236" s="10"/>
      <c r="H236" s="13"/>
      <c r="K236" s="13"/>
      <c r="L236" s="10"/>
      <c r="M236" s="10"/>
      <c r="N236" s="11"/>
      <c r="O236" s="10"/>
      <c r="P236" s="10"/>
      <c r="Q236" s="10"/>
      <c r="R236" s="10"/>
    </row>
    <row r="237" spans="1:18" x14ac:dyDescent="0.25">
      <c r="A237" s="10"/>
      <c r="B237" s="10"/>
      <c r="C237" s="10"/>
      <c r="D237" s="10"/>
      <c r="E237" s="10"/>
      <c r="F237" s="10"/>
      <c r="G237" s="10"/>
      <c r="H237" s="13"/>
      <c r="K237" s="13"/>
      <c r="L237" s="10"/>
      <c r="M237" s="10"/>
      <c r="N237" s="11"/>
      <c r="O237" s="10"/>
      <c r="P237" s="10"/>
      <c r="Q237" s="10"/>
      <c r="R237" s="10"/>
    </row>
    <row r="238" spans="1:18" x14ac:dyDescent="0.25">
      <c r="A238" s="10"/>
      <c r="B238" s="10"/>
      <c r="C238" s="10"/>
      <c r="D238" s="10"/>
      <c r="E238" s="10"/>
      <c r="F238" s="10"/>
      <c r="G238" s="10"/>
      <c r="H238" s="13"/>
      <c r="K238" s="13"/>
      <c r="L238" s="10"/>
      <c r="M238" s="10"/>
      <c r="N238" s="11"/>
      <c r="O238" s="10"/>
      <c r="P238" s="10"/>
      <c r="Q238" s="10"/>
      <c r="R238" s="10"/>
    </row>
    <row r="239" spans="1:18" x14ac:dyDescent="0.25">
      <c r="A239" s="10"/>
      <c r="B239" s="10"/>
      <c r="C239" s="10"/>
      <c r="D239" s="10"/>
      <c r="E239" s="10"/>
      <c r="F239" s="10"/>
      <c r="G239" s="10"/>
      <c r="H239" s="13"/>
      <c r="K239" s="13"/>
      <c r="L239" s="10"/>
      <c r="M239" s="10"/>
      <c r="N239" s="11"/>
      <c r="O239" s="10"/>
      <c r="P239" s="10"/>
      <c r="Q239" s="10"/>
      <c r="R239" s="10"/>
    </row>
    <row r="240" spans="1:18" x14ac:dyDescent="0.25">
      <c r="A240" s="10"/>
      <c r="B240" s="10"/>
      <c r="C240" s="10"/>
      <c r="D240" s="10"/>
      <c r="E240" s="10"/>
      <c r="F240" s="10"/>
      <c r="G240" s="10"/>
      <c r="H240" s="13"/>
      <c r="K240" s="13"/>
      <c r="L240" s="10"/>
      <c r="M240" s="10"/>
      <c r="N240" s="11"/>
      <c r="O240" s="10"/>
      <c r="P240" s="10"/>
      <c r="Q240" s="10"/>
      <c r="R240" s="10"/>
    </row>
    <row r="241" spans="1:18" x14ac:dyDescent="0.25">
      <c r="A241" s="10"/>
      <c r="B241" s="10"/>
      <c r="C241" s="10"/>
      <c r="D241" s="10"/>
      <c r="E241" s="10"/>
      <c r="F241" s="10"/>
      <c r="G241" s="10"/>
      <c r="H241" s="13"/>
      <c r="K241" s="13"/>
      <c r="L241" s="10"/>
      <c r="M241" s="10"/>
      <c r="N241" s="11"/>
      <c r="O241" s="10"/>
      <c r="P241" s="10"/>
      <c r="Q241" s="10"/>
      <c r="R241" s="10"/>
    </row>
    <row r="242" spans="1:18" x14ac:dyDescent="0.25">
      <c r="A242" s="10"/>
      <c r="B242" s="10"/>
      <c r="C242" s="10"/>
      <c r="D242" s="10"/>
      <c r="E242" s="10"/>
      <c r="F242" s="10"/>
      <c r="G242" s="10"/>
      <c r="H242" s="13"/>
      <c r="K242" s="13"/>
      <c r="L242" s="10"/>
      <c r="M242" s="10"/>
      <c r="N242" s="11"/>
      <c r="O242" s="10"/>
      <c r="P242" s="10"/>
      <c r="Q242" s="10"/>
      <c r="R242" s="10"/>
    </row>
    <row r="243" spans="1:18" x14ac:dyDescent="0.25">
      <c r="A243" s="10"/>
      <c r="B243" s="10"/>
      <c r="C243" s="10"/>
      <c r="D243" s="10"/>
      <c r="E243" s="10"/>
      <c r="F243" s="10"/>
      <c r="G243" s="10"/>
      <c r="H243" s="13"/>
      <c r="K243" s="13"/>
      <c r="L243" s="10"/>
      <c r="M243" s="10"/>
      <c r="N243" s="11"/>
      <c r="O243" s="10"/>
      <c r="P243" s="10"/>
      <c r="Q243" s="10"/>
      <c r="R243" s="10"/>
    </row>
    <row r="244" spans="1:18" x14ac:dyDescent="0.25">
      <c r="A244" s="10"/>
      <c r="B244" s="10"/>
      <c r="C244" s="10"/>
      <c r="D244" s="10"/>
      <c r="E244" s="10"/>
      <c r="F244" s="10"/>
      <c r="G244" s="10"/>
      <c r="H244" s="13"/>
      <c r="K244" s="13"/>
      <c r="L244" s="10"/>
      <c r="M244" s="10"/>
      <c r="N244" s="11"/>
      <c r="O244" s="10"/>
      <c r="P244" s="10"/>
      <c r="Q244" s="10"/>
      <c r="R244" s="10"/>
    </row>
    <row r="245" spans="1:18" x14ac:dyDescent="0.25">
      <c r="A245" s="10"/>
      <c r="B245" s="10"/>
      <c r="C245" s="10"/>
      <c r="D245" s="10"/>
      <c r="E245" s="10"/>
      <c r="F245" s="10"/>
      <c r="G245" s="10"/>
      <c r="H245" s="13"/>
      <c r="K245" s="13"/>
      <c r="L245" s="10"/>
      <c r="M245" s="10"/>
      <c r="N245" s="11"/>
      <c r="O245" s="10"/>
      <c r="P245" s="10"/>
      <c r="Q245" s="10"/>
      <c r="R245" s="10"/>
    </row>
    <row r="246" spans="1:18" x14ac:dyDescent="0.25">
      <c r="A246" s="10"/>
      <c r="B246" s="10"/>
      <c r="C246" s="10"/>
      <c r="D246" s="10"/>
      <c r="E246" s="10"/>
      <c r="F246" s="10"/>
      <c r="G246" s="10"/>
      <c r="H246" s="13"/>
      <c r="K246" s="13"/>
      <c r="L246" s="10"/>
      <c r="M246" s="10"/>
      <c r="N246" s="11"/>
      <c r="O246" s="10"/>
      <c r="P246" s="10"/>
      <c r="Q246" s="10"/>
      <c r="R246" s="10"/>
    </row>
    <row r="247" spans="1:18" x14ac:dyDescent="0.25">
      <c r="A247" s="10"/>
      <c r="B247" s="10"/>
      <c r="C247" s="10"/>
      <c r="D247" s="10"/>
      <c r="E247" s="10"/>
      <c r="F247" s="10"/>
      <c r="G247" s="10"/>
      <c r="H247" s="13"/>
      <c r="K247" s="13"/>
      <c r="L247" s="10"/>
      <c r="M247" s="10"/>
      <c r="N247" s="11"/>
      <c r="O247" s="10"/>
      <c r="P247" s="10"/>
      <c r="Q247" s="10"/>
      <c r="R247" s="10"/>
    </row>
    <row r="248" spans="1:18" x14ac:dyDescent="0.25">
      <c r="A248" s="10"/>
      <c r="B248" s="10"/>
      <c r="C248" s="10"/>
      <c r="D248" s="10"/>
      <c r="E248" s="10"/>
      <c r="F248" s="10"/>
      <c r="G248" s="10"/>
      <c r="H248" s="13"/>
      <c r="K248" s="13"/>
      <c r="L248" s="10"/>
      <c r="M248" s="10"/>
      <c r="N248" s="11"/>
      <c r="O248" s="10"/>
      <c r="P248" s="10"/>
      <c r="Q248" s="10"/>
      <c r="R248" s="10"/>
    </row>
    <row r="249" spans="1:18" x14ac:dyDescent="0.25">
      <c r="A249" s="10"/>
      <c r="B249" s="10"/>
      <c r="C249" s="10"/>
      <c r="D249" s="10"/>
      <c r="E249" s="10"/>
      <c r="F249" s="10"/>
      <c r="G249" s="10"/>
      <c r="H249" s="13"/>
      <c r="K249" s="13"/>
      <c r="L249" s="10"/>
      <c r="M249" s="10"/>
      <c r="N249" s="11"/>
      <c r="O249" s="10"/>
      <c r="P249" s="10"/>
      <c r="Q249" s="10"/>
      <c r="R249" s="10"/>
    </row>
    <row r="250" spans="1:18" x14ac:dyDescent="0.25">
      <c r="A250" s="10"/>
      <c r="B250" s="10"/>
      <c r="C250" s="10"/>
      <c r="D250" s="10"/>
      <c r="E250" s="10"/>
      <c r="F250" s="10"/>
      <c r="G250" s="10"/>
      <c r="H250" s="13"/>
      <c r="K250" s="13"/>
      <c r="L250" s="10"/>
      <c r="M250" s="10"/>
      <c r="N250" s="11"/>
      <c r="O250" s="10"/>
      <c r="P250" s="10"/>
      <c r="Q250" s="10"/>
      <c r="R250" s="10"/>
    </row>
    <row r="251" spans="1:18" x14ac:dyDescent="0.25">
      <c r="A251" s="10"/>
      <c r="B251" s="10"/>
      <c r="C251" s="10"/>
      <c r="D251" s="10"/>
      <c r="E251" s="10"/>
      <c r="F251" s="10"/>
      <c r="G251" s="10"/>
      <c r="H251" s="13"/>
      <c r="K251" s="13"/>
      <c r="L251" s="10"/>
      <c r="M251" s="10"/>
      <c r="N251" s="11"/>
      <c r="O251" s="10"/>
      <c r="P251" s="10"/>
      <c r="Q251" s="10"/>
      <c r="R251" s="10"/>
    </row>
    <row r="252" spans="1:18" x14ac:dyDescent="0.25">
      <c r="A252" s="10"/>
      <c r="B252" s="10"/>
      <c r="C252" s="10"/>
      <c r="D252" s="10"/>
      <c r="E252" s="10"/>
      <c r="F252" s="10"/>
      <c r="G252" s="10"/>
      <c r="H252" s="13"/>
      <c r="K252" s="13"/>
      <c r="L252" s="10"/>
      <c r="M252" s="10"/>
      <c r="N252" s="11"/>
      <c r="O252" s="10"/>
      <c r="P252" s="10"/>
      <c r="Q252" s="10"/>
      <c r="R252" s="10"/>
    </row>
    <row r="253" spans="1:18" x14ac:dyDescent="0.25">
      <c r="A253" s="10"/>
      <c r="B253" s="10"/>
      <c r="C253" s="10"/>
      <c r="D253" s="10"/>
      <c r="E253" s="10"/>
      <c r="F253" s="10"/>
      <c r="G253" s="10"/>
      <c r="H253" s="13"/>
      <c r="K253" s="13"/>
      <c r="L253" s="10"/>
      <c r="M253" s="10"/>
      <c r="N253" s="11"/>
      <c r="O253" s="10"/>
      <c r="P253" s="10"/>
      <c r="Q253" s="10"/>
      <c r="R253" s="10"/>
    </row>
    <row r="254" spans="1:18" x14ac:dyDescent="0.25">
      <c r="A254" s="10"/>
      <c r="B254" s="10"/>
      <c r="C254" s="10"/>
      <c r="D254" s="10"/>
      <c r="E254" s="10"/>
      <c r="F254" s="10"/>
      <c r="G254" s="10"/>
      <c r="H254" s="13"/>
      <c r="K254" s="13"/>
      <c r="L254" s="10"/>
      <c r="M254" s="10"/>
      <c r="N254" s="11"/>
      <c r="O254" s="10"/>
      <c r="P254" s="10"/>
      <c r="Q254" s="10"/>
      <c r="R254" s="10"/>
    </row>
    <row r="255" spans="1:18" x14ac:dyDescent="0.25">
      <c r="A255" s="10"/>
      <c r="B255" s="10"/>
      <c r="C255" s="10"/>
      <c r="D255" s="10"/>
      <c r="E255" s="10"/>
      <c r="F255" s="10"/>
      <c r="G255" s="10"/>
      <c r="H255" s="13"/>
      <c r="K255" s="13"/>
      <c r="L255" s="10"/>
      <c r="M255" s="10"/>
      <c r="N255" s="11"/>
      <c r="O255" s="10"/>
      <c r="P255" s="10"/>
      <c r="Q255" s="10"/>
      <c r="R255" s="10"/>
    </row>
    <row r="256" spans="1:18" x14ac:dyDescent="0.25">
      <c r="A256" s="10"/>
      <c r="B256" s="10"/>
      <c r="C256" s="10"/>
      <c r="D256" s="10"/>
      <c r="E256" s="10"/>
      <c r="F256" s="10"/>
      <c r="G256" s="10"/>
      <c r="H256" s="13"/>
      <c r="K256" s="13"/>
      <c r="L256" s="10"/>
      <c r="M256" s="10"/>
      <c r="N256" s="11"/>
      <c r="O256" s="10"/>
      <c r="P256" s="10"/>
      <c r="Q256" s="10"/>
      <c r="R256" s="10"/>
    </row>
    <row r="257" spans="1:18" x14ac:dyDescent="0.25">
      <c r="A257" s="10"/>
      <c r="B257" s="10"/>
      <c r="C257" s="10"/>
      <c r="D257" s="10"/>
      <c r="E257" s="10"/>
      <c r="F257" s="10"/>
      <c r="G257" s="10"/>
      <c r="H257" s="13"/>
      <c r="K257" s="13"/>
      <c r="L257" s="10"/>
      <c r="M257" s="10"/>
      <c r="N257" s="11"/>
      <c r="O257" s="10"/>
      <c r="P257" s="10"/>
      <c r="Q257" s="10"/>
      <c r="R257" s="10"/>
    </row>
    <row r="258" spans="1:18" x14ac:dyDescent="0.25">
      <c r="A258" s="10"/>
      <c r="B258" s="10"/>
      <c r="C258" s="10"/>
      <c r="D258" s="10"/>
      <c r="E258" s="10"/>
      <c r="F258" s="10"/>
      <c r="G258" s="10"/>
      <c r="H258" s="13"/>
      <c r="K258" s="13"/>
      <c r="L258" s="10"/>
      <c r="M258" s="10"/>
      <c r="N258" s="11"/>
      <c r="O258" s="10"/>
      <c r="P258" s="10"/>
      <c r="Q258" s="10"/>
      <c r="R258" s="10"/>
    </row>
    <row r="259" spans="1:18" x14ac:dyDescent="0.25">
      <c r="A259" s="10"/>
      <c r="B259" s="10"/>
      <c r="C259" s="10"/>
      <c r="D259" s="10"/>
      <c r="E259" s="10"/>
      <c r="F259" s="10"/>
      <c r="G259" s="10"/>
      <c r="H259" s="13"/>
      <c r="K259" s="13"/>
      <c r="L259" s="10"/>
      <c r="M259" s="10"/>
      <c r="N259" s="11"/>
      <c r="O259" s="10"/>
      <c r="P259" s="10"/>
      <c r="Q259" s="10"/>
      <c r="R259" s="10"/>
    </row>
    <row r="260" spans="1:18" x14ac:dyDescent="0.25">
      <c r="A260" s="10"/>
      <c r="B260" s="10"/>
      <c r="C260" s="10"/>
      <c r="D260" s="10"/>
      <c r="E260" s="10"/>
      <c r="F260" s="10"/>
      <c r="G260" s="10"/>
      <c r="H260" s="13"/>
      <c r="K260" s="13"/>
      <c r="L260" s="10"/>
      <c r="M260" s="10"/>
      <c r="N260" s="11"/>
      <c r="O260" s="10"/>
      <c r="P260" s="10"/>
      <c r="Q260" s="10"/>
      <c r="R260" s="10"/>
    </row>
    <row r="261" spans="1:18" x14ac:dyDescent="0.25">
      <c r="A261" s="10"/>
      <c r="B261" s="10"/>
      <c r="C261" s="10"/>
      <c r="D261" s="10"/>
      <c r="E261" s="10"/>
      <c r="F261" s="10"/>
      <c r="G261" s="10"/>
      <c r="H261" s="13"/>
      <c r="K261" s="13"/>
      <c r="L261" s="10"/>
      <c r="M261" s="10"/>
      <c r="N261" s="11"/>
      <c r="O261" s="10"/>
      <c r="P261" s="10"/>
      <c r="Q261" s="10"/>
      <c r="R261" s="10"/>
    </row>
    <row r="262" spans="1:18" x14ac:dyDescent="0.25">
      <c r="A262" s="10"/>
      <c r="B262" s="10"/>
      <c r="C262" s="10"/>
      <c r="D262" s="10"/>
      <c r="E262" s="10"/>
      <c r="F262" s="10"/>
      <c r="G262" s="10"/>
      <c r="H262" s="13"/>
      <c r="K262" s="13"/>
      <c r="L262" s="10"/>
      <c r="M262" s="10"/>
      <c r="N262" s="11"/>
      <c r="O262" s="10"/>
      <c r="P262" s="10"/>
      <c r="Q262" s="10"/>
      <c r="R262" s="10"/>
    </row>
    <row r="263" spans="1:18" x14ac:dyDescent="0.25">
      <c r="A263" s="10"/>
      <c r="B263" s="10"/>
      <c r="C263" s="10"/>
      <c r="D263" s="10"/>
      <c r="E263" s="10"/>
      <c r="F263" s="10"/>
      <c r="G263" s="10"/>
      <c r="H263" s="13"/>
      <c r="K263" s="13"/>
      <c r="L263" s="10"/>
      <c r="M263" s="10"/>
      <c r="N263" s="11"/>
      <c r="O263" s="10"/>
      <c r="P263" s="10"/>
      <c r="Q263" s="10"/>
      <c r="R263" s="10"/>
    </row>
    <row r="264" spans="1:18" x14ac:dyDescent="0.25">
      <c r="A264" s="10"/>
      <c r="B264" s="10"/>
      <c r="C264" s="10"/>
      <c r="D264" s="10"/>
      <c r="E264" s="10"/>
      <c r="F264" s="10"/>
      <c r="G264" s="10"/>
      <c r="H264" s="13"/>
      <c r="K264" s="13"/>
      <c r="L264" s="10"/>
      <c r="M264" s="10"/>
      <c r="N264" s="11"/>
      <c r="O264" s="10"/>
      <c r="P264" s="10"/>
      <c r="Q264" s="10"/>
      <c r="R264" s="10"/>
    </row>
    <row r="265" spans="1:18" x14ac:dyDescent="0.25">
      <c r="A265" s="10"/>
      <c r="B265" s="10"/>
      <c r="C265" s="10"/>
      <c r="D265" s="10"/>
      <c r="E265" s="10"/>
      <c r="F265" s="10"/>
      <c r="G265" s="10"/>
      <c r="H265" s="13"/>
      <c r="K265" s="13"/>
      <c r="L265" s="10"/>
      <c r="M265" s="10"/>
      <c r="N265" s="11"/>
      <c r="O265" s="10"/>
      <c r="P265" s="10"/>
      <c r="Q265" s="10"/>
      <c r="R265" s="10"/>
    </row>
    <row r="266" spans="1:18" x14ac:dyDescent="0.25">
      <c r="A266" s="10"/>
      <c r="B266" s="10"/>
      <c r="C266" s="10"/>
      <c r="D266" s="10"/>
      <c r="E266" s="10"/>
      <c r="F266" s="10"/>
      <c r="G266" s="10"/>
      <c r="H266" s="13"/>
      <c r="K266" s="13"/>
      <c r="L266" s="10"/>
      <c r="M266" s="10"/>
      <c r="N266" s="11"/>
      <c r="O266" s="10"/>
      <c r="P266" s="10"/>
      <c r="Q266" s="10"/>
      <c r="R266" s="10"/>
    </row>
    <row r="267" spans="1:18" x14ac:dyDescent="0.25">
      <c r="A267" s="10"/>
      <c r="B267" s="10"/>
      <c r="C267" s="10"/>
      <c r="D267" s="10"/>
      <c r="E267" s="10"/>
      <c r="F267" s="10"/>
      <c r="G267" s="10"/>
      <c r="H267" s="13"/>
      <c r="K267" s="13"/>
      <c r="L267" s="10"/>
      <c r="M267" s="10"/>
      <c r="N267" s="11"/>
      <c r="O267" s="10"/>
      <c r="P267" s="10"/>
      <c r="Q267" s="10"/>
      <c r="R267" s="10"/>
    </row>
    <row r="268" spans="1:18" x14ac:dyDescent="0.25">
      <c r="A268" s="10"/>
      <c r="B268" s="10"/>
      <c r="C268" s="10"/>
      <c r="D268" s="10"/>
      <c r="E268" s="10"/>
      <c r="F268" s="10"/>
      <c r="G268" s="10"/>
      <c r="H268" s="13"/>
      <c r="K268" s="13"/>
      <c r="L268" s="10"/>
      <c r="M268" s="10"/>
      <c r="N268" s="11"/>
      <c r="O268" s="10"/>
      <c r="P268" s="10"/>
      <c r="Q268" s="10"/>
      <c r="R268" s="10"/>
    </row>
    <row r="269" spans="1:18" x14ac:dyDescent="0.25">
      <c r="A269" s="10"/>
      <c r="B269" s="10"/>
      <c r="C269" s="10"/>
      <c r="D269" s="10"/>
      <c r="E269" s="10"/>
      <c r="F269" s="10"/>
      <c r="G269" s="10"/>
      <c r="H269" s="13"/>
      <c r="K269" s="13"/>
      <c r="L269" s="10"/>
      <c r="M269" s="10"/>
      <c r="N269" s="11"/>
      <c r="O269" s="10"/>
      <c r="P269" s="10"/>
      <c r="Q269" s="10"/>
      <c r="R269" s="10"/>
    </row>
    <row r="270" spans="1:18" x14ac:dyDescent="0.25">
      <c r="A270" s="10"/>
      <c r="B270" s="10"/>
      <c r="C270" s="10"/>
      <c r="D270" s="10"/>
      <c r="E270" s="10"/>
      <c r="F270" s="10"/>
      <c r="G270" s="10"/>
      <c r="H270" s="13"/>
      <c r="K270" s="13"/>
      <c r="L270" s="10"/>
      <c r="M270" s="10"/>
      <c r="N270" s="11"/>
      <c r="O270" s="10"/>
      <c r="P270" s="10"/>
      <c r="Q270" s="10"/>
      <c r="R270" s="10"/>
    </row>
    <row r="271" spans="1:18" x14ac:dyDescent="0.25">
      <c r="A271" s="10"/>
      <c r="B271" s="10"/>
      <c r="C271" s="10"/>
      <c r="D271" s="10"/>
      <c r="E271" s="10"/>
      <c r="F271" s="10"/>
      <c r="G271" s="10"/>
      <c r="H271" s="13"/>
      <c r="K271" s="13"/>
      <c r="L271" s="10"/>
      <c r="M271" s="10"/>
      <c r="N271" s="11"/>
      <c r="O271" s="10"/>
      <c r="P271" s="10"/>
      <c r="Q271" s="10"/>
      <c r="R271" s="10"/>
    </row>
    <row r="272" spans="1:18" x14ac:dyDescent="0.25">
      <c r="A272" s="10"/>
      <c r="B272" s="10"/>
      <c r="C272" s="10"/>
      <c r="D272" s="10"/>
      <c r="E272" s="10"/>
      <c r="F272" s="10"/>
      <c r="G272" s="10"/>
      <c r="H272" s="13"/>
      <c r="K272" s="13"/>
      <c r="L272" s="10"/>
      <c r="M272" s="10"/>
      <c r="N272" s="11"/>
      <c r="O272" s="10"/>
      <c r="P272" s="10"/>
      <c r="Q272" s="10"/>
      <c r="R272" s="10"/>
    </row>
    <row r="273" spans="1:18" x14ac:dyDescent="0.25">
      <c r="A273" s="10"/>
      <c r="B273" s="10"/>
      <c r="C273" s="10"/>
      <c r="D273" s="10"/>
      <c r="E273" s="10"/>
      <c r="F273" s="10"/>
      <c r="G273" s="10"/>
      <c r="H273" s="13"/>
      <c r="K273" s="13"/>
      <c r="L273" s="10"/>
      <c r="M273" s="10"/>
      <c r="N273" s="11"/>
      <c r="O273" s="10"/>
      <c r="P273" s="10"/>
      <c r="Q273" s="10"/>
      <c r="R273" s="10"/>
    </row>
    <row r="274" spans="1:18" x14ac:dyDescent="0.25">
      <c r="A274" s="10"/>
      <c r="B274" s="10"/>
      <c r="C274" s="10"/>
      <c r="D274" s="10"/>
      <c r="E274" s="10"/>
      <c r="F274" s="10"/>
      <c r="G274" s="10"/>
      <c r="H274" s="13"/>
      <c r="K274" s="13"/>
      <c r="L274" s="10"/>
      <c r="M274" s="10"/>
      <c r="N274" s="11"/>
      <c r="O274" s="10"/>
      <c r="P274" s="10"/>
      <c r="Q274" s="10"/>
      <c r="R274" s="10"/>
    </row>
    <row r="275" spans="1:18" x14ac:dyDescent="0.25">
      <c r="A275" s="10"/>
      <c r="B275" s="10"/>
      <c r="C275" s="10"/>
      <c r="D275" s="10"/>
      <c r="E275" s="10"/>
      <c r="F275" s="10"/>
      <c r="G275" s="10"/>
      <c r="H275" s="13"/>
      <c r="K275" s="13"/>
      <c r="L275" s="10"/>
      <c r="M275" s="10"/>
      <c r="N275" s="11"/>
      <c r="O275" s="10"/>
      <c r="P275" s="10"/>
      <c r="Q275" s="10"/>
      <c r="R275" s="10"/>
    </row>
    <row r="276" spans="1:18" x14ac:dyDescent="0.25">
      <c r="A276" s="10"/>
      <c r="B276" s="10"/>
      <c r="C276" s="10"/>
      <c r="D276" s="10"/>
      <c r="E276" s="10"/>
      <c r="F276" s="10"/>
      <c r="G276" s="10"/>
      <c r="H276" s="13"/>
      <c r="K276" s="13"/>
      <c r="L276" s="10"/>
      <c r="M276" s="10"/>
      <c r="N276" s="11"/>
      <c r="O276" s="10"/>
      <c r="P276" s="10"/>
      <c r="Q276" s="10"/>
      <c r="R276" s="10"/>
    </row>
    <row r="277" spans="1:18" x14ac:dyDescent="0.25">
      <c r="A277" s="10"/>
      <c r="B277" s="10"/>
      <c r="C277" s="10"/>
      <c r="D277" s="10"/>
      <c r="E277" s="10"/>
      <c r="F277" s="10"/>
      <c r="G277" s="10"/>
      <c r="H277" s="13"/>
      <c r="K277" s="13"/>
      <c r="L277" s="10"/>
      <c r="M277" s="10"/>
      <c r="N277" s="11"/>
      <c r="O277" s="10"/>
      <c r="P277" s="10"/>
      <c r="Q277" s="10"/>
      <c r="R277" s="10"/>
    </row>
    <row r="278" spans="1:18" x14ac:dyDescent="0.25">
      <c r="A278" s="10"/>
      <c r="B278" s="10"/>
      <c r="C278" s="10"/>
      <c r="D278" s="10"/>
      <c r="E278" s="10"/>
      <c r="F278" s="10"/>
      <c r="G278" s="10"/>
      <c r="H278" s="13"/>
      <c r="K278" s="13"/>
      <c r="L278" s="10"/>
      <c r="M278" s="10"/>
      <c r="N278" s="11"/>
      <c r="O278" s="10"/>
      <c r="P278" s="10"/>
      <c r="Q278" s="10"/>
      <c r="R278" s="10"/>
    </row>
    <row r="279" spans="1:18" x14ac:dyDescent="0.25">
      <c r="A279" s="10"/>
      <c r="B279" s="10"/>
      <c r="C279" s="10"/>
      <c r="D279" s="10"/>
      <c r="E279" s="10"/>
      <c r="F279" s="10"/>
      <c r="G279" s="10"/>
      <c r="H279" s="13"/>
      <c r="K279" s="13"/>
      <c r="L279" s="10"/>
      <c r="M279" s="10"/>
      <c r="N279" s="11"/>
      <c r="O279" s="10"/>
      <c r="P279" s="10"/>
      <c r="Q279" s="10"/>
      <c r="R279" s="10"/>
    </row>
    <row r="280" spans="1:18" x14ac:dyDescent="0.25">
      <c r="A280" s="10"/>
      <c r="B280" s="10"/>
      <c r="C280" s="10"/>
      <c r="D280" s="10"/>
      <c r="E280" s="10"/>
      <c r="F280" s="10"/>
      <c r="G280" s="10"/>
      <c r="H280" s="13"/>
      <c r="K280" s="13"/>
      <c r="L280" s="10"/>
      <c r="M280" s="10"/>
      <c r="N280" s="11"/>
      <c r="O280" s="10"/>
      <c r="P280" s="10"/>
      <c r="Q280" s="10"/>
      <c r="R280" s="10"/>
    </row>
    <row r="281" spans="1:18" x14ac:dyDescent="0.25">
      <c r="A281" s="10"/>
      <c r="B281" s="10"/>
      <c r="C281" s="10"/>
      <c r="D281" s="10"/>
      <c r="E281" s="10"/>
      <c r="F281" s="10"/>
      <c r="G281" s="10"/>
      <c r="H281" s="13"/>
      <c r="K281" s="13"/>
      <c r="L281" s="10"/>
      <c r="M281" s="10"/>
      <c r="N281" s="11"/>
      <c r="O281" s="10"/>
      <c r="P281" s="10"/>
      <c r="Q281" s="10"/>
      <c r="R281" s="10"/>
    </row>
    <row r="282" spans="1:18" x14ac:dyDescent="0.25">
      <c r="A282" s="10"/>
      <c r="B282" s="10"/>
      <c r="C282" s="10"/>
      <c r="D282" s="10"/>
      <c r="E282" s="10"/>
      <c r="F282" s="10"/>
      <c r="G282" s="10"/>
      <c r="H282" s="13"/>
      <c r="K282" s="13"/>
      <c r="L282" s="10"/>
      <c r="M282" s="10"/>
      <c r="N282" s="11"/>
      <c r="O282" s="10"/>
      <c r="P282" s="10"/>
      <c r="Q282" s="10"/>
      <c r="R282" s="10"/>
    </row>
    <row r="283" spans="1:18" x14ac:dyDescent="0.25">
      <c r="A283" s="10"/>
      <c r="B283" s="10"/>
      <c r="C283" s="10"/>
      <c r="D283" s="10"/>
      <c r="E283" s="10"/>
      <c r="F283" s="10"/>
      <c r="G283" s="10"/>
      <c r="H283" s="13"/>
      <c r="K283" s="13"/>
      <c r="L283" s="10"/>
      <c r="M283" s="10"/>
      <c r="N283" s="11"/>
      <c r="O283" s="10"/>
      <c r="P283" s="10"/>
      <c r="Q283" s="10"/>
      <c r="R283" s="10"/>
    </row>
    <row r="284" spans="1:18" x14ac:dyDescent="0.25">
      <c r="A284" s="10"/>
      <c r="B284" s="10"/>
      <c r="C284" s="10"/>
      <c r="D284" s="10"/>
      <c r="E284" s="10"/>
      <c r="F284" s="10"/>
      <c r="G284" s="10"/>
      <c r="H284" s="13"/>
      <c r="K284" s="13"/>
      <c r="L284" s="10"/>
      <c r="M284" s="10"/>
      <c r="N284" s="11"/>
      <c r="O284" s="10"/>
      <c r="P284" s="10"/>
      <c r="Q284" s="10"/>
      <c r="R284" s="10"/>
    </row>
    <row r="285" spans="1:18" x14ac:dyDescent="0.25">
      <c r="A285" s="10"/>
      <c r="B285" s="10"/>
      <c r="C285" s="10"/>
      <c r="D285" s="10"/>
      <c r="E285" s="10"/>
      <c r="F285" s="10"/>
      <c r="G285" s="10"/>
      <c r="H285" s="13"/>
      <c r="K285" s="13"/>
      <c r="L285" s="10"/>
      <c r="M285" s="10"/>
      <c r="N285" s="11"/>
      <c r="O285" s="10"/>
      <c r="P285" s="10"/>
      <c r="Q285" s="10"/>
      <c r="R285" s="10"/>
    </row>
    <row r="286" spans="1:18" x14ac:dyDescent="0.25">
      <c r="A286" s="10"/>
      <c r="B286" s="10"/>
      <c r="C286" s="10"/>
      <c r="D286" s="10"/>
      <c r="E286" s="10"/>
      <c r="F286" s="10"/>
      <c r="G286" s="10"/>
      <c r="H286" s="13"/>
      <c r="K286" s="13"/>
      <c r="L286" s="10"/>
      <c r="M286" s="10"/>
      <c r="N286" s="11"/>
      <c r="O286" s="10"/>
      <c r="P286" s="10"/>
      <c r="Q286" s="10"/>
      <c r="R286" s="10"/>
    </row>
    <row r="287" spans="1:18" x14ac:dyDescent="0.25">
      <c r="A287" s="10"/>
      <c r="B287" s="10"/>
      <c r="C287" s="10"/>
      <c r="D287" s="10"/>
      <c r="E287" s="10"/>
      <c r="F287" s="10"/>
      <c r="G287" s="10"/>
      <c r="H287" s="13"/>
      <c r="K287" s="13"/>
      <c r="L287" s="10"/>
      <c r="M287" s="10"/>
      <c r="N287" s="11"/>
      <c r="O287" s="10"/>
      <c r="P287" s="10"/>
      <c r="Q287" s="10"/>
      <c r="R287" s="10"/>
    </row>
    <row r="288" spans="1:18" x14ac:dyDescent="0.25">
      <c r="A288" s="10"/>
      <c r="B288" s="10"/>
      <c r="C288" s="10"/>
      <c r="D288" s="10"/>
      <c r="E288" s="10"/>
      <c r="F288" s="10"/>
      <c r="G288" s="10"/>
      <c r="H288" s="13"/>
      <c r="K288" s="13"/>
      <c r="L288" s="10"/>
      <c r="M288" s="10"/>
      <c r="N288" s="11"/>
      <c r="O288" s="10"/>
      <c r="P288" s="10"/>
      <c r="Q288" s="10"/>
      <c r="R288" s="10"/>
    </row>
    <row r="289" spans="1:18" x14ac:dyDescent="0.25">
      <c r="A289" s="10"/>
      <c r="B289" s="10"/>
      <c r="C289" s="10"/>
      <c r="D289" s="10"/>
      <c r="E289" s="10"/>
      <c r="F289" s="10"/>
      <c r="G289" s="10"/>
      <c r="H289" s="13"/>
      <c r="K289" s="13"/>
      <c r="L289" s="10"/>
      <c r="M289" s="10"/>
      <c r="N289" s="11"/>
      <c r="O289" s="10"/>
      <c r="P289" s="10"/>
      <c r="Q289" s="10"/>
      <c r="R289" s="10"/>
    </row>
    <row r="290" spans="1:18" x14ac:dyDescent="0.25">
      <c r="A290" s="10"/>
      <c r="B290" s="10"/>
      <c r="C290" s="10"/>
      <c r="D290" s="10"/>
      <c r="E290" s="10"/>
      <c r="F290" s="10"/>
      <c r="G290" s="10"/>
      <c r="H290" s="13"/>
      <c r="K290" s="13"/>
      <c r="L290" s="10"/>
      <c r="M290" s="10"/>
      <c r="N290" s="11"/>
      <c r="O290" s="10"/>
      <c r="P290" s="10"/>
      <c r="Q290" s="10"/>
      <c r="R290" s="10"/>
    </row>
    <row r="291" spans="1:18" x14ac:dyDescent="0.25">
      <c r="A291" s="10"/>
      <c r="B291" s="10"/>
      <c r="C291" s="10"/>
      <c r="D291" s="10"/>
      <c r="E291" s="10"/>
      <c r="F291" s="10"/>
      <c r="G291" s="10"/>
      <c r="H291" s="13"/>
      <c r="K291" s="13"/>
      <c r="L291" s="10"/>
      <c r="M291" s="10"/>
      <c r="N291" s="11"/>
      <c r="O291" s="10"/>
      <c r="P291" s="10"/>
      <c r="Q291" s="10"/>
      <c r="R291" s="10"/>
    </row>
    <row r="292" spans="1:18" x14ac:dyDescent="0.25">
      <c r="A292" s="10"/>
      <c r="B292" s="10"/>
      <c r="C292" s="10"/>
      <c r="D292" s="10"/>
      <c r="E292" s="10"/>
      <c r="F292" s="10"/>
      <c r="G292" s="10"/>
      <c r="H292" s="13"/>
      <c r="K292" s="13"/>
      <c r="L292" s="10"/>
      <c r="M292" s="10"/>
      <c r="N292" s="11"/>
      <c r="O292" s="10"/>
      <c r="P292" s="10"/>
      <c r="Q292" s="10"/>
      <c r="R292" s="10"/>
    </row>
    <row r="293" spans="1:18" x14ac:dyDescent="0.25">
      <c r="A293" s="10"/>
      <c r="B293" s="10"/>
      <c r="C293" s="10"/>
      <c r="D293" s="10"/>
      <c r="E293" s="10"/>
      <c r="F293" s="10"/>
      <c r="G293" s="10"/>
      <c r="H293" s="13"/>
      <c r="K293" s="13"/>
      <c r="L293" s="10"/>
      <c r="M293" s="10"/>
      <c r="N293" s="11"/>
      <c r="O293" s="10"/>
      <c r="P293" s="10"/>
      <c r="Q293" s="10"/>
      <c r="R293" s="10"/>
    </row>
    <row r="294" spans="1:18" x14ac:dyDescent="0.25">
      <c r="A294" s="10"/>
      <c r="B294" s="10"/>
      <c r="C294" s="10"/>
      <c r="D294" s="10"/>
      <c r="E294" s="10"/>
      <c r="F294" s="10"/>
      <c r="G294" s="10"/>
      <c r="H294" s="13"/>
      <c r="K294" s="13"/>
      <c r="L294" s="10"/>
      <c r="M294" s="10"/>
      <c r="N294" s="11"/>
      <c r="O294" s="10"/>
      <c r="P294" s="10"/>
      <c r="Q294" s="10"/>
      <c r="R294" s="10"/>
    </row>
    <row r="295" spans="1:18" x14ac:dyDescent="0.25">
      <c r="A295" s="10"/>
      <c r="B295" s="10"/>
      <c r="C295" s="10"/>
      <c r="D295" s="10"/>
      <c r="E295" s="10"/>
      <c r="F295" s="10"/>
      <c r="G295" s="10"/>
      <c r="H295" s="13"/>
      <c r="K295" s="13"/>
      <c r="L295" s="10"/>
      <c r="M295" s="10"/>
      <c r="N295" s="11"/>
      <c r="O295" s="10"/>
      <c r="P295" s="10"/>
      <c r="Q295" s="10"/>
      <c r="R295" s="10"/>
    </row>
    <row r="296" spans="1:18" x14ac:dyDescent="0.25">
      <c r="A296" s="10"/>
      <c r="B296" s="10"/>
      <c r="C296" s="10"/>
      <c r="D296" s="10"/>
      <c r="E296" s="10"/>
      <c r="F296" s="10"/>
      <c r="G296" s="10"/>
      <c r="H296" s="13"/>
      <c r="K296" s="13"/>
      <c r="L296" s="10"/>
      <c r="M296" s="10"/>
      <c r="N296" s="11"/>
      <c r="O296" s="10"/>
      <c r="P296" s="10"/>
      <c r="Q296" s="10"/>
      <c r="R296" s="10"/>
    </row>
    <row r="297" spans="1:18" x14ac:dyDescent="0.25">
      <c r="A297" s="10"/>
      <c r="B297" s="10"/>
      <c r="C297" s="10"/>
      <c r="D297" s="10"/>
      <c r="E297" s="10"/>
      <c r="F297" s="10"/>
      <c r="G297" s="10"/>
      <c r="H297" s="13"/>
      <c r="K297" s="13"/>
      <c r="L297" s="10"/>
      <c r="M297" s="10"/>
      <c r="N297" s="11"/>
      <c r="O297" s="10"/>
      <c r="P297" s="10"/>
      <c r="Q297" s="10"/>
      <c r="R297" s="10"/>
    </row>
    <row r="298" spans="1:18" x14ac:dyDescent="0.25">
      <c r="A298" s="10"/>
      <c r="B298" s="10"/>
      <c r="C298" s="10"/>
      <c r="D298" s="10"/>
      <c r="E298" s="10"/>
      <c r="F298" s="10"/>
      <c r="G298" s="10"/>
      <c r="H298" s="13"/>
      <c r="K298" s="13"/>
      <c r="L298" s="10"/>
      <c r="M298" s="10"/>
      <c r="N298" s="11"/>
      <c r="O298" s="10"/>
      <c r="P298" s="10"/>
      <c r="Q298" s="10"/>
      <c r="R298" s="10"/>
    </row>
    <row r="299" spans="1:18" x14ac:dyDescent="0.25">
      <c r="A299" s="10"/>
      <c r="B299" s="10"/>
      <c r="C299" s="10"/>
      <c r="D299" s="10"/>
      <c r="E299" s="10"/>
      <c r="F299" s="10"/>
      <c r="G299" s="10"/>
      <c r="H299" s="13"/>
      <c r="K299" s="13"/>
      <c r="L299" s="10"/>
      <c r="M299" s="10"/>
      <c r="N299" s="11"/>
      <c r="O299" s="10"/>
      <c r="P299" s="10"/>
      <c r="Q299" s="10"/>
      <c r="R299" s="10"/>
    </row>
    <row r="300" spans="1:18" x14ac:dyDescent="0.25">
      <c r="A300" s="10"/>
      <c r="B300" s="10"/>
      <c r="C300" s="10"/>
      <c r="D300" s="10"/>
      <c r="E300" s="10"/>
      <c r="F300" s="10"/>
      <c r="G300" s="10"/>
      <c r="H300" s="13"/>
      <c r="K300" s="13"/>
      <c r="L300" s="10"/>
      <c r="M300" s="10"/>
      <c r="N300" s="11"/>
      <c r="O300" s="10"/>
      <c r="P300" s="10"/>
      <c r="Q300" s="10"/>
      <c r="R300" s="10"/>
    </row>
    <row r="301" spans="1:18" x14ac:dyDescent="0.25">
      <c r="A301" s="10"/>
      <c r="B301" s="10"/>
      <c r="C301" s="10"/>
      <c r="D301" s="10"/>
      <c r="E301" s="10"/>
      <c r="F301" s="10"/>
      <c r="G301" s="10"/>
      <c r="H301" s="13"/>
      <c r="K301" s="13"/>
      <c r="L301" s="10"/>
      <c r="M301" s="10"/>
      <c r="N301" s="11"/>
      <c r="O301" s="10"/>
      <c r="P301" s="10"/>
      <c r="Q301" s="10"/>
      <c r="R301" s="10"/>
    </row>
    <row r="302" spans="1:18" x14ac:dyDescent="0.25">
      <c r="A302" s="10"/>
      <c r="B302" s="10"/>
      <c r="C302" s="10"/>
      <c r="D302" s="10"/>
      <c r="E302" s="10"/>
      <c r="F302" s="10"/>
      <c r="G302" s="10"/>
      <c r="H302" s="13"/>
      <c r="K302" s="13"/>
      <c r="L302" s="10"/>
      <c r="M302" s="10"/>
      <c r="N302" s="11"/>
      <c r="O302" s="10"/>
      <c r="P302" s="10"/>
      <c r="Q302" s="10"/>
      <c r="R302" s="10"/>
    </row>
    <row r="303" spans="1:18" x14ac:dyDescent="0.25">
      <c r="A303" s="10"/>
      <c r="B303" s="10"/>
      <c r="C303" s="10"/>
      <c r="D303" s="10"/>
      <c r="E303" s="10"/>
      <c r="F303" s="10"/>
      <c r="G303" s="10"/>
      <c r="H303" s="13"/>
      <c r="K303" s="13"/>
      <c r="L303" s="10"/>
      <c r="M303" s="10"/>
      <c r="N303" s="11"/>
      <c r="O303" s="10"/>
      <c r="P303" s="10"/>
      <c r="Q303" s="10"/>
      <c r="R303" s="10"/>
    </row>
    <row r="304" spans="1:18" x14ac:dyDescent="0.25">
      <c r="A304" s="10"/>
      <c r="B304" s="10"/>
      <c r="C304" s="10"/>
      <c r="D304" s="10"/>
      <c r="E304" s="10"/>
      <c r="F304" s="10"/>
      <c r="G304" s="10"/>
      <c r="H304" s="13"/>
      <c r="K304" s="13"/>
      <c r="L304" s="10"/>
      <c r="M304" s="10"/>
      <c r="N304" s="11"/>
      <c r="O304" s="10"/>
      <c r="P304" s="10"/>
      <c r="Q304" s="10"/>
      <c r="R304" s="10"/>
    </row>
    <row r="305" spans="1:18" x14ac:dyDescent="0.25">
      <c r="A305" s="10"/>
      <c r="B305" s="10"/>
      <c r="C305" s="10"/>
      <c r="D305" s="10"/>
      <c r="E305" s="10"/>
      <c r="F305" s="10"/>
      <c r="G305" s="10"/>
      <c r="H305" s="13"/>
      <c r="K305" s="13"/>
      <c r="L305" s="10"/>
      <c r="M305" s="10"/>
      <c r="N305" s="11"/>
      <c r="O305" s="10"/>
      <c r="P305" s="10"/>
      <c r="Q305" s="10"/>
      <c r="R305" s="10"/>
    </row>
    <row r="306" spans="1:18" x14ac:dyDescent="0.25">
      <c r="A306" s="10"/>
      <c r="B306" s="10"/>
      <c r="C306" s="10"/>
      <c r="D306" s="10"/>
      <c r="E306" s="10"/>
      <c r="F306" s="10"/>
      <c r="G306" s="10"/>
      <c r="H306" s="13"/>
      <c r="K306" s="13"/>
      <c r="L306" s="10"/>
      <c r="M306" s="10"/>
      <c r="N306" s="11"/>
      <c r="O306" s="10"/>
      <c r="P306" s="10"/>
      <c r="Q306" s="10"/>
      <c r="R306" s="10"/>
    </row>
    <row r="307" spans="1:18" x14ac:dyDescent="0.25">
      <c r="A307" s="10"/>
      <c r="B307" s="10"/>
      <c r="C307" s="10"/>
      <c r="D307" s="10"/>
      <c r="E307" s="10"/>
      <c r="F307" s="10"/>
      <c r="G307" s="10"/>
      <c r="H307" s="13"/>
      <c r="K307" s="13"/>
      <c r="L307" s="10"/>
      <c r="M307" s="10"/>
      <c r="N307" s="11"/>
      <c r="O307" s="10"/>
      <c r="P307" s="10"/>
      <c r="Q307" s="10"/>
      <c r="R307" s="10"/>
    </row>
    <row r="308" spans="1:18" x14ac:dyDescent="0.25">
      <c r="A308" s="10"/>
      <c r="B308" s="10"/>
      <c r="C308" s="10"/>
      <c r="D308" s="10"/>
      <c r="E308" s="10"/>
      <c r="F308" s="10"/>
      <c r="G308" s="10"/>
      <c r="H308" s="13"/>
      <c r="K308" s="13"/>
      <c r="L308" s="10"/>
      <c r="M308" s="10"/>
      <c r="N308" s="11"/>
      <c r="O308" s="10"/>
      <c r="P308" s="10"/>
      <c r="Q308" s="10"/>
      <c r="R308" s="10"/>
    </row>
    <row r="309" spans="1:18" x14ac:dyDescent="0.25">
      <c r="A309" s="10"/>
      <c r="B309" s="10"/>
      <c r="C309" s="10"/>
      <c r="D309" s="10"/>
      <c r="E309" s="10"/>
      <c r="F309" s="10"/>
      <c r="G309" s="10"/>
      <c r="H309" s="13"/>
      <c r="K309" s="13"/>
      <c r="L309" s="10"/>
      <c r="M309" s="10"/>
      <c r="N309" s="11"/>
      <c r="O309" s="10"/>
      <c r="P309" s="10"/>
      <c r="Q309" s="10"/>
      <c r="R309" s="10"/>
    </row>
    <row r="310" spans="1:18" x14ac:dyDescent="0.25">
      <c r="A310" s="10"/>
      <c r="B310" s="10"/>
      <c r="C310" s="10"/>
      <c r="D310" s="10"/>
      <c r="E310" s="10"/>
      <c r="F310" s="10"/>
      <c r="G310" s="10"/>
      <c r="H310" s="13"/>
      <c r="K310" s="13"/>
      <c r="L310" s="10"/>
      <c r="M310" s="10"/>
      <c r="N310" s="11"/>
      <c r="O310" s="10"/>
      <c r="P310" s="10"/>
      <c r="Q310" s="10"/>
      <c r="R310" s="10"/>
    </row>
  </sheetData>
  <sortState ref="A2:R310">
    <sortCondition descending="1" ref="K2:K310"/>
  </sortState>
  <pageMargins left="0.25" right="0" top="0.5" bottom="0.5" header="0.3" footer="0.3"/>
  <pageSetup paperSize="5" scale="72" orientation="landscape" r:id="rId1"/>
  <headerFooter>
    <oddHeader xml:space="preserve">&amp;L&amp;"-,Bold"Updated:  12/22/14
&amp;C&amp;"-,Bold"2014 Proceeding Status (REOPENED) 
</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8"/>
  <sheetViews>
    <sheetView workbookViewId="0">
      <selection activeCell="E8" sqref="E8"/>
    </sheetView>
  </sheetViews>
  <sheetFormatPr defaultRowHeight="15" x14ac:dyDescent="0.25"/>
  <cols>
    <col min="1" max="1" width="3.140625" customWidth="1"/>
    <col min="2" max="2" width="30.28515625" customWidth="1"/>
    <col min="3" max="3" width="45.28515625" customWidth="1"/>
  </cols>
  <sheetData>
    <row r="1" spans="2:3" x14ac:dyDescent="0.25">
      <c r="B1" s="64" t="s">
        <v>778</v>
      </c>
    </row>
    <row r="3" spans="2:3" x14ac:dyDescent="0.25">
      <c r="B3" s="65" t="s">
        <v>779</v>
      </c>
      <c r="C3" s="65" t="s">
        <v>780</v>
      </c>
    </row>
    <row r="4" spans="2:3" ht="30" x14ac:dyDescent="0.25">
      <c r="B4" s="66" t="s">
        <v>781</v>
      </c>
      <c r="C4" s="67" t="s">
        <v>782</v>
      </c>
    </row>
    <row r="5" spans="2:3" ht="30" x14ac:dyDescent="0.25">
      <c r="B5" s="66" t="s">
        <v>783</v>
      </c>
      <c r="C5" s="67" t="s">
        <v>784</v>
      </c>
    </row>
    <row r="6" spans="2:3" ht="45" x14ac:dyDescent="0.25">
      <c r="B6" s="66" t="s">
        <v>785</v>
      </c>
      <c r="C6" s="67" t="s">
        <v>786</v>
      </c>
    </row>
    <row r="7" spans="2:3" ht="30" x14ac:dyDescent="0.25">
      <c r="B7" s="66" t="s">
        <v>787</v>
      </c>
      <c r="C7" s="67" t="s">
        <v>788</v>
      </c>
    </row>
    <row r="8" spans="2:3" ht="30" x14ac:dyDescent="0.25">
      <c r="B8" s="66" t="s">
        <v>542</v>
      </c>
      <c r="C8" s="67" t="s">
        <v>789</v>
      </c>
    </row>
    <row r="9" spans="2:3" ht="45" x14ac:dyDescent="0.25">
      <c r="B9" s="66" t="s">
        <v>790</v>
      </c>
      <c r="C9" s="67" t="s">
        <v>791</v>
      </c>
    </row>
    <row r="10" spans="2:3" ht="30" x14ac:dyDescent="0.25">
      <c r="B10" s="66" t="s">
        <v>792</v>
      </c>
      <c r="C10" s="67" t="s">
        <v>793</v>
      </c>
    </row>
    <row r="11" spans="2:3" ht="45" x14ac:dyDescent="0.25">
      <c r="B11" s="66" t="s">
        <v>776</v>
      </c>
      <c r="C11" s="67" t="s">
        <v>794</v>
      </c>
    </row>
    <row r="12" spans="2:3" ht="30" x14ac:dyDescent="0.25">
      <c r="B12" s="66" t="s">
        <v>795</v>
      </c>
      <c r="C12" s="67" t="s">
        <v>796</v>
      </c>
    </row>
    <row r="13" spans="2:3" ht="30" x14ac:dyDescent="0.25">
      <c r="B13" s="66" t="s">
        <v>797</v>
      </c>
      <c r="C13" s="67" t="s">
        <v>798</v>
      </c>
    </row>
    <row r="14" spans="2:3" ht="45" x14ac:dyDescent="0.25">
      <c r="B14" s="66" t="s">
        <v>799</v>
      </c>
      <c r="C14" s="67" t="s">
        <v>800</v>
      </c>
    </row>
    <row r="15" spans="2:3" ht="45" x14ac:dyDescent="0.25">
      <c r="B15" s="66" t="s">
        <v>801</v>
      </c>
      <c r="C15" s="67" t="s">
        <v>802</v>
      </c>
    </row>
    <row r="16" spans="2:3" ht="45" x14ac:dyDescent="0.25">
      <c r="B16" s="66" t="s">
        <v>803</v>
      </c>
      <c r="C16" s="67" t="s">
        <v>804</v>
      </c>
    </row>
    <row r="17" spans="2:3" ht="30" x14ac:dyDescent="0.25">
      <c r="B17" s="66" t="s">
        <v>805</v>
      </c>
      <c r="C17" s="67" t="s">
        <v>806</v>
      </c>
    </row>
    <row r="18" spans="2:3" ht="30" x14ac:dyDescent="0.25">
      <c r="B18" s="66" t="s">
        <v>807</v>
      </c>
      <c r="C18" s="67" t="s">
        <v>808</v>
      </c>
    </row>
    <row r="19" spans="2:3" ht="30" x14ac:dyDescent="0.25">
      <c r="B19" s="66" t="s">
        <v>809</v>
      </c>
      <c r="C19" s="67" t="s">
        <v>810</v>
      </c>
    </row>
    <row r="20" spans="2:3" ht="30" x14ac:dyDescent="0.25">
      <c r="B20" s="66" t="s">
        <v>811</v>
      </c>
      <c r="C20" s="67" t="s">
        <v>812</v>
      </c>
    </row>
    <row r="21" spans="2:3" ht="90" x14ac:dyDescent="0.25">
      <c r="B21" s="66" t="s">
        <v>10</v>
      </c>
      <c r="C21" s="67" t="s">
        <v>813</v>
      </c>
    </row>
    <row r="23" spans="2:3" x14ac:dyDescent="0.25">
      <c r="B23" s="68" t="s">
        <v>814</v>
      </c>
    </row>
    <row r="24" spans="2:3" x14ac:dyDescent="0.25">
      <c r="B24" s="69"/>
    </row>
    <row r="25" spans="2:3" x14ac:dyDescent="0.25">
      <c r="B25" s="68" t="s">
        <v>815</v>
      </c>
    </row>
    <row r="26" spans="2:3" x14ac:dyDescent="0.25">
      <c r="B26" s="70" t="s">
        <v>816</v>
      </c>
    </row>
    <row r="27" spans="2:3" x14ac:dyDescent="0.25">
      <c r="B27" s="70" t="s">
        <v>817</v>
      </c>
    </row>
    <row r="28" spans="2:3" x14ac:dyDescent="0.25">
      <c r="B28" s="7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Master</vt:lpstr>
      <vt:lpstr>Active</vt:lpstr>
      <vt:lpstr>ReOpened</vt:lpstr>
      <vt:lpstr>Definitions</vt:lpstr>
      <vt:lpstr>Active!Print_Area</vt:lpstr>
      <vt:lpstr>Master!Print_Area</vt:lpstr>
      <vt:lpstr>ReOpened!Print_Area</vt:lpstr>
      <vt:lpstr>Active!Print_Titles</vt:lpstr>
      <vt:lpstr>Master!Print_Titles</vt:lpstr>
      <vt:lpstr>ReOpened!Print_Titles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Oliveros, Michael J.</dc:creator>
  <cp:lastModifiedBy>Oliveros, Michael J.</cp:lastModifiedBy>
  <cp:lastPrinted>2015-04-27T16:19:23Z</cp:lastPrinted>
  <dcterms:created xsi:type="dcterms:W3CDTF">2014-08-06T21:19:47Z</dcterms:created>
  <dcterms:modified xsi:type="dcterms:W3CDTF">2015-04-27T16:41:34Z</dcterms:modified>
</cp:coreProperties>
</file>