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15" yWindow="5955" windowWidth="28035" windowHeight="12285" tabRatio="969" activeTab="2"/>
  </bookViews>
  <sheets>
    <sheet name="Master" sheetId="1" r:id="rId1"/>
    <sheet name="Active" sheetId="3" r:id="rId2"/>
    <sheet name="ReOpened" sheetId="2" r:id="rId3"/>
  </sheets>
  <definedNames>
    <definedName name="_xlnm._FilterDatabase" localSheetId="1" hidden="1">Active!$A$1:$Q$294</definedName>
    <definedName name="_xlnm._FilterDatabase" localSheetId="0" hidden="1">Master!$A$1:$Q$321</definedName>
    <definedName name="_xlnm.Print_Area" localSheetId="1">Active!$A$1:$Q$226</definedName>
    <definedName name="_xlnm.Print_Titles" localSheetId="1">Active!$1:$1</definedName>
    <definedName name="_xlnm.Print_Titles" localSheetId="0">Master!$1:$1</definedName>
    <definedName name="_xlnm.Print_Titles" localSheetId="2">ReOpened!$1:$1</definedName>
  </definedNames>
  <calcPr calcId="145621"/>
</workbook>
</file>

<file path=xl/calcChain.xml><?xml version="1.0" encoding="utf-8"?>
<calcChain xmlns="http://schemas.openxmlformats.org/spreadsheetml/2006/main">
  <c r="J62" i="2" l="1"/>
  <c r="J12" i="2"/>
  <c r="J13" i="2"/>
  <c r="J54" i="2"/>
  <c r="J4" i="2"/>
  <c r="J5" i="2"/>
  <c r="J6" i="2"/>
  <c r="J42" i="2"/>
  <c r="J56" i="2"/>
  <c r="J19" i="2"/>
  <c r="J49" i="2"/>
  <c r="J63" i="2"/>
  <c r="J7" i="2"/>
  <c r="J65" i="2"/>
  <c r="J66" i="2"/>
  <c r="J43" i="2"/>
  <c r="J44" i="2"/>
  <c r="J45" i="2"/>
  <c r="J46" i="2"/>
  <c r="J14" i="2"/>
  <c r="J16" i="2"/>
  <c r="J17" i="2"/>
  <c r="J18" i="2"/>
  <c r="J37" i="2"/>
  <c r="J67" i="2"/>
  <c r="J41" i="2"/>
  <c r="J47" i="2"/>
  <c r="J25" i="2"/>
  <c r="J26" i="2"/>
  <c r="J27" i="2"/>
  <c r="J28" i="2"/>
  <c r="J50" i="2"/>
  <c r="J51" i="2"/>
  <c r="J52" i="2"/>
  <c r="J53" i="2"/>
  <c r="J21" i="2"/>
  <c r="J22" i="2"/>
  <c r="J23" i="2"/>
  <c r="J24" i="2"/>
  <c r="J64" i="2"/>
  <c r="J68" i="2"/>
  <c r="J69" i="2"/>
  <c r="J30" i="2"/>
  <c r="J31" i="2"/>
  <c r="J36" i="2"/>
  <c r="J34" i="2"/>
  <c r="J8" i="2"/>
  <c r="J9" i="2"/>
  <c r="J20" i="2"/>
  <c r="J2" i="2"/>
  <c r="J11" i="2"/>
  <c r="J15" i="2"/>
  <c r="J32" i="2"/>
  <c r="J29" i="2"/>
  <c r="J48" i="2"/>
  <c r="J33" i="2"/>
  <c r="J10" i="2"/>
  <c r="J57" i="2"/>
  <c r="J58" i="2"/>
  <c r="J59" i="2"/>
  <c r="J40" i="2"/>
  <c r="J3" i="2"/>
  <c r="J38" i="2"/>
  <c r="J35" i="2"/>
  <c r="J39" i="2"/>
  <c r="J55" i="2"/>
  <c r="J60" i="2"/>
  <c r="J61" i="2"/>
  <c r="J259" i="1"/>
  <c r="J260" i="1"/>
  <c r="J261" i="1"/>
  <c r="J262" i="1"/>
  <c r="J263" i="1"/>
  <c r="J264" i="1"/>
  <c r="J265" i="1"/>
  <c r="J266" i="1"/>
  <c r="J267" i="1"/>
  <c r="J268" i="1"/>
  <c r="J269" i="1"/>
  <c r="J270" i="1"/>
  <c r="J271" i="1"/>
  <c r="J272" i="1"/>
  <c r="J273" i="1"/>
  <c r="J274" i="1"/>
  <c r="J275" i="1"/>
  <c r="J276" i="1"/>
  <c r="J277" i="1"/>
  <c r="J278" i="1"/>
  <c r="J279" i="1"/>
  <c r="J280" i="1"/>
  <c r="J281" i="1"/>
  <c r="J282" i="1"/>
  <c r="J283" i="1"/>
  <c r="J284" i="1"/>
  <c r="J285" i="1"/>
  <c r="J286" i="1"/>
  <c r="J287" i="1"/>
  <c r="J288" i="1"/>
  <c r="J289" i="1"/>
  <c r="J290" i="1"/>
  <c r="J291" i="1"/>
  <c r="J292" i="1"/>
  <c r="J293" i="1"/>
  <c r="J294" i="1"/>
  <c r="J295" i="1"/>
  <c r="J296" i="1"/>
  <c r="J297" i="1"/>
  <c r="J298" i="1"/>
  <c r="J299" i="1"/>
  <c r="J300" i="1"/>
  <c r="J301" i="1"/>
  <c r="J302" i="1"/>
  <c r="J303" i="1"/>
  <c r="J304" i="1"/>
  <c r="J305" i="1"/>
  <c r="J306" i="1"/>
  <c r="J307" i="1"/>
  <c r="J308" i="1"/>
  <c r="J309" i="1"/>
  <c r="J310" i="1"/>
  <c r="J311" i="1"/>
  <c r="J312" i="1"/>
  <c r="J313" i="1"/>
  <c r="J314" i="1"/>
  <c r="J315" i="1"/>
  <c r="J316" i="1"/>
  <c r="J317" i="1"/>
  <c r="J318" i="1"/>
  <c r="J319" i="1"/>
  <c r="J320" i="1"/>
  <c r="J321" i="1"/>
  <c r="J322" i="1"/>
  <c r="J323" i="1"/>
  <c r="J324" i="1"/>
  <c r="J258" i="1"/>
  <c r="G246" i="3"/>
  <c r="G243" i="3"/>
  <c r="G244" i="3"/>
  <c r="G245" i="3"/>
  <c r="G241" i="3"/>
  <c r="G242" i="3"/>
  <c r="G240" i="3"/>
  <c r="G239" i="3"/>
  <c r="G238" i="3"/>
  <c r="G237" i="3"/>
  <c r="G236" i="3"/>
  <c r="G235" i="3"/>
  <c r="G234" i="3"/>
  <c r="G233" i="3"/>
  <c r="G232" i="3"/>
  <c r="G231" i="3"/>
  <c r="G228" i="3"/>
  <c r="G229" i="3"/>
  <c r="G230" i="3"/>
  <c r="G226" i="3"/>
  <c r="G227" i="3"/>
  <c r="G223" i="3"/>
  <c r="G224" i="3"/>
  <c r="G225" i="3"/>
  <c r="G221" i="3"/>
  <c r="G222" i="3"/>
  <c r="G219" i="3"/>
  <c r="G220" i="3"/>
  <c r="G218" i="3"/>
  <c r="G217" i="3"/>
  <c r="G216" i="3"/>
  <c r="G214" i="3"/>
  <c r="G215" i="3"/>
  <c r="G213" i="3"/>
  <c r="G211" i="3"/>
  <c r="G212" i="3"/>
  <c r="G210" i="3"/>
  <c r="G209" i="3"/>
  <c r="G208" i="3"/>
  <c r="G207" i="3"/>
  <c r="G203" i="3"/>
  <c r="G204" i="3"/>
  <c r="G205" i="3"/>
  <c r="G206" i="3"/>
  <c r="G201" i="3"/>
  <c r="G202" i="3"/>
  <c r="G200" i="3"/>
  <c r="G199" i="3"/>
  <c r="G198" i="3"/>
  <c r="G197" i="3"/>
  <c r="G194" i="3"/>
  <c r="G195" i="3"/>
  <c r="G196" i="3"/>
  <c r="G193" i="3"/>
  <c r="G191" i="3"/>
  <c r="G192" i="3"/>
  <c r="G190" i="3"/>
  <c r="G189" i="3"/>
  <c r="G188" i="3"/>
  <c r="G186" i="3"/>
  <c r="G187" i="3"/>
  <c r="G185" i="3"/>
  <c r="G182" i="3"/>
  <c r="G183" i="3"/>
  <c r="G184" i="3"/>
  <c r="G180" i="3"/>
  <c r="G181" i="3"/>
  <c r="G178" i="3"/>
  <c r="G179" i="3"/>
  <c r="G177" i="3"/>
  <c r="G176" i="3"/>
  <c r="G174" i="3"/>
  <c r="G175" i="3"/>
  <c r="G173" i="3"/>
  <c r="G172" i="3"/>
  <c r="G171" i="3"/>
  <c r="G170" i="3"/>
  <c r="G168" i="3"/>
  <c r="G169" i="3"/>
  <c r="G167" i="3"/>
  <c r="G166" i="3"/>
  <c r="G165" i="3"/>
  <c r="G164" i="3"/>
  <c r="G163" i="3"/>
  <c r="G162" i="3"/>
  <c r="G161" i="3"/>
  <c r="G160" i="3"/>
  <c r="G159" i="3"/>
  <c r="G158" i="3"/>
  <c r="G155" i="3"/>
  <c r="G156" i="3"/>
  <c r="G157" i="3"/>
  <c r="G153" i="3"/>
  <c r="G154" i="3"/>
  <c r="G152" i="3"/>
  <c r="G151" i="3"/>
  <c r="G148" i="3"/>
  <c r="G149" i="3"/>
  <c r="G150" i="3"/>
  <c r="G146" i="3"/>
  <c r="G147" i="3"/>
  <c r="G142" i="3"/>
  <c r="G143" i="3"/>
  <c r="G144" i="3"/>
  <c r="G145" i="3"/>
  <c r="G141" i="3"/>
  <c r="G140" i="3"/>
  <c r="G138" i="3"/>
  <c r="G139" i="3"/>
  <c r="G137" i="3"/>
  <c r="G136" i="3"/>
  <c r="G135" i="3"/>
  <c r="G133" i="3"/>
  <c r="G134" i="3"/>
  <c r="G132" i="3"/>
  <c r="G131" i="3"/>
  <c r="G130" i="3"/>
  <c r="G129" i="3"/>
  <c r="G127" i="3"/>
  <c r="G128" i="3"/>
  <c r="G126" i="3"/>
  <c r="G124" i="3"/>
  <c r="G125" i="3"/>
  <c r="G123" i="3"/>
  <c r="G122" i="3"/>
  <c r="G121" i="3"/>
  <c r="G120" i="3"/>
  <c r="G119" i="3"/>
  <c r="G117" i="3"/>
  <c r="G118" i="3"/>
  <c r="G116" i="3"/>
  <c r="G115" i="3"/>
  <c r="G114" i="3"/>
  <c r="G113" i="3"/>
  <c r="G111" i="3"/>
  <c r="G112" i="3"/>
  <c r="G110" i="3"/>
  <c r="G109" i="3"/>
  <c r="G108" i="3"/>
  <c r="G105" i="3"/>
  <c r="G106" i="3"/>
  <c r="G107" i="3"/>
  <c r="G104" i="3"/>
  <c r="G103" i="3"/>
  <c r="G101" i="3"/>
  <c r="G102" i="3"/>
  <c r="G98" i="3"/>
  <c r="G99" i="3"/>
  <c r="G100" i="3"/>
  <c r="G96" i="3"/>
  <c r="G97" i="3"/>
  <c r="G95" i="3"/>
  <c r="G94" i="3"/>
  <c r="G93" i="3"/>
  <c r="G92" i="3"/>
  <c r="G90" i="3"/>
  <c r="G91" i="3"/>
  <c r="G89" i="3"/>
  <c r="G88" i="3"/>
  <c r="G86" i="3"/>
  <c r="G87" i="3"/>
  <c r="G85" i="3"/>
  <c r="G83" i="3"/>
  <c r="G84" i="3"/>
  <c r="G82" i="3"/>
  <c r="G81" i="3"/>
  <c r="G79" i="3"/>
  <c r="G80" i="3"/>
  <c r="G77" i="3"/>
  <c r="G78" i="3"/>
  <c r="G76" i="3"/>
  <c r="G75" i="3"/>
  <c r="G74" i="3"/>
  <c r="G73" i="3"/>
  <c r="G72" i="3"/>
  <c r="G71" i="3"/>
  <c r="G70" i="3"/>
  <c r="G69" i="3"/>
  <c r="G68" i="3"/>
  <c r="G67" i="3"/>
  <c r="G66" i="3"/>
  <c r="G65" i="3"/>
  <c r="G62" i="3"/>
  <c r="G63" i="3"/>
  <c r="G64" i="3"/>
  <c r="G61" i="3"/>
  <c r="G60" i="3"/>
  <c r="G59" i="3"/>
  <c r="G58" i="3"/>
  <c r="G56" i="3"/>
  <c r="G57" i="3"/>
  <c r="G55" i="3"/>
  <c r="G54" i="3"/>
  <c r="G53" i="3"/>
  <c r="G51" i="3"/>
  <c r="G52" i="3"/>
  <c r="G50" i="3"/>
  <c r="G49" i="3"/>
  <c r="G48" i="3"/>
  <c r="G46" i="3"/>
  <c r="G47" i="3"/>
  <c r="G45" i="3"/>
  <c r="G44" i="3"/>
  <c r="G43" i="3"/>
  <c r="G42" i="3"/>
  <c r="G41" i="3"/>
  <c r="G40" i="3"/>
  <c r="G39" i="3"/>
  <c r="G38" i="3"/>
  <c r="G37" i="3"/>
  <c r="G36" i="3"/>
  <c r="G35" i="3"/>
  <c r="G34" i="3"/>
  <c r="G33" i="3"/>
  <c r="G32" i="3"/>
  <c r="G31" i="3"/>
  <c r="G30" i="3"/>
  <c r="G27" i="3"/>
  <c r="G28" i="3"/>
  <c r="G29" i="3"/>
  <c r="G26" i="3"/>
  <c r="G25" i="3"/>
  <c r="G24" i="3"/>
  <c r="G23" i="3"/>
  <c r="G22" i="3"/>
  <c r="G21" i="3"/>
  <c r="G20" i="3"/>
  <c r="G18" i="3"/>
  <c r="G19" i="3"/>
  <c r="G16" i="3"/>
  <c r="G17" i="3"/>
  <c r="G15" i="3"/>
  <c r="G14" i="3"/>
  <c r="G13" i="3"/>
  <c r="G12" i="3"/>
  <c r="G11" i="3"/>
  <c r="G10" i="3"/>
  <c r="G9" i="3"/>
  <c r="G8" i="3"/>
  <c r="G7" i="3"/>
  <c r="G6" i="3"/>
  <c r="G5" i="3"/>
  <c r="G4" i="3"/>
  <c r="G3" i="3"/>
  <c r="G2" i="3"/>
  <c r="G247" i="3"/>
  <c r="G243" i="1"/>
  <c r="G3" i="1"/>
  <c r="G4" i="1"/>
  <c r="G5"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4" i="1"/>
  <c r="G245" i="1"/>
  <c r="G246" i="1"/>
  <c r="G247" i="1"/>
  <c r="G248" i="1"/>
  <c r="G249" i="1"/>
  <c r="G250" i="1"/>
  <c r="G251" i="1"/>
  <c r="G252" i="1"/>
  <c r="G253" i="1"/>
  <c r="G254" i="1"/>
  <c r="G255" i="1"/>
  <c r="G256" i="1"/>
  <c r="G257" i="1"/>
  <c r="G2" i="1"/>
  <c r="H15" i="3" l="1"/>
  <c r="F15" i="3"/>
  <c r="H63" i="2" l="1"/>
  <c r="H318" i="1" l="1"/>
  <c r="F230" i="3" l="1"/>
  <c r="F234" i="3"/>
  <c r="F233" i="3"/>
  <c r="F232" i="3"/>
  <c r="F229" i="3"/>
  <c r="F225" i="3"/>
  <c r="F228" i="3"/>
  <c r="F231" i="3"/>
  <c r="F226" i="3"/>
  <c r="F224" i="3"/>
  <c r="F219" i="3"/>
  <c r="F222" i="3"/>
  <c r="F223" i="3"/>
  <c r="H62" i="2"/>
  <c r="F62" i="2"/>
  <c r="H61" i="2"/>
  <c r="F61" i="2"/>
  <c r="F227" i="3"/>
  <c r="F220" i="1"/>
  <c r="F223" i="1"/>
  <c r="F227" i="1"/>
  <c r="F226" i="1"/>
  <c r="F225" i="1"/>
  <c r="F222" i="1"/>
  <c r="F218" i="1"/>
  <c r="F221" i="1"/>
  <c r="F224" i="1"/>
  <c r="F219" i="1"/>
  <c r="F217" i="1"/>
  <c r="F212" i="1"/>
  <c r="F215" i="1"/>
  <c r="F216" i="1"/>
  <c r="F191" i="1"/>
  <c r="F217" i="3" l="1"/>
  <c r="F210" i="1"/>
  <c r="F220" i="3"/>
  <c r="F212" i="3"/>
  <c r="F170" i="3"/>
  <c r="F213" i="1"/>
  <c r="F205" i="1"/>
  <c r="F167" i="1"/>
  <c r="H60" i="2" l="1"/>
  <c r="F60" i="2"/>
  <c r="H59" i="2"/>
  <c r="F59" i="2"/>
  <c r="H58" i="2"/>
  <c r="F58" i="2"/>
  <c r="H57" i="2"/>
  <c r="F57" i="2"/>
  <c r="H56" i="2"/>
  <c r="F56" i="2"/>
  <c r="F221" i="3"/>
  <c r="F218" i="3"/>
  <c r="F216" i="3"/>
  <c r="F215" i="3"/>
  <c r="F214" i="3"/>
  <c r="H317" i="1"/>
  <c r="F317" i="1"/>
  <c r="H316" i="1" l="1"/>
  <c r="H315" i="1"/>
  <c r="H314" i="1"/>
  <c r="F316" i="1"/>
  <c r="F315" i="1"/>
  <c r="F314" i="1"/>
  <c r="F214" i="1"/>
  <c r="F211" i="1"/>
  <c r="F208" i="1"/>
  <c r="F209" i="1"/>
  <c r="F207" i="1"/>
  <c r="H313" i="1"/>
  <c r="F313" i="1"/>
  <c r="H55" i="2" l="1"/>
  <c r="F55" i="2"/>
  <c r="F200" i="3"/>
  <c r="H312" i="1" l="1"/>
  <c r="F312" i="1"/>
  <c r="F207" i="3"/>
  <c r="F200" i="1"/>
  <c r="F213" i="3"/>
  <c r="F206" i="1"/>
  <c r="F209" i="3"/>
  <c r="F211" i="3"/>
  <c r="F210" i="3"/>
  <c r="F208" i="3"/>
  <c r="F206" i="3"/>
  <c r="F205" i="3"/>
  <c r="F204" i="3"/>
  <c r="F203" i="3"/>
  <c r="F204" i="1"/>
  <c r="F203" i="1"/>
  <c r="F202" i="1"/>
  <c r="F201" i="1"/>
  <c r="F199" i="1"/>
  <c r="F198" i="1"/>
  <c r="F197" i="1"/>
  <c r="F196" i="1"/>
  <c r="F195" i="1"/>
  <c r="H65" i="1" l="1"/>
  <c r="F65" i="1"/>
  <c r="H42" i="1"/>
  <c r="F42" i="1"/>
  <c r="H102" i="1"/>
  <c r="F102" i="1"/>
  <c r="H275" i="1"/>
  <c r="F275" i="1"/>
  <c r="H274" i="1"/>
  <c r="F274" i="1"/>
  <c r="H273" i="1"/>
  <c r="F273" i="1"/>
  <c r="H39" i="1"/>
  <c r="F39" i="1"/>
  <c r="H311" i="1"/>
  <c r="F311" i="1"/>
  <c r="H133" i="1"/>
  <c r="F133" i="1"/>
  <c r="F185" i="1"/>
  <c r="H263" i="1"/>
  <c r="F263" i="1"/>
  <c r="H262" i="1"/>
  <c r="F262" i="1"/>
  <c r="H261" i="1"/>
  <c r="F261" i="1"/>
  <c r="H271" i="1"/>
  <c r="F271" i="1"/>
  <c r="H291" i="1"/>
  <c r="F291" i="1"/>
  <c r="H293" i="1"/>
  <c r="F293" i="1"/>
  <c r="H306" i="1"/>
  <c r="F306" i="1"/>
  <c r="H79" i="1"/>
  <c r="F79" i="1"/>
  <c r="H78" i="1"/>
  <c r="F78" i="1"/>
  <c r="H77" i="1"/>
  <c r="F77" i="1"/>
  <c r="H76" i="1"/>
  <c r="F76" i="1"/>
  <c r="H75" i="1"/>
  <c r="F75" i="1"/>
  <c r="H19" i="1"/>
  <c r="F19" i="1"/>
  <c r="H94" i="1"/>
  <c r="F94" i="1"/>
  <c r="H96" i="1"/>
  <c r="F96" i="1"/>
  <c r="H285" i="1"/>
  <c r="F285" i="1"/>
  <c r="H284" i="1"/>
  <c r="F284" i="1"/>
  <c r="H283" i="1"/>
  <c r="F283" i="1"/>
  <c r="H282" i="1"/>
  <c r="F282" i="1"/>
  <c r="H292" i="1"/>
  <c r="F292" i="1"/>
  <c r="H310" i="1"/>
  <c r="F310" i="1"/>
  <c r="H309" i="1"/>
  <c r="F309" i="1"/>
  <c r="H308" i="1"/>
  <c r="F308" i="1"/>
  <c r="H307" i="1"/>
  <c r="F307" i="1"/>
  <c r="F202" i="3" l="1"/>
  <c r="F201" i="3"/>
  <c r="F199" i="3"/>
  <c r="F198" i="3"/>
  <c r="F197" i="3"/>
  <c r="F128" i="3"/>
  <c r="F193" i="1"/>
  <c r="F190" i="1"/>
  <c r="F126" i="1"/>
  <c r="F194" i="1"/>
  <c r="F192" i="1"/>
  <c r="F196" i="3" l="1"/>
  <c r="F195" i="3"/>
  <c r="F194" i="3"/>
  <c r="H53" i="2"/>
  <c r="F53" i="2"/>
  <c r="H52" i="2"/>
  <c r="F52" i="2"/>
  <c r="H51" i="2"/>
  <c r="F51" i="2"/>
  <c r="H50" i="2"/>
  <c r="F50" i="2"/>
  <c r="H49" i="2"/>
  <c r="F49" i="2"/>
  <c r="H54" i="2"/>
  <c r="F54" i="2"/>
  <c r="F189" i="1"/>
  <c r="F188" i="1"/>
  <c r="F187" i="1"/>
  <c r="H48" i="2" l="1"/>
  <c r="F48" i="2"/>
  <c r="H47" i="2"/>
  <c r="F47" i="2"/>
  <c r="H42" i="2"/>
  <c r="F42" i="2"/>
  <c r="H41" i="2"/>
  <c r="F41" i="2"/>
  <c r="H40" i="2"/>
  <c r="F40" i="2"/>
  <c r="H39" i="2"/>
  <c r="F39" i="2"/>
  <c r="H38" i="2"/>
  <c r="F38" i="2"/>
  <c r="H37" i="2"/>
  <c r="F37" i="2"/>
  <c r="H36" i="2"/>
  <c r="F36" i="2"/>
  <c r="H35" i="2"/>
  <c r="F35" i="2"/>
  <c r="H34" i="2"/>
  <c r="F34" i="2"/>
  <c r="H33" i="2"/>
  <c r="F33" i="2"/>
  <c r="H32" i="2"/>
  <c r="F32" i="2"/>
  <c r="H31" i="2"/>
  <c r="F31" i="2"/>
  <c r="H30" i="2"/>
  <c r="F30" i="2"/>
  <c r="H29" i="2"/>
  <c r="F29" i="2"/>
  <c r="H28" i="2"/>
  <c r="F28" i="2"/>
  <c r="H27" i="2"/>
  <c r="F27" i="2"/>
  <c r="H26" i="2"/>
  <c r="F26" i="2"/>
  <c r="H25" i="2"/>
  <c r="F25" i="2"/>
  <c r="H24" i="2"/>
  <c r="F24" i="2"/>
  <c r="H23" i="2"/>
  <c r="F23" i="2"/>
  <c r="H22" i="2"/>
  <c r="F22" i="2"/>
  <c r="H21" i="2"/>
  <c r="F21" i="2"/>
  <c r="H20" i="2"/>
  <c r="F20" i="2"/>
  <c r="H19" i="2"/>
  <c r="F19" i="2"/>
  <c r="H18" i="2"/>
  <c r="F18" i="2"/>
  <c r="H17" i="2"/>
  <c r="F17" i="2"/>
  <c r="H16" i="2"/>
  <c r="F16" i="2"/>
  <c r="H15" i="2"/>
  <c r="F15" i="2"/>
  <c r="H14" i="2"/>
  <c r="F14" i="2"/>
  <c r="H13" i="2"/>
  <c r="F13" i="2"/>
  <c r="H12" i="2"/>
  <c r="F12" i="2"/>
  <c r="H11" i="2"/>
  <c r="F11" i="2"/>
  <c r="H10" i="2"/>
  <c r="F10" i="2"/>
  <c r="H9" i="2"/>
  <c r="F9" i="2"/>
  <c r="H8" i="2"/>
  <c r="F8" i="2"/>
  <c r="H7" i="2"/>
  <c r="F7" i="2"/>
  <c r="H6" i="2"/>
  <c r="F6" i="2"/>
  <c r="H5" i="2"/>
  <c r="F5" i="2"/>
  <c r="H4" i="2"/>
  <c r="F4" i="2"/>
  <c r="H3" i="2"/>
  <c r="F3" i="2"/>
  <c r="H2" i="2"/>
  <c r="F2" i="2"/>
  <c r="F193" i="3"/>
  <c r="F192" i="3"/>
  <c r="F188" i="3"/>
  <c r="F187" i="3"/>
  <c r="F186" i="3"/>
  <c r="F184" i="3"/>
  <c r="F182" i="3"/>
  <c r="F181" i="3"/>
  <c r="F180" i="3"/>
  <c r="F179" i="3"/>
  <c r="F178" i="3"/>
  <c r="F177" i="3"/>
  <c r="F175" i="3"/>
  <c r="F173" i="3"/>
  <c r="F172" i="3"/>
  <c r="F171" i="3"/>
  <c r="H169" i="3"/>
  <c r="F169" i="3"/>
  <c r="H167" i="3"/>
  <c r="F167" i="3"/>
  <c r="F166" i="3"/>
  <c r="F165" i="3"/>
  <c r="H164" i="3"/>
  <c r="F164" i="3"/>
  <c r="H163" i="3"/>
  <c r="F163" i="3"/>
  <c r="H162" i="3"/>
  <c r="F162" i="3"/>
  <c r="H161" i="3"/>
  <c r="F161" i="3"/>
  <c r="H160" i="3"/>
  <c r="F160" i="3"/>
  <c r="F159" i="3"/>
  <c r="H158" i="3"/>
  <c r="F158" i="3"/>
  <c r="H157" i="3"/>
  <c r="F157" i="3"/>
  <c r="H156" i="3"/>
  <c r="F156" i="3"/>
  <c r="H155" i="3"/>
  <c r="F155" i="3"/>
  <c r="H154" i="3"/>
  <c r="F154" i="3"/>
  <c r="H153" i="3"/>
  <c r="F153" i="3"/>
  <c r="H152" i="3"/>
  <c r="F152" i="3"/>
  <c r="H151" i="3"/>
  <c r="F151" i="3"/>
  <c r="H150" i="3"/>
  <c r="F150" i="3"/>
  <c r="H149" i="3"/>
  <c r="F149" i="3"/>
  <c r="H148" i="3"/>
  <c r="F148" i="3"/>
  <c r="H147" i="3"/>
  <c r="F147" i="3"/>
  <c r="H146" i="3"/>
  <c r="F146" i="3"/>
  <c r="H145" i="3"/>
  <c r="F145" i="3"/>
  <c r="H144" i="3"/>
  <c r="F144" i="3"/>
  <c r="H143" i="3"/>
  <c r="F143" i="3"/>
  <c r="H142" i="3"/>
  <c r="F142" i="3"/>
  <c r="H141" i="3"/>
  <c r="F141" i="3"/>
  <c r="H140" i="3"/>
  <c r="F140" i="3"/>
  <c r="H139" i="3"/>
  <c r="F139" i="3"/>
  <c r="H138" i="3"/>
  <c r="F138" i="3"/>
  <c r="H137" i="3"/>
  <c r="F137" i="3"/>
  <c r="H136" i="3"/>
  <c r="F136" i="3"/>
  <c r="H135" i="3"/>
  <c r="F135" i="3"/>
  <c r="H134" i="3"/>
  <c r="F134" i="3"/>
  <c r="H133" i="3"/>
  <c r="F133" i="3"/>
  <c r="H132" i="3"/>
  <c r="F132" i="3"/>
  <c r="H131" i="3"/>
  <c r="F131" i="3"/>
  <c r="H130" i="3"/>
  <c r="F130" i="3"/>
  <c r="H129" i="3"/>
  <c r="F129" i="3"/>
  <c r="H127" i="3"/>
  <c r="F127" i="3"/>
  <c r="H126" i="3"/>
  <c r="F126" i="3"/>
  <c r="H125" i="3"/>
  <c r="F125" i="3"/>
  <c r="H124" i="3"/>
  <c r="F124" i="3"/>
  <c r="H123" i="3"/>
  <c r="F123" i="3"/>
  <c r="H122" i="3"/>
  <c r="F122" i="3"/>
  <c r="H121" i="3"/>
  <c r="F121" i="3"/>
  <c r="H120" i="3"/>
  <c r="F120" i="3"/>
  <c r="H119" i="3"/>
  <c r="F119" i="3"/>
  <c r="H118" i="3"/>
  <c r="F118" i="3"/>
  <c r="H117" i="3"/>
  <c r="F117" i="3"/>
  <c r="H116" i="3"/>
  <c r="F116" i="3"/>
  <c r="H115" i="3"/>
  <c r="F115" i="3"/>
  <c r="H114" i="3"/>
  <c r="F114" i="3"/>
  <c r="H113" i="3"/>
  <c r="F113" i="3"/>
  <c r="H112" i="3"/>
  <c r="F112" i="3"/>
  <c r="H111" i="3"/>
  <c r="F111" i="3"/>
  <c r="H110" i="3"/>
  <c r="F110" i="3"/>
  <c r="H109" i="3"/>
  <c r="F109" i="3"/>
  <c r="H108" i="3"/>
  <c r="F108" i="3"/>
  <c r="H107" i="3"/>
  <c r="F107" i="3"/>
  <c r="H106" i="3"/>
  <c r="F106" i="3"/>
  <c r="H105" i="3"/>
  <c r="F105" i="3"/>
  <c r="H104" i="3"/>
  <c r="F104" i="3"/>
  <c r="H103" i="3"/>
  <c r="F103" i="3"/>
  <c r="H102" i="3"/>
  <c r="F102" i="3"/>
  <c r="H101" i="3"/>
  <c r="F101" i="3"/>
  <c r="H100" i="3"/>
  <c r="F100" i="3"/>
  <c r="H99" i="3"/>
  <c r="F99" i="3"/>
  <c r="H98" i="3"/>
  <c r="F98" i="3"/>
  <c r="H97" i="3"/>
  <c r="F97" i="3"/>
  <c r="H96" i="3"/>
  <c r="F96" i="3"/>
  <c r="H95" i="3"/>
  <c r="F95" i="3"/>
  <c r="H94" i="3"/>
  <c r="F94" i="3"/>
  <c r="H93" i="3"/>
  <c r="F93" i="3"/>
  <c r="H92" i="3"/>
  <c r="F92" i="3"/>
  <c r="H91" i="3"/>
  <c r="F91" i="3"/>
  <c r="H90" i="3"/>
  <c r="F90" i="3"/>
  <c r="H89" i="3"/>
  <c r="F89" i="3"/>
  <c r="H88" i="3"/>
  <c r="F88" i="3"/>
  <c r="H87" i="3"/>
  <c r="F87" i="3"/>
  <c r="H86" i="3"/>
  <c r="F86" i="3"/>
  <c r="H85" i="3"/>
  <c r="F85" i="3"/>
  <c r="H84" i="3"/>
  <c r="F84" i="3"/>
  <c r="H83" i="3"/>
  <c r="F83" i="3"/>
  <c r="H82" i="3"/>
  <c r="F82" i="3"/>
  <c r="H81" i="3"/>
  <c r="F81" i="3"/>
  <c r="H80" i="3"/>
  <c r="F80" i="3"/>
  <c r="H79" i="3"/>
  <c r="F79" i="3"/>
  <c r="H78" i="3"/>
  <c r="F78" i="3"/>
  <c r="H77" i="3"/>
  <c r="F77" i="3"/>
  <c r="H76" i="3"/>
  <c r="F76" i="3"/>
  <c r="H75" i="3"/>
  <c r="F75" i="3"/>
  <c r="H74" i="3"/>
  <c r="F74" i="3"/>
  <c r="H73" i="3"/>
  <c r="F73" i="3"/>
  <c r="H72" i="3"/>
  <c r="F72" i="3"/>
  <c r="H71" i="3"/>
  <c r="F71" i="3"/>
  <c r="H70" i="3"/>
  <c r="F70" i="3"/>
  <c r="H69" i="3"/>
  <c r="F69" i="3"/>
  <c r="H68" i="3"/>
  <c r="F68" i="3"/>
  <c r="H67" i="3"/>
  <c r="F67" i="3"/>
  <c r="H66" i="3"/>
  <c r="F66" i="3"/>
  <c r="H65" i="3"/>
  <c r="F65" i="3"/>
  <c r="H64" i="3"/>
  <c r="F64" i="3"/>
  <c r="H63" i="3"/>
  <c r="F63" i="3"/>
  <c r="H62" i="3"/>
  <c r="F62" i="3"/>
  <c r="H61" i="3"/>
  <c r="F61" i="3"/>
  <c r="H60" i="3"/>
  <c r="F60" i="3"/>
  <c r="H59" i="3"/>
  <c r="F59" i="3"/>
  <c r="H58" i="3"/>
  <c r="F58" i="3"/>
  <c r="H57" i="3"/>
  <c r="F57" i="3"/>
  <c r="H56" i="3"/>
  <c r="F56" i="3"/>
  <c r="H55" i="3"/>
  <c r="F55" i="3"/>
  <c r="H54" i="3"/>
  <c r="F54" i="3"/>
  <c r="H53" i="3"/>
  <c r="F53" i="3"/>
  <c r="H52" i="3"/>
  <c r="F52" i="3"/>
  <c r="H51" i="3"/>
  <c r="F51" i="3"/>
  <c r="H50" i="3"/>
  <c r="F50" i="3"/>
  <c r="H49" i="3"/>
  <c r="F49" i="3"/>
  <c r="H48" i="3"/>
  <c r="F48" i="3"/>
  <c r="H47" i="3"/>
  <c r="F47" i="3"/>
  <c r="H46" i="3"/>
  <c r="F46" i="3"/>
  <c r="H45" i="3"/>
  <c r="F45" i="3"/>
  <c r="H44" i="3"/>
  <c r="F44" i="3"/>
  <c r="H43" i="3"/>
  <c r="F43" i="3"/>
  <c r="H42" i="3"/>
  <c r="F42" i="3"/>
  <c r="H41" i="3"/>
  <c r="F41" i="3"/>
  <c r="H40" i="3"/>
  <c r="F40" i="3"/>
  <c r="H39" i="3"/>
  <c r="F39" i="3"/>
  <c r="H38" i="3"/>
  <c r="F38" i="3"/>
  <c r="H37" i="3"/>
  <c r="F37" i="3"/>
  <c r="H36" i="3"/>
  <c r="F36" i="3"/>
  <c r="H35" i="3"/>
  <c r="F35" i="3"/>
  <c r="H34" i="3"/>
  <c r="F34" i="3"/>
  <c r="H33" i="3"/>
  <c r="F33" i="3"/>
  <c r="H32" i="3"/>
  <c r="F32" i="3"/>
  <c r="H31" i="3"/>
  <c r="F31" i="3"/>
  <c r="H30" i="3"/>
  <c r="F30" i="3"/>
  <c r="H29" i="3"/>
  <c r="F29" i="3"/>
  <c r="H28" i="3"/>
  <c r="F28" i="3"/>
  <c r="H27" i="3"/>
  <c r="F27" i="3"/>
  <c r="H26" i="3"/>
  <c r="F26" i="3"/>
  <c r="H25" i="3"/>
  <c r="F25" i="3"/>
  <c r="H24" i="3"/>
  <c r="F24" i="3"/>
  <c r="H23" i="3"/>
  <c r="F23" i="3"/>
  <c r="H22" i="3"/>
  <c r="F22" i="3"/>
  <c r="H21" i="3"/>
  <c r="F21" i="3"/>
  <c r="H20" i="3"/>
  <c r="F20" i="3"/>
  <c r="H19" i="3"/>
  <c r="F19" i="3"/>
  <c r="H18" i="3"/>
  <c r="F18" i="3"/>
  <c r="H17" i="3"/>
  <c r="F17" i="3"/>
  <c r="H16" i="3"/>
  <c r="F16" i="3"/>
  <c r="H14" i="3"/>
  <c r="F14" i="3"/>
  <c r="H13" i="3"/>
  <c r="F13" i="3"/>
  <c r="H12" i="3"/>
  <c r="F12" i="3"/>
  <c r="H11" i="3"/>
  <c r="F11" i="3"/>
  <c r="H10" i="3"/>
  <c r="F10" i="3"/>
  <c r="H9" i="3"/>
  <c r="F9" i="3"/>
  <c r="H8" i="3"/>
  <c r="F8" i="3"/>
  <c r="H7" i="3"/>
  <c r="F7" i="3"/>
  <c r="H6" i="3"/>
  <c r="F6" i="3"/>
  <c r="H5" i="3"/>
  <c r="F5" i="3"/>
  <c r="H4" i="3"/>
  <c r="F4" i="3"/>
  <c r="H3" i="3"/>
  <c r="F3" i="3"/>
  <c r="H2" i="3"/>
  <c r="F2" i="3"/>
  <c r="H305" i="1" l="1"/>
  <c r="H304" i="1"/>
  <c r="F179" i="1"/>
  <c r="F175" i="1"/>
  <c r="F186" i="1"/>
  <c r="F177" i="1"/>
  <c r="F174" i="1"/>
  <c r="F305" i="1"/>
  <c r="F173" i="1"/>
  <c r="F171" i="1"/>
  <c r="F169" i="1"/>
  <c r="F176" i="1"/>
  <c r="F156" i="1"/>
  <c r="F304" i="1"/>
  <c r="H6" i="1" l="1"/>
  <c r="F181" i="1" l="1"/>
  <c r="F168" i="1" l="1"/>
  <c r="F163" i="1"/>
  <c r="F162" i="1"/>
  <c r="F270" i="1" l="1"/>
  <c r="H270" i="1"/>
  <c r="F269" i="1"/>
  <c r="H269" i="1"/>
  <c r="F299" i="1"/>
  <c r="H299" i="1"/>
  <c r="F276" i="1"/>
  <c r="H276" i="1"/>
  <c r="F6" i="1"/>
  <c r="F9" i="1"/>
  <c r="H9" i="1"/>
  <c r="F10" i="1"/>
  <c r="H10" i="1"/>
  <c r="F11" i="1"/>
  <c r="H11" i="1"/>
  <c r="F13" i="1"/>
  <c r="H13" i="1"/>
  <c r="F264" i="1"/>
  <c r="H264" i="1"/>
  <c r="F15" i="1"/>
  <c r="H15" i="1"/>
  <c r="F21" i="1"/>
  <c r="H21" i="1"/>
  <c r="F22" i="1"/>
  <c r="H22" i="1"/>
  <c r="F25" i="1"/>
  <c r="H25" i="1"/>
  <c r="F294" i="1"/>
  <c r="H294" i="1"/>
  <c r="F26" i="1"/>
  <c r="H26" i="1"/>
  <c r="F298" i="1"/>
  <c r="H298" i="1"/>
  <c r="F32" i="1"/>
  <c r="H32" i="1"/>
  <c r="F34" i="1"/>
  <c r="H34" i="1"/>
  <c r="F35" i="1"/>
  <c r="H35" i="1"/>
  <c r="F36" i="1"/>
  <c r="H36" i="1"/>
  <c r="F38" i="1"/>
  <c r="H38" i="1"/>
  <c r="F40" i="1"/>
  <c r="H40" i="1"/>
  <c r="F41" i="1"/>
  <c r="H41" i="1"/>
  <c r="F43" i="1"/>
  <c r="H43" i="1"/>
  <c r="F45" i="1"/>
  <c r="H45" i="1"/>
  <c r="F278" i="1"/>
  <c r="H278" i="1"/>
  <c r="F279" i="1"/>
  <c r="H279" i="1"/>
  <c r="F280" i="1"/>
  <c r="H280" i="1"/>
  <c r="F281" i="1"/>
  <c r="H281" i="1"/>
  <c r="F47" i="1"/>
  <c r="H47" i="1"/>
  <c r="F48" i="1"/>
  <c r="H48" i="1"/>
  <c r="F287" i="1"/>
  <c r="H287" i="1"/>
  <c r="F288" i="1"/>
  <c r="H288" i="1"/>
  <c r="F51" i="1"/>
  <c r="H51" i="1"/>
  <c r="F52" i="1"/>
  <c r="H52" i="1"/>
  <c r="F53" i="1"/>
  <c r="H53" i="1"/>
  <c r="F56" i="1"/>
  <c r="H56" i="1"/>
  <c r="F58" i="1"/>
  <c r="H58" i="1"/>
  <c r="F57" i="1"/>
  <c r="H57" i="1"/>
  <c r="F60" i="1"/>
  <c r="H60" i="1"/>
  <c r="F59" i="1"/>
  <c r="H59" i="1"/>
  <c r="F63" i="1"/>
  <c r="H63" i="1"/>
  <c r="F67" i="1"/>
  <c r="H67" i="1"/>
  <c r="F66" i="1"/>
  <c r="H66" i="1"/>
  <c r="F68" i="1"/>
  <c r="H68" i="1"/>
  <c r="F70" i="1"/>
  <c r="H70" i="1"/>
  <c r="F71" i="1"/>
  <c r="H71" i="1"/>
  <c r="F73" i="1"/>
  <c r="H73" i="1"/>
  <c r="F74" i="1"/>
  <c r="H74" i="1"/>
  <c r="F80" i="1"/>
  <c r="H80" i="1"/>
  <c r="F86" i="1"/>
  <c r="H86" i="1"/>
  <c r="F84" i="1"/>
  <c r="H84" i="1"/>
  <c r="F85" i="1"/>
  <c r="H85" i="1"/>
  <c r="F83" i="1"/>
  <c r="H83" i="1"/>
  <c r="F88" i="1"/>
  <c r="H88" i="1"/>
  <c r="F91" i="1"/>
  <c r="H91" i="1"/>
  <c r="F92" i="1"/>
  <c r="H92" i="1"/>
  <c r="F90" i="1"/>
  <c r="H90" i="1"/>
  <c r="F93" i="1"/>
  <c r="H93" i="1"/>
  <c r="F99" i="1"/>
  <c r="H99" i="1"/>
  <c r="F101" i="1"/>
  <c r="H101" i="1"/>
  <c r="F100" i="1"/>
  <c r="H100" i="1"/>
  <c r="F103" i="1"/>
  <c r="H103" i="1"/>
  <c r="F106" i="1"/>
  <c r="H106" i="1"/>
  <c r="F107" i="1"/>
  <c r="H107" i="1"/>
  <c r="F108" i="1"/>
  <c r="H108" i="1"/>
  <c r="F109" i="1"/>
  <c r="H109" i="1"/>
  <c r="F112" i="1"/>
  <c r="H112" i="1"/>
  <c r="F113" i="1"/>
  <c r="H113" i="1"/>
  <c r="F115" i="1"/>
  <c r="H115" i="1"/>
  <c r="F114" i="1"/>
  <c r="H114" i="1"/>
  <c r="F116" i="1"/>
  <c r="H116" i="1"/>
  <c r="F119" i="1"/>
  <c r="H119" i="1"/>
  <c r="F124" i="1"/>
  <c r="H124" i="1"/>
  <c r="F121" i="1"/>
  <c r="H121" i="1"/>
  <c r="F120" i="1"/>
  <c r="H120" i="1"/>
  <c r="F125" i="1"/>
  <c r="H125" i="1"/>
  <c r="F128" i="1"/>
  <c r="H128" i="1"/>
  <c r="F130" i="1"/>
  <c r="H130" i="1"/>
  <c r="F131" i="1"/>
  <c r="H131" i="1"/>
  <c r="F132" i="1"/>
  <c r="H132" i="1"/>
  <c r="F129" i="1"/>
  <c r="H129" i="1"/>
  <c r="F137" i="1"/>
  <c r="H137" i="1"/>
  <c r="F134" i="1"/>
  <c r="H134" i="1"/>
  <c r="F135" i="1"/>
  <c r="H135" i="1"/>
  <c r="F138" i="1"/>
  <c r="H138" i="1"/>
  <c r="F143" i="1"/>
  <c r="H143" i="1"/>
  <c r="F139" i="1"/>
  <c r="H139" i="1"/>
  <c r="F140" i="1"/>
  <c r="H140" i="1"/>
  <c r="F141" i="1"/>
  <c r="H141" i="1"/>
  <c r="F149" i="1"/>
  <c r="H149" i="1"/>
  <c r="F150" i="1"/>
  <c r="H150" i="1"/>
  <c r="F151" i="1"/>
  <c r="H151" i="1"/>
  <c r="F152" i="1"/>
  <c r="H152" i="1"/>
  <c r="F153" i="1"/>
  <c r="H153" i="1"/>
  <c r="F154" i="1"/>
  <c r="H154" i="1"/>
  <c r="F155" i="1"/>
  <c r="H155" i="1"/>
  <c r="F157" i="1"/>
  <c r="H157" i="1"/>
  <c r="F158" i="1"/>
  <c r="H158" i="1"/>
  <c r="F160" i="1"/>
  <c r="H160" i="1"/>
  <c r="F265" i="1"/>
  <c r="H265" i="1"/>
  <c r="F266" i="1"/>
  <c r="H266" i="1"/>
  <c r="F2" i="1"/>
  <c r="H2" i="1"/>
  <c r="F277" i="1"/>
  <c r="H277" i="1"/>
  <c r="F259" i="1"/>
  <c r="H259" i="1"/>
  <c r="F8" i="1"/>
  <c r="H8" i="1"/>
  <c r="F268" i="1"/>
  <c r="H268" i="1"/>
  <c r="F12" i="1"/>
  <c r="H12" i="1"/>
  <c r="F14" i="1"/>
  <c r="H14" i="1"/>
  <c r="F16" i="1"/>
  <c r="H16" i="1"/>
  <c r="F37" i="1"/>
  <c r="H37" i="1"/>
  <c r="F272" i="1"/>
  <c r="H272" i="1"/>
  <c r="F289" i="1"/>
  <c r="H289" i="1"/>
  <c r="F55" i="1"/>
  <c r="H55" i="1"/>
  <c r="F64" i="1"/>
  <c r="H64" i="1"/>
  <c r="F72" i="1"/>
  <c r="H72" i="1"/>
  <c r="F89" i="1"/>
  <c r="H89" i="1"/>
  <c r="F95" i="1"/>
  <c r="H95" i="1"/>
  <c r="F110" i="1"/>
  <c r="H110" i="1"/>
  <c r="F118" i="1"/>
  <c r="H118" i="1"/>
  <c r="F136" i="1"/>
  <c r="H136" i="1"/>
  <c r="F145" i="1"/>
  <c r="H145" i="1"/>
  <c r="F148" i="1"/>
  <c r="H148" i="1"/>
  <c r="F144" i="1"/>
  <c r="H144" i="1"/>
  <c r="F164" i="1"/>
  <c r="H164" i="1"/>
  <c r="F166" i="1"/>
  <c r="H166" i="1"/>
  <c r="F286" i="1"/>
  <c r="H286" i="1"/>
  <c r="F17" i="1"/>
  <c r="H17" i="1"/>
  <c r="F24" i="1"/>
  <c r="H24" i="1"/>
  <c r="F28" i="1"/>
  <c r="H28" i="1"/>
  <c r="F33" i="1"/>
  <c r="H33" i="1"/>
  <c r="F44" i="1"/>
  <c r="H44" i="1"/>
  <c r="F290" i="1"/>
  <c r="H290" i="1"/>
  <c r="F69" i="1"/>
  <c r="H69" i="1"/>
  <c r="F81" i="1"/>
  <c r="H81" i="1"/>
  <c r="F87" i="1"/>
  <c r="H87" i="1"/>
  <c r="F111" i="1"/>
  <c r="H111" i="1"/>
  <c r="F146" i="1"/>
  <c r="H146" i="1"/>
  <c r="F159" i="1"/>
  <c r="H159" i="1"/>
  <c r="F267" i="1"/>
  <c r="H267" i="1"/>
  <c r="F258" i="1"/>
  <c r="H258" i="1"/>
  <c r="F297" i="1"/>
  <c r="H297" i="1"/>
  <c r="F260" i="1"/>
  <c r="H260" i="1"/>
  <c r="F3" i="1"/>
  <c r="H3" i="1"/>
  <c r="F5" i="1"/>
  <c r="H5" i="1"/>
  <c r="F295" i="1"/>
  <c r="H295" i="1"/>
  <c r="F7" i="1"/>
  <c r="H7" i="1"/>
  <c r="F296" i="1"/>
  <c r="H296" i="1"/>
  <c r="F18" i="1"/>
  <c r="H18" i="1"/>
  <c r="F20" i="1"/>
  <c r="H20" i="1"/>
  <c r="F23" i="1"/>
  <c r="H23" i="1"/>
  <c r="F27" i="1"/>
  <c r="H27" i="1"/>
  <c r="F29" i="1"/>
  <c r="H29" i="1"/>
  <c r="F30" i="1"/>
  <c r="H30" i="1"/>
  <c r="F31" i="1"/>
  <c r="H31" i="1"/>
  <c r="F46" i="1"/>
  <c r="H46" i="1"/>
  <c r="F49" i="1"/>
  <c r="H49" i="1"/>
  <c r="F50" i="1"/>
  <c r="H50" i="1"/>
  <c r="F54" i="1"/>
  <c r="H54" i="1"/>
  <c r="F61" i="1"/>
  <c r="H61" i="1"/>
  <c r="F62" i="1"/>
  <c r="H62" i="1"/>
  <c r="F82" i="1"/>
  <c r="H82" i="1"/>
  <c r="F97" i="1"/>
  <c r="H97" i="1"/>
  <c r="F98" i="1"/>
  <c r="H98" i="1"/>
  <c r="F104" i="1"/>
  <c r="H104" i="1"/>
  <c r="F105" i="1"/>
  <c r="H105" i="1"/>
  <c r="F117" i="1"/>
  <c r="H117" i="1"/>
  <c r="F122" i="1"/>
  <c r="H122" i="1"/>
  <c r="F123" i="1"/>
  <c r="H123" i="1"/>
  <c r="F127" i="1"/>
  <c r="H127" i="1"/>
  <c r="F142" i="1"/>
  <c r="H142" i="1"/>
  <c r="F147" i="1"/>
  <c r="H147" i="1"/>
  <c r="F161" i="1"/>
  <c r="H161" i="1"/>
</calcChain>
</file>

<file path=xl/sharedStrings.xml><?xml version="1.0" encoding="utf-8"?>
<sst xmlns="http://schemas.openxmlformats.org/spreadsheetml/2006/main" count="5965" uniqueCount="820">
  <si>
    <t>PROCEEDING</t>
  </si>
  <si>
    <t>FILED DATE</t>
  </si>
  <si>
    <t>CLOSED DATE</t>
  </si>
  <si>
    <t>REOPEN DATE</t>
  </si>
  <si>
    <t>SUBMISSION DATE</t>
  </si>
  <si>
    <t>HEARING</t>
  </si>
  <si>
    <t>SHORT TITLE</t>
  </si>
  <si>
    <t>STATUS</t>
  </si>
  <si>
    <t>UTILITY</t>
  </si>
  <si>
    <t>ALJ</t>
  </si>
  <si>
    <t>Yes</t>
  </si>
  <si>
    <t>REOPENED</t>
  </si>
  <si>
    <t>Miscellaneous</t>
  </si>
  <si>
    <t>ACTIVE</t>
  </si>
  <si>
    <t>Electric</t>
  </si>
  <si>
    <t>Catherine J.K. Sandoval</t>
  </si>
  <si>
    <t xml:space="preserve">Douglas M. Long </t>
  </si>
  <si>
    <t>Water</t>
  </si>
  <si>
    <t>A0701031</t>
  </si>
  <si>
    <t>No</t>
  </si>
  <si>
    <t>EDISON - TO CONSTRUCT ELECTRICAL FACILITIES WITH VOLTAGES BETWEEN 50 KV AND 200 KV</t>
  </si>
  <si>
    <t>Michel Peter Florio</t>
  </si>
  <si>
    <t xml:space="preserve">Hallie Yacknin </t>
  </si>
  <si>
    <t>A0704028</t>
  </si>
  <si>
    <t>EDISON - TO CONSTRUCT ELECTRICAL FACILITIES WITH VOLTAGES BETWEEN 50KV AND 200KV - FOGARTY SUBSTATION PROJECT</t>
  </si>
  <si>
    <t>Communications</t>
  </si>
  <si>
    <t>A0806001</t>
  </si>
  <si>
    <t>EDISON - FOR APPROVAL OF DEMAND RESPONSE PROGRAMS, GOALS AND BUDGETS FOR 2009 - 2011</t>
  </si>
  <si>
    <t xml:space="preserve">Patricia Miles </t>
  </si>
  <si>
    <t>A0806002</t>
  </si>
  <si>
    <t>SDG&amp;E -  FOR APPROVAL OF DEMAND RESPONSE PROGRAMS AND BUDGETS FOR YEARS 2009 THROUGH 2011</t>
  </si>
  <si>
    <t>A0806003</t>
  </si>
  <si>
    <t>PG&amp;E - FOR APPROVAL OF 2009 - 2011 DEMAND RESPONSE PROGRAMS AND BUDGETS</t>
  </si>
  <si>
    <t xml:space="preserve">Karl Bemesderfer </t>
  </si>
  <si>
    <t>A0808022</t>
  </si>
  <si>
    <t>GOLDEN STATE WATER CO.  - CPCN TO CONSTRUCT AND OPERATE A WATER SYSTEM IN SUTTER COUNTY</t>
  </si>
  <si>
    <t>Carla Peterman</t>
  </si>
  <si>
    <t xml:space="preserve">Maryam Ebke </t>
  </si>
  <si>
    <t>A0903007</t>
  </si>
  <si>
    <t>NEXTG NETWORKS OF CALIFORNIA, INC. - FOR AUTHORITY TO ENGAGE IN GROUND-DISTURBING OUTSIDE PLANT CONSTRUCTION</t>
  </si>
  <si>
    <t xml:space="preserve">Kimberly Kim S. Pat Tsen </t>
  </si>
  <si>
    <t>Michael Picker</t>
  </si>
  <si>
    <t>Multiple Types</t>
  </si>
  <si>
    <t>A0909022</t>
  </si>
  <si>
    <t>EDISON - TO CONSTRUCT ELECTRICAL FACILITIES WITH VOLTAGES BETWEEN 50kV AND 200kV OR NEW OR UPGRADED SUBSTATIONS WITH HIGH SIDE VOLTAGES EXCEEDING 50 kV: ALBERHILL SYSTEM PROJECT</t>
  </si>
  <si>
    <t>A1002028</t>
  </si>
  <si>
    <t>PG&amp;E - FOR APPROVAL OF ITS 2010 RATE DESIGN WINDOW PROPOSAL FOR 2-PART PEAK TIME REBATE AND RECOVERY OF INCREMENTAL EXPENDITURE REQUIRER FOR IMPLEMENTATION</t>
  </si>
  <si>
    <t xml:space="preserve">Stephen C. Roscow </t>
  </si>
  <si>
    <t>Transportation</t>
  </si>
  <si>
    <t xml:space="preserve">S. Pat Tsen </t>
  </si>
  <si>
    <t>A1008005</t>
  </si>
  <si>
    <t>PG&amp;E - TO DEFER CONSIDERATION OF DEFAULT RESIDENTIAL TIME-VARIANT PRICING UNTIL ITS NEXT GRC PHASE 2 PROCEEDING</t>
  </si>
  <si>
    <t>A1008024</t>
  </si>
  <si>
    <t>CALIFORNIA PACIFIC ELECTRIC CO. - TO CONSTRUCT ELECTRICAL FACILITIES THE 625 AND 650 LINE UPGRADE PROJECT</t>
  </si>
  <si>
    <t xml:space="preserve">Jean Vieth </t>
  </si>
  <si>
    <t>A1011004</t>
  </si>
  <si>
    <t>STi PREPARD, LLC AND VIVARO CORP. - FOR AUTHORITY TO TRANSFER CONTROL</t>
  </si>
  <si>
    <t xml:space="preserve">Julie Halligan </t>
  </si>
  <si>
    <t xml:space="preserve">Linda Rochester </t>
  </si>
  <si>
    <t>Gas</t>
  </si>
  <si>
    <t>A1102002</t>
  </si>
  <si>
    <t>SUBURBAN WATER SYSTEMS - TO INCREASE RATES CHARGED FOR WATER SERVICE FOR YEARS 2012, 2013, AND 2014</t>
  </si>
  <si>
    <t xml:space="preserve">Douglas M. Long Legal Division </t>
  </si>
  <si>
    <t>A1102011</t>
  </si>
  <si>
    <t>PG&amp;E - FOR REVIEW OF ENTRIES TO THE ENERGY RESOURCE RECOVERY ACCOUNT AND RENEWABLES PORTFOLIO STANDARD COST MEMORANDUM ACCOUNT</t>
  </si>
  <si>
    <t xml:space="preserve">Kelly A. Hymes </t>
  </si>
  <si>
    <t xml:space="preserve">Amy C. Yip-Kikugawa </t>
  </si>
  <si>
    <t>A1104001</t>
  </si>
  <si>
    <t>EDISON - FOR A FINDING THAT ITS PROCUREMENT-RELATED AND OTHER OPERATIONS FOR RECORD PERIOD JANUARY/2010 TO DECEMBER 2010 COMPLIED WITH ADOPTED PROCUREMENT PLAN</t>
  </si>
  <si>
    <t>A1104013</t>
  </si>
  <si>
    <t>ORVIS AND ASPEN FOREST INVESTMENT CO., LLC. - TO BUY SHARES OF THE COMMON STOCK OF THE WATER SYSTEM KNOWN AS LAKE ALPINE</t>
  </si>
  <si>
    <t xml:space="preserve">Sean Wilson </t>
  </si>
  <si>
    <t xml:space="preserve">Kimberly Kim </t>
  </si>
  <si>
    <t>A1105023</t>
  </si>
  <si>
    <t>SDG&amp;E - TO ENTER INTO PURCHASE POWER TOLLING AGREEMENT WITH ESCONDIDO ENERGY CENTER, PIO PICO ENERGY CENTER AND QUAIL BRUSH POWER</t>
  </si>
  <si>
    <t>A1106003</t>
  </si>
  <si>
    <t>SDG&amp;E - FOR APPROVAL OF CONTRACT ADMINISTRATION, LEAST COST DISPATCH AND POWER PROCUREMETN ACTIVITIES AND COSTS RELATED TO THOSE ACTIVITIES</t>
  </si>
  <si>
    <t>A1106006</t>
  </si>
  <si>
    <t>SDG&amp;E - FOR ADOPTION OF ITS SMART GRID DEPLOYMENT PLAN</t>
  </si>
  <si>
    <t>A1106029</t>
  </si>
  <si>
    <t>PG&amp;E - FOR ADOPTION OF ITS SMART GRID DEPLOYMENT PLAN</t>
  </si>
  <si>
    <t>A1107001</t>
  </si>
  <si>
    <t>EDISON - FOR APPROVAL OF ITS SMART GRID DEPOLYMENT PLAN</t>
  </si>
  <si>
    <t>A1107005</t>
  </si>
  <si>
    <t>SAN GABRIEL VALLEY WATER CO. - FOR AUTHORITY TO INCREASE RATES CHARGED FOR WATER SERVICE IN ITS FONTANA DIVISION FOR YEARS 2012-2014</t>
  </si>
  <si>
    <t>A1107009</t>
  </si>
  <si>
    <t>ALAMEDA COUNTY RESIDENTS CONCERNED ABOUT SMART METERS -  FOR MODIFICATION OF D.06-07-027</t>
  </si>
  <si>
    <t>Railroad/Grade Crossings</t>
  </si>
  <si>
    <t xml:space="preserve">W. Anthony Colbert </t>
  </si>
  <si>
    <t>A1111002</t>
  </si>
  <si>
    <t>SDG&amp;E AND SOCAL GAS - TO REVISE THEIR RATES EFFECTIVE JANUARY 1. 2013</t>
  </si>
  <si>
    <t>A1112011</t>
  </si>
  <si>
    <t>KERMAN TELEPHONE CO. - TO REVIEW INTRASTATE RATES AND CHARGES AND RATE OF RETURN FOR TELEPHONE SERVICE FURNISHED WITHIN CALIFORNIA</t>
  </si>
  <si>
    <t>A1201008</t>
  </si>
  <si>
    <t>SDG&amp;E - AUTHORITY TO IMPLEMENT OPTIONAL PILOT PROGRAM TO INCREASE CUSTOMER ACCESS TO SOLAR GENERATED ELECTRICITY</t>
  </si>
  <si>
    <t>A1201012</t>
  </si>
  <si>
    <t>PG&amp;E - PERMIT TO CONSTRUCT SANTA CRUZ 115 KV REINFORCEMENT PROJECT PURSUANT TO GO 131-D</t>
  </si>
  <si>
    <t xml:space="preserve">Robert Mason </t>
  </si>
  <si>
    <t>A1201014</t>
  </si>
  <si>
    <t>PG&amp;E, EDISON, AND SDG&amp;E - FOR ADOPTION OF ELECTRIC REVENUE REQUIREMENTS</t>
  </si>
  <si>
    <t>A1204009</t>
  </si>
  <si>
    <t>PG&amp;E - ADOPTION OF ELECTRIC REVENUE REQUIREMENTS AND RATES ASSOCIATED WITH THE MARKET REDESIGN AND TECHNOLOGY UPGRADE (MRTU) INITIATIVE</t>
  </si>
  <si>
    <t>A1204019</t>
  </si>
  <si>
    <t>CAL-AM WATER CO. - FOR APPROVAL OF THE MONTEREY PENINSULA WATER SUPPLY PROJECT AND AUTHORIZATION TO RECOVER ALL PRESENT AND FUTURE COSTS IN RATES</t>
  </si>
  <si>
    <t>A1204020</t>
  </si>
  <si>
    <t>PG&amp;E - TO ESTABLISH A GREEN OPTION TARIFF</t>
  </si>
  <si>
    <t>A1205020</t>
  </si>
  <si>
    <t>SDG&amp;E - CPCN FOR THE SOUTH ORANGE COUNTY RELIABILITY ENHANCEMENT</t>
  </si>
  <si>
    <t xml:space="preserve">Darwin Farrar </t>
  </si>
  <si>
    <t>A1207001</t>
  </si>
  <si>
    <t>PG&amp;E - FOR APPROVAL OF 2013 -2014 ENERGY EFFICIENCY PROGRAMS AND BUDGET</t>
  </si>
  <si>
    <t xml:space="preserve">Todd O Edmister </t>
  </si>
  <si>
    <t>A1207002</t>
  </si>
  <si>
    <t>SDG&amp;E - FOR APPROVAL OF ELECTRIC AND NATURAL GAS ENERGY EFFICIENCY PROGRAMS AND BUDGETS FOR YEARS 2013 THROUGH 2014</t>
  </si>
  <si>
    <t>A1207003</t>
  </si>
  <si>
    <t>SOCAL GAS - FOR APPROVAL OF NATURAL GAS ENERGY EFFICIENCY PROGRAMS AND BUDGETS FOR YEARS 2013 THROUGH 2014</t>
  </si>
  <si>
    <t>A1207004</t>
  </si>
  <si>
    <t>EDISON - FOR APPROVAL OF ENERGY EFFICIENCY AND DEMAND RESPONSE INTEGRATED DEMAND SIDE MANAGEMENT PROGRAMS AND BUDGETS FOR 2013-2014</t>
  </si>
  <si>
    <t>A1210009</t>
  </si>
  <si>
    <t>A1210018</t>
  </si>
  <si>
    <t>EDISON - PERMIT TO CONSTRUCT ELECTRICAL FACILITIES WITH VOLTAGES BETWEEN 50KV AND 200KV: SANTA BARBARA COUNTY RELIABILITY PROJECT</t>
  </si>
  <si>
    <t>A1211001</t>
  </si>
  <si>
    <t>CALIFORNIA ENERGY COMMISSION - APPROVAL FOR ELECTRIC PROGRAM INVESTMENT CHARGE PROPOSED 2012 THROUGH 2014 TRIENNIAL INVESTMENT PLAN</t>
  </si>
  <si>
    <t>A1211002</t>
  </si>
  <si>
    <t xml:space="preserve">SDG&amp;E - APPROVAL FOR ELECTRIC PROGRAM INVESTMENT CHARGE  TRIENNIAL  PLAN FOR YEARS 2012-2014
</t>
  </si>
  <si>
    <t>A1211003</t>
  </si>
  <si>
    <t>PG&amp;E - APPROVAL  OF ITS 2012-2014 ELECTRIC PROGRAM INVESTMENT CHARGE INVESTMENT PLAN.</t>
  </si>
  <si>
    <t>A1211004</t>
  </si>
  <si>
    <t>EDISON - APPROVAL  OF ITS TRIENNIAL INVESTMENT PLAN FOR ELECTRIC PROGRAM INVESTMENT CHARGE PROGRAM</t>
  </si>
  <si>
    <t>A1211009</t>
  </si>
  <si>
    <t>PG&amp;E - FOR AUTHORITY, AMONG OTHER THINGS, TO INCREASE RATES AND CHARGES FOR ELECTRIC AND GAS SERVICE EFFECTIVE ON JANUARY 1, 2014</t>
  </si>
  <si>
    <t xml:space="preserve">Thomas R. Pulsifer </t>
  </si>
  <si>
    <t>A1211011</t>
  </si>
  <si>
    <t>EDISON - PERMIT TO CONSTRUCT ELECTRICAL FACILITIES WITH VOLTAGES BETWEEN 50KV AND 200 KV: BANDUCCI SUBSTATION PROJECT</t>
  </si>
  <si>
    <t xml:space="preserve">Jeanne McKinney </t>
  </si>
  <si>
    <t>A1212009</t>
  </si>
  <si>
    <t>CALNEV PIPE LINE LLC - FOR AUTHORITY PURSUANT TO PUB. UTIL. CODE SECTION 455.3, TO INCREASE ITS RATES FOR INTRASTATE PIPELINE TRANSPORTATION SERVICES</t>
  </si>
  <si>
    <t xml:space="preserve">Melanie Darling </t>
  </si>
  <si>
    <t>A1301003</t>
  </si>
  <si>
    <t>VALENCIA WATER CO. - FOR AUTHORITY TO INCREASE RATES CHARGED FOR WATER SERVICE IN ORDER TO REALIZE INCREASED ANNUAL REVENUES</t>
  </si>
  <si>
    <t xml:space="preserve">Todd O Edmister Douglas M. Long Legal Division </t>
  </si>
  <si>
    <t>A1301004</t>
  </si>
  <si>
    <t>VALENCIA WATER CO. - FOR AN ORDER ESTABLISHING THE COST OF CAPITAL FOR THE PERIOD FROM JANUARY 1, 2014 THROUGH DECEMBER 31, 2016.</t>
  </si>
  <si>
    <t>A1301014</t>
  </si>
  <si>
    <t>NOBELTEL, LLC - NDIEC REGISTRATION</t>
  </si>
  <si>
    <t>A1301016</t>
  </si>
  <si>
    <t>EDISON - FOR A REASONABLENESS DETERMINATION OF 2012 COSTS RECORDED IN THE SAN ONOFRE GENERATING STATION MEMORANDUM ACCOUNT</t>
  </si>
  <si>
    <t>A1302007</t>
  </si>
  <si>
    <t>CROWN CASTLE NG WEST, INC. -  FOR AUTORITY TO CONSTRUCT AND DEVIATE FROM PUBLIC UTILITIES CODE SECTION 320 FOR SAN MATEO COUNTY DAS FACILITIES</t>
  </si>
  <si>
    <t xml:space="preserve">Dan Burcham </t>
  </si>
  <si>
    <t>A1302023</t>
  </si>
  <si>
    <t>PG&amp;E - FOR COMPLIANCE REVIEW OF UTILITY OWNED GENERATION OPERATIONS, ELECTRIC ENERGY RESOURCE RECOVERY ACCOUNT ENTRIES</t>
  </si>
  <si>
    <t xml:space="preserve">Irene K. Moosen </t>
  </si>
  <si>
    <t>A1303005</t>
  </si>
  <si>
    <t>EDISON - FOR INCLUSION OF THE STEAM GENERATOR REPLACEMENT PROGRAM COST PERMANENTLY IN RATES</t>
  </si>
  <si>
    <t>A1303010</t>
  </si>
  <si>
    <t>BRIGHT FIBER NETWORK, LLC - CPCN TO PROVIDE BROADBAND SERVICES</t>
  </si>
  <si>
    <t>A1303013</t>
  </si>
  <si>
    <t>SDG&amp;E - FOR A REASONABLENESS DETERMINATION OF 2012 COSTS RECORDED IN THE SAN ONOFRE NUCLEAR GENERATING STATION MEMORANDUM ACCOUNT</t>
  </si>
  <si>
    <t>A1303014</t>
  </si>
  <si>
    <t xml:space="preserve">SDG&amp;E - FOR INCLUSION OF THE STEAM GENERATOR REPLACEMENT PROJECT COST PERMANENTLY IN RATES
</t>
  </si>
  <si>
    <t>A1304001</t>
  </si>
  <si>
    <t>EDISON - FOR A COMMISSION FINDING THAT ITS PROCUREMENT-RELATED AND OTHER OPERATIONS FOR THE RECORD PERIORD JANUARY 1 THROUGH DECEMBER 31, 2012 COMPLIED</t>
  </si>
  <si>
    <t>A1304012</t>
  </si>
  <si>
    <t>PG&amp;E -  TO REVISE ITS ELECTRIC MARGINAL COSTS, REVENUE ALLOCATION, AND RATE DESIGN</t>
  </si>
  <si>
    <t>A1305012</t>
  </si>
  <si>
    <t>SDG&amp;E - FOR APPROVAL OF A SETTLEMENT AGREEMENT AND RELATED AMENDMENTS TO ITS POWER PURCHASE AGREEMENTS WITH OTAY MESA ENERGY CENTER.</t>
  </si>
  <si>
    <t>A1305016</t>
  </si>
  <si>
    <t>SDG&amp;E - FOR APPROVAL OF:CONTRACT ADMINISTRATION, LEAST COST DISPATCH, AND POWER PROCUREMENT ACTIVITIES IN 2012</t>
  </si>
  <si>
    <t>A1305017</t>
  </si>
  <si>
    <t>CALIFORNIA-AMERICAN WATER CO. - FOR AN ORDER APPROVING A SETTLEMENT AGREEMENT WITH THE COUNTY OF MONTEREY AND THE MONTEREY COUNTY WTR RESOURCES AGENCY</t>
  </si>
  <si>
    <t>A1306011</t>
  </si>
  <si>
    <t>PG&amp;E - TO SET NEW CORE INTERSTATE PIPELINE CAPACITY PLANNING RANGE</t>
  </si>
  <si>
    <t xml:space="preserve">John S. Wong </t>
  </si>
  <si>
    <t>A1306015</t>
  </si>
  <si>
    <t>SDG&amp;E - TO FILL LOCAL CAPACITY REQUIREMENT NEED IDENTIFIED IN D.13-03-029</t>
  </si>
  <si>
    <t xml:space="preserve">Hallie Yacknin Legal Division </t>
  </si>
  <si>
    <t>A1306018</t>
  </si>
  <si>
    <t>GOLDEN STATE WATER CO. - FOR PRE-APPROVAL OF POWER PURCHASE AGREEMENTS WITH EDF TRADING NORTH AMERICA</t>
  </si>
  <si>
    <t>A1307002</t>
  </si>
  <si>
    <t>CALIFORNIA-AMERICAN WATER CO. - FOR AUTHORITY TO INCREASE ITS REVENUES FOR WATER SERVICE IN THE YEARS 2015 AND 2016</t>
  </si>
  <si>
    <t xml:space="preserve">Katherine MacDonald </t>
  </si>
  <si>
    <t>A1308014</t>
  </si>
  <si>
    <t>PG&amp;E - TO CONSTRUCT THE MISSOURI FLAT - GOLD HILL 115 kV POWER LINE RECONDUCTORING PROJECT</t>
  </si>
  <si>
    <t>A1308023</t>
  </si>
  <si>
    <t>EDISON - FOR A CPCN FOR THE COOLWATER-LUGO TRANSMISSION PROJECT</t>
  </si>
  <si>
    <t>A1308026</t>
  </si>
  <si>
    <t>SDG&amp;E - FOR APPROVAL OF CUSTOMER OUTREACH PLAN FOR YEARS 2014 AND 2015</t>
  </si>
  <si>
    <t>A1308027</t>
  </si>
  <si>
    <t>EDISION - FOR APPROVAL OF YEARS 2014-2015 GREENHOUSE GAS ALLOWANCE CUSTOMER OUTREACH PLAN</t>
  </si>
  <si>
    <t xml:space="preserve">Julie Halligan Melissa K. Semcer </t>
  </si>
  <si>
    <t>A1309001</t>
  </si>
  <si>
    <t>PACIFICORP - FOR APPROVAL OF PROPOSED CUSTOMER OUTREACH PLAN FOR YEARS 2014 AND 2015</t>
  </si>
  <si>
    <t>A1309002</t>
  </si>
  <si>
    <t>PG&amp;E - FOR APPROVAL OF PROPOSED CUSTOMER OUTREACH AND EDUCATION PLAN FOR YEARS 2014 AND 2015</t>
  </si>
  <si>
    <t>A1309003</t>
  </si>
  <si>
    <t>LIBERTY UTILITIES (CALPECO ELECTRIC) LLC - FOR APPROVAL OF PROPOSED CUSTOMER OUTREACH PLAN FOR YEARS 2014 AND 2015</t>
  </si>
  <si>
    <t>A1309010</t>
  </si>
  <si>
    <t>SOCAL GAS CO. - FOR APPROVAL OF THE BRANCH OFFICE OPTIMIZATION PROCESS</t>
  </si>
  <si>
    <t>A1309014</t>
  </si>
  <si>
    <t>SDG&amp;E - FOR A PERMIT TO CONSTRUCT THE SALT CREEK SUBSTATION PROJECT</t>
  </si>
  <si>
    <t>A1309018</t>
  </si>
  <si>
    <t>DIAL WORLD COMMUNICATIONS, LLC - TO OBTAIN A CPCN AS A TELEPHONE CORPORATION</t>
  </si>
  <si>
    <t>A1309020</t>
  </si>
  <si>
    <t>SONOMA-MARIN AREA RAIL TRANSIT DISTRICT -  COST ALLOCATION FOR REQUIRED IMPROVEMENTS, INCLUDING INSTALLATION OF QUADRANT GATES AT A PRIVATE CROSSING</t>
  </si>
  <si>
    <t xml:space="preserve">Kimberly Kim W. Anthony Colbert Richard Clark </t>
  </si>
  <si>
    <t>A1309023</t>
  </si>
  <si>
    <t>A1310011</t>
  </si>
  <si>
    <t>RURAL WATER CO. AND GOLDEN STATE WATER CO. - FOR APPROVAL OF SALE OF ASSETS</t>
  </si>
  <si>
    <t xml:space="preserve">Maribeth A. Bushey </t>
  </si>
  <si>
    <t>A1310020</t>
  </si>
  <si>
    <t xml:space="preserve"> EDISON - FOR A CERTIFICATE OF PUBLIC CONVENIENCE AND NECESSITY FOR THE WEST OF DEVERS UPGRADE PROJECT AND FOR AN INTERIM DECISION
</t>
  </si>
  <si>
    <t>A1310021</t>
  </si>
  <si>
    <t>EDISON - FOR A PERMIT TO CONSTRUCT ELECTRICAL FACILITIES WITH VOLTAGES BEETWEEN 50 KV AND 200 KV: MOORPARK-NEWBURY</t>
  </si>
  <si>
    <t>A1310022</t>
  </si>
  <si>
    <t>VODAFONE GLOBAL ENTERPRISE INC. - NDIEC REGISTRATION</t>
  </si>
  <si>
    <t>A1311003</t>
  </si>
  <si>
    <t>EDISON - AUTHORITY TO, AMONG OTHER THINGS, INCREASE ITS AUTHORIZED REVENUES FOR ELECTRIC SERVICE IN 2015, AND TO REFLECT THAT INCREASE IN RATES</t>
  </si>
  <si>
    <t xml:space="preserve">Kevin R. Dudney Melanie Darling </t>
  </si>
  <si>
    <t>A1311014</t>
  </si>
  <si>
    <t>ANGEL AMERICAS, LLC - NDIEC REGISTRATION</t>
  </si>
  <si>
    <t>A1312002</t>
  </si>
  <si>
    <t>DEL ORO WATER CO. - TO REVIEW THE REASONABLENESS OF ITS GENERAL OFFICE, AFFILIATE TRANSACTIONS, AND NON-TARIFED GOODS AND SERVICES</t>
  </si>
  <si>
    <t>A1312003</t>
  </si>
  <si>
    <t>1 800 COLLECT, INC - FOR A CPCN TO PROVIDE RESOLD COMPETITIVE LOCAL EXCHANGE</t>
  </si>
  <si>
    <t>A1312004</t>
  </si>
  <si>
    <t>WORLDVOX CORPORATION - TO OBTAIN A CPCN AS A TELEPHONE CORPORATION</t>
  </si>
  <si>
    <t>A1312012</t>
  </si>
  <si>
    <t>A1312013</t>
  </si>
  <si>
    <t>SOCALGAS AND SDG&amp;E -  FOR AUTHORITY TO RECOVER NORTH-SOUTH PROJECT REVENUE REQUIREMENT IN CUSTOMER RATES</t>
  </si>
  <si>
    <t>A1312014</t>
  </si>
  <si>
    <t>A1401002</t>
  </si>
  <si>
    <t>A1401007</t>
  </si>
  <si>
    <t xml:space="preserve">EDISON - FOR APPROVAL OF OPTIONAL GREEN RATE
</t>
  </si>
  <si>
    <t>A1401008</t>
  </si>
  <si>
    <t>A1401020</t>
  </si>
  <si>
    <t>HUNTER COMMUNICATIONS, INC. - FOR A CPCN TO PROVIDE FULL FACILITIES BASED AND RESOLD COMPETITIVE LOCAL EXCHANGE AND INTEREXCHANGE  SERVICE</t>
  </si>
  <si>
    <t>A1401027</t>
  </si>
  <si>
    <t>SDG&amp;E - FOR AUTHORITY TO UPDATE ELECTIC RATE DESIGN EFFECTIVE ON JANUARY 1, 2015</t>
  </si>
  <si>
    <t>A1401028</t>
  </si>
  <si>
    <t>CABLE &amp; WIRELESS AMERICAS OPERATIONS, INC. - FOR A CPCN TO PROVIDE RESOLD INTEREXCHANGE TELECOMMUNICATIONS SERVICE</t>
  </si>
  <si>
    <t>A1401029</t>
  </si>
  <si>
    <t>ILATANET, LLC - FOR AUTHORIZATION TO OBTAIN A CPCN AS A TELEPHONE CORPORATION PURSUANT TO THE PROVISIONS OF PUBLIC UTILITIES CODE SECTION 1001.</t>
  </si>
  <si>
    <t xml:space="preserve">Colette Kersten </t>
  </si>
  <si>
    <t>A1402008</t>
  </si>
  <si>
    <t>PG&amp;E - FOR COMPLIANCE REVIEW OF UTILITY OWNED GENERATION OPERATIONS, ELECTRIC ENERGY RESORUCE RECOVERY ACCOUNT ENTRIES ET AL.</t>
  </si>
  <si>
    <t>A1403006</t>
  </si>
  <si>
    <t>DYNALINK COMMUNICATIONS, INC. - FOR A CPCN TO PROVIDE RESOLD LOCAL EXCHANGE AND INTEREXCHANGE TELECOMMUNICATION SERVICES</t>
  </si>
  <si>
    <t>A1403007</t>
  </si>
  <si>
    <t>WEBPASS TELECOMMUNICATIONS, LLC - FOR A CPCN TO PROVIDE FULL FACILITIES-BASED AND RESOLD COMPETITIVE LOCAL EXCHANGE SERVICE AND FULL FACILITIES-BASED AND RESOLD INTEREXCHANGE SERVICE STATEWIDE</t>
  </si>
  <si>
    <t>A1403011</t>
  </si>
  <si>
    <t>RB COMMUNICATIONS, INC.- NDIEC REGISTRATION</t>
  </si>
  <si>
    <t>A1403013</t>
  </si>
  <si>
    <t>EDISON - FOR APPROVAL OF 2014-2018 ECONOMIC DEVELOPMENT RATES</t>
  </si>
  <si>
    <t xml:space="preserve">Regina DeAngelis </t>
  </si>
  <si>
    <t>A1404006</t>
  </si>
  <si>
    <t>EDISON - FOR A FINDING THAT ITS PROCUREMENT-RELATED AND OTHER OPERATIONS FOR 1/1 - 12/31/13  COMPLIED WITH ADOPTED PROCUREMENT PLAN AND TO RECOVER $6.619 MILLION RECORDED IN  MEMORANDUM ACCOUNTS</t>
  </si>
  <si>
    <t>A1404011</t>
  </si>
  <si>
    <t>SDG&amp;E - FOR A CPCN FOR THE SYCAMORE-PENASQUITOS 230 K TRANSMISSION LINE PROJECT</t>
  </si>
  <si>
    <t>A1404013</t>
  </si>
  <si>
    <t>COMCAST CORPORATION, TIME WARNER CABLE INC., ET AL - FOR APPROVAL OF THE TRANSFER OF CONTROL TO COMCAST CORPORATION</t>
  </si>
  <si>
    <t>A1404014</t>
  </si>
  <si>
    <t>SDG&amp;E - FOR APPROVAL OF ITS ELECTRIC VEHICLE-GRID INTEGRATION PILOT PROGRAM</t>
  </si>
  <si>
    <t xml:space="preserve">David M. Gamson </t>
  </si>
  <si>
    <t>A1404018</t>
  </si>
  <si>
    <t>SDG&amp;E - FOR APPROVAL OF ITS GREENHOUSE GAS FORECASTED COSTS AND ALLOWANCE REVEUES FOR 2015 AND RECONCILIATION OF ITS ALLOWANCE REVENUES FOR 2013</t>
  </si>
  <si>
    <t>A1404021</t>
  </si>
  <si>
    <t>LCR TELECOMMUNICATIONS, LLC - NDIEC REGISTRATION</t>
  </si>
  <si>
    <t>A1404034</t>
  </si>
  <si>
    <t>CALIFORNIA ENERGY COMMISISON - FOR APPROVAL OF ELECTRIC PROGRAM INVESTMENT CHARGE PROPOSED 2015 THROUGH 2017 TRIENNIAL INVESTMENT PLAN</t>
  </si>
  <si>
    <t>A1404035</t>
  </si>
  <si>
    <t>GREAT OAKS WATER CO. AND GOW CORP. - FOR AUTHORITY TO ACQUIRE AND CONTROL GREAT OAKS WATER CO.</t>
  </si>
  <si>
    <t>A1404036</t>
  </si>
  <si>
    <t xml:space="preserve"> KDDI AMERICA, INC. - FOR A CPCN TO OPERATE AS A RESELLER OF WIRELESS TELECOMMUNICATION SERVICES</t>
  </si>
  <si>
    <t>A1404037</t>
  </si>
  <si>
    <t>LIBERTY UTILITIES (CALPECO ELECTRIC) LLC -  FOR AUTHORITY TO RECOVER THE AMOUNTS RELATED TO VEGETATION MANAGEMENT RECORDED IN THE VEGETATION MANAGEMENT MEMORANDUM ACCOUNT</t>
  </si>
  <si>
    <t>A1405002</t>
  </si>
  <si>
    <t>SILICON BUSINESS SYSTEM - FOR A CPCN TO OPERATE AS A PROVIDER OF LIMITED FACILITIES-BASED AND RESOLD TELECOMMUNICATION SERVICES</t>
  </si>
  <si>
    <t>A1405003</t>
  </si>
  <si>
    <t>PG&amp;E - FOR APPROVAL OF ITS 2015-2017 ELECTRIC PROGRAM INVESTMENT CHARGE INVESTMENT PLAN</t>
  </si>
  <si>
    <t>A1405004</t>
  </si>
  <si>
    <t>SDG&amp;E - FOR APPROVAL OF ELECTRIC PROGRAM INVESTMENT CHARGE TRIENNIAL PLAN FOR YEARS 2015-2017</t>
  </si>
  <si>
    <t>A1405005</t>
  </si>
  <si>
    <t>EDISON - FOR APPROVAL OF ITS 2015-2017 TRIENNIAL INVESTMENT PLAN FOR ELECTRIC PROGRAM INVESTMENT CHARGE</t>
  </si>
  <si>
    <t>A1405021</t>
  </si>
  <si>
    <t>SDG&amp;E - FOR A PERMIT TO CONSTRUCT THE VINE SUBSTATION PROJECT</t>
  </si>
  <si>
    <t>A1405024</t>
  </si>
  <si>
    <t>PG&amp;E - FOR ADOPTION OF ELECTRIC REVENUE REQUIREMENTS AND RATES ASSOCIATED WITH ITS 2015 ERRA AND GENERATION NON-BYPASSABLE CHARGES FORECAST</t>
  </si>
  <si>
    <t>A1405026</t>
  </si>
  <si>
    <t>SDG&amp;E - FOR APPROVAL OF CONTRACT ADMINISTRATION, LEAST COST DISPATCH AND POWER PROCUREMENT ACTIVITIES, COST RELATED IN ITS ERRA AND COST RECORDED IN ACCOUNTS IN 2013</t>
  </si>
  <si>
    <t xml:space="preserve">Rafael L. Lirag </t>
  </si>
  <si>
    <t>A1406001</t>
  </si>
  <si>
    <t>PG&amp;E - FOR RECOVERY OF COST TO IMPLEMENT ELECTRIC RULE 24 DIRECT PARTICIPATION DEMAND RESPONSE</t>
  </si>
  <si>
    <t>A1406002</t>
  </si>
  <si>
    <t>SDG&amp;E - TO ESTABLISH A MEMORANDUM ACCOUT TO RECORD IMPLEMENTATION COSTS OF ELECTRIC RULE 32</t>
  </si>
  <si>
    <t>A1406003</t>
  </si>
  <si>
    <t>EDISON - FOR APPROVAL OF TARIFFS FOR THE RECOVERY OF COSTS INCURRED AS A RESULT OF PROVIDING SERVICES TO THIRD-PARTY DEMAND RESPONSE PROVIDERS</t>
  </si>
  <si>
    <t>A1406011</t>
  </si>
  <si>
    <t>EDISON - FOR APPROVAL OF ITS FORECAST 2015 ERRA PROCEEDING REVENUE REQUIREMENT</t>
  </si>
  <si>
    <t>A1406012</t>
  </si>
  <si>
    <t>COMCAST CORP., TIME WARNER CABLE INFORMATION AND CHARTER FIBERLINK CA-CCO, LLC - FOR EXPEDITED APPROVAL TO TRANSFER CERTAIN ASSETS AND CUSTOMERS TO TIME WARNER</t>
  </si>
  <si>
    <t>A1406014</t>
  </si>
  <si>
    <t>EDISON - TO ESTABLISH MARGINAL COSTS, ALLOCATE REVENUES, DESIGN RATES, AND IMPLEMENT ADDITIONAL DYNAMIC PRICING RATES</t>
  </si>
  <si>
    <t>A1406021</t>
  </si>
  <si>
    <t>SOCAL GAS AND SDG&amp;E - FOR LOW OPERATIONAL FLOW ORDER AND EMERGENCY FLOW ORDER REQUIREMENTS</t>
  </si>
  <si>
    <t>A8705049</t>
  </si>
  <si>
    <t>OMNIPHNE, INC - FOR REHEARING OF RES T-12015</t>
  </si>
  <si>
    <t>A8804004</t>
  </si>
  <si>
    <t>PACIFIC BELL - TO ESTABLISH AN INFORMATION CALLING SERVICE</t>
  </si>
  <si>
    <t>C0610015</t>
  </si>
  <si>
    <t>PASADENA AVENUE MONTEREY ROAD COMMITTEE VS. LOS ANGELES COUNTY METROPOLITAN TRANSP. AUTHORITY, ET AL. - FOR FAILURE TO COMPLY WITH D05-02-032 AS MODIFIED BY D05-09-040</t>
  </si>
  <si>
    <t>C0804037</t>
  </si>
  <si>
    <t>CITY OF HUNTINGTON BEACH VS NEXTG NETWORKS OF CALIFORNIA, INC. - FOR AN ORDER TO ENFORCE CEQA AND TO ORDER NEXTG TO CEASE AND DESIST CLAIMS OF AUTHORITY TO INSTALL NEW POLES, ANTENNA FACILITIES, ETC.</t>
  </si>
  <si>
    <t>C0808006</t>
  </si>
  <si>
    <t>QWEST COMMUNICATIONS CORP. VS MCIMETRO ACCESS TRANSMISSION SERVICES, LLC.  - DISPUTE ON VIOLATIONS OF CALIFORNIA LAW</t>
  </si>
  <si>
    <t xml:space="preserve">Patricia Miles Legal Division </t>
  </si>
  <si>
    <t>C1001005</t>
  </si>
  <si>
    <t>CITY OF SANTA BARBARA VS. VERIZON CALIFORNIA, INC. - DISPUTE ON PAYMENT OF PRO-RATA SHARE OF THE INSTALLATION OF A NO MORE THAN 100 FEET OF UNDERGROUND SERVICE CONNECTIONS FACILITY</t>
  </si>
  <si>
    <t>C1002026</t>
  </si>
  <si>
    <t>LAWRENCE VS PG&amp;E - FOR THE ILLEGAL PLACEMENT OF AN EXISTING LINE EXTENSION AND THE REFUSAL TO BEAR THE COSTS TO RELOCATE</t>
  </si>
  <si>
    <t>C1010010</t>
  </si>
  <si>
    <t>HETHERINGTONS VS PG&amp;E - DISPUTE ON RELOCATION OF SMART METER AND REFUND OF RELATED OVERCHARGES</t>
  </si>
  <si>
    <t>C1012001</t>
  </si>
  <si>
    <t>VAYA TELECOM, INC. VS PAC BELL DBA AT&amp;T CALIFORNIA - DISPUTE REGARDING APPLICABLE LAWS UNDER ICA VOIP TRAFFIC</t>
  </si>
  <si>
    <t>C1102015</t>
  </si>
  <si>
    <t>PAC BELL VS VAYA TELECOM, INC. - FOR A FINDING ON A BREACH OF INTERCONNECTION AGREEMENT AND RELATED RELIEF</t>
  </si>
  <si>
    <t>C1203017</t>
  </si>
  <si>
    <t>COLEMAN, WALLACE, VAUGH AND DARGITZ  VS ODD FELLOWS SIERRA RECREATION ASSOC. - FOR AN ORDER THAT DEFENDANT IS A WATER PUBLIC UTILITY</t>
  </si>
  <si>
    <t>C1208015</t>
  </si>
  <si>
    <t>DAVIS VS. EDISON - RELIEF FROM AN INCORRECT APPLICATION OF TARIFF RULE 21 BY DEFENDANT</t>
  </si>
  <si>
    <t>C1301005</t>
  </si>
  <si>
    <t>SANTA CLARITA ORGANIZATION FOR PLANNING THE ENVIRONMENT AND FRIENDS OF SANTA CLARA RIVER VS. VALENCIA WATER AND CASTAIC LAKE WATER AGENCY - FOR RELIEF FROM UNAUTHORIZED TRANSFER OF CONTROL</t>
  </si>
  <si>
    <t>C1302013</t>
  </si>
  <si>
    <t>ALLIANCE FOR NUCLEAR RESPONSIBILITY VS EDISON - FOR RELIEF FROM VIOLATIONS OF RULE 1.1, CONTEMPT UNDER PU CODE 2113 FOR MISREPRESENTING THE COST FOR SAN ONOFRE STEAM GENERATOR REPLACEMENT PROJECT</t>
  </si>
  <si>
    <t>C1304008</t>
  </si>
  <si>
    <t>O1 COMMUNICATIONS, INC. VS VERIZON COMMUNICATIONS, INC. ET AL - TO IMMEDIATELY PAY ALL AMOUNT INVOICED BY COMPLAINANT TO DEFENDANTS INCLUDING LATE PAYMENT CHARGES, INTEREST AND RELATED RELIEF</t>
  </si>
  <si>
    <t>C1307004</t>
  </si>
  <si>
    <t>ROSENBERG VS PAC BELL - FOR RELIEF FROM FAIILURE TO PROVIDE TELEPHONE SERVICE</t>
  </si>
  <si>
    <t>C1310008</t>
  </si>
  <si>
    <t>DRY CREEK RANCHERIA BAND OF POMO INDIANS VS SONOMA-MARIN AREA RAIL TRANSIT DISTRICT AND NORTH COAST RAILROAD AUTHORITY - FOR DEFENDANTS TO ESTABLISH AND MAINTAIN SAFE RAILROAD CROSSING A THEIR EXPENSE</t>
  </si>
  <si>
    <t xml:space="preserve">Dan Burcham W. Anthony Colbert Kimberly Kim </t>
  </si>
  <si>
    <t>C1311002</t>
  </si>
  <si>
    <t>DAVIS VS EDISION - FOR DEFENDANT VIOLATION OF PU CODE SECTION 2827(C)(1)</t>
  </si>
  <si>
    <t>C1312005</t>
  </si>
  <si>
    <t>TURN VS. PAC BELL - FOR RELIEF FROM UNREASONABLE BASIC EXCHANGE SERVICE RATES</t>
  </si>
  <si>
    <t>C1401006</t>
  </si>
  <si>
    <t>UNITED ENERGY TRADING, LLC VS. PG&amp;E - FOR RELIEF FROM VIOLATION OF GAS RULES NOS. 11 AND 23</t>
  </si>
  <si>
    <t>C1402005</t>
  </si>
  <si>
    <t>JOHN P. FERRARI AS CO-TRUSTEE OF THE JOHN P. AND JEANI FERRARI TRUST VS MEADOWBOOK WTR. CO.- FOR AN ORDER REVOKING APPROVAL OF ADVICE LETTERS 50-W AND 50-W-A AND REVERTING SERVICE TO PREVIOUS BOUNDARY</t>
  </si>
  <si>
    <t xml:space="preserve">Jean Vieth Linda Rochester </t>
  </si>
  <si>
    <t>C1404027</t>
  </si>
  <si>
    <t>(ECP) KENNY VS. VERIZON CALIFORNIA, INC. - DISPUTE OVER A REFUND</t>
  </si>
  <si>
    <t>C1404028</t>
  </si>
  <si>
    <t>CAMPBELL VS EDISON - FOR RELIEF FROM UNAUTHORIZED ACCESS TO PROPERTY</t>
  </si>
  <si>
    <t>C1405014</t>
  </si>
  <si>
    <t>ROSENBERG VS. PAC BELL - FOR REFUND OF FEES PAID FOR SERVICE NOT DELIVERED</t>
  </si>
  <si>
    <t>C1405022</t>
  </si>
  <si>
    <t>LaFOUNTAINE AND DESERT PACIFIC DEVELOPMENT INC. VS. EDISON - FOR OVERBILLING OF ELECTRIC CHARGES AND IMPROPER DISCONNECTION OF ELECTRIC SERVICES</t>
  </si>
  <si>
    <t>C1405029</t>
  </si>
  <si>
    <t>FORECAST GROUP, L.P., ET AL AND ALL OF WHOM ARE DOING BUSINESS AS THE FORECAST CREDITORS VS PG&amp;E - RELIEF FOR FAILURE TO REFUND PURSUANT TO GAS AND ELECTRIC RULE 15 TARIFFS</t>
  </si>
  <si>
    <t>C1407007</t>
  </si>
  <si>
    <t>UCAN VS U.S. TELEPACIFIC CORP. DBA TELEPACIFIC COMMUNICATIONS - FOR RELIEF FROM BILLINGS FOR UNAUTHORIZED PRODUCTS AND SERVICE</t>
  </si>
  <si>
    <t>C1407008</t>
  </si>
  <si>
    <t>FERRARI AND NICHOLSON VS. KEITH GARL, DBA WESO WATER AND PROPERTIES - FOR RELIEF FROM OPERATING AS A PUBLIC UTILITY WITHOUT HAVING SECURED A CPCN AND FOR UNLAWFUL TARIFF RATES</t>
  </si>
  <si>
    <t>I0912016</t>
  </si>
  <si>
    <t>CPUC - OII INTO ALLEGED FAILURE OF TRACKFONE WIRELESS, INC. TO COLLECT AND REMIT PUBLIC PURPOSE PROGRAM SURCHARGE AND USER FEES ON REVENUE FROM ITS SALE OF INTRASTATE TELEPHONE SERVICE</t>
  </si>
  <si>
    <t>I1102016</t>
  </si>
  <si>
    <t>CPUC - OII INTO THE OPERATIONS AND PRACTICES OF PG&amp;E WITH RESPECT TO FACILITIES RECORDS FOR ITS NATURAL GAS TRANSMISSION SYSTEM PIPELINES</t>
  </si>
  <si>
    <t>I1105028</t>
  </si>
  <si>
    <t>CPUC - OII INTO THE OPERATIONS AND CONDUCT OF OSP COMMUNICATIONS, LLC. (OSP) AND WHETHER THE BILLING RESOURCE LLC AND THE BILLING DBA INTEGRETEL SHOULD REFUND ALL MONIES COLLECTED ON BEHALF OF OSP</t>
  </si>
  <si>
    <t>I1111009</t>
  </si>
  <si>
    <t>CPUC - OII INTO THE OPERATIONS AND PRACTICES OF PG&amp;E'S NATURAL GAS TRANSMISSION PIPELINE SYSTEM IN LOCATIONS WITH HIGH POPULATION DENSITY</t>
  </si>
  <si>
    <t>I1201007</t>
  </si>
  <si>
    <t>CPUC - PG&amp;E - OII INTO THE OPERATIONS AND PRACTICES OF PG&amp;E TO DETERMINE VIOLATIONS OF PU CODE SECTION 451, GO 112, AND OTHER APPLICABLE REGULATIONS IN CONNECTION WITH THE SAN BRUNO EXPLOSION AND FIRE</t>
  </si>
  <si>
    <t xml:space="preserve">Mark S. Wetzell </t>
  </si>
  <si>
    <t>I1210013</t>
  </si>
  <si>
    <t>CPUC - OII INTO THE RATES, OPERATIONS, PRACTICES, SERVICES AND FACILITIES OF SCE AND SDG&amp;E ASSOCIATED WITH THE SAN ONOFRE NUCLEAR GENERATING UNITS 2 &amp; 3</t>
  </si>
  <si>
    <t>I1303007</t>
  </si>
  <si>
    <t>CPUC - OII INTO THE RATES, OPERATIONS, PRACTICES, SERVICE AND FACILITIES OF PACIFIC GAS AND ELECTRIC COMPANY</t>
  </si>
  <si>
    <t>I1304003</t>
  </si>
  <si>
    <t>CPUC - OII INTO THE REASONABLENESS OF THE RATES CURRENTLY IN EFFECT, AND OTHER MATTERS, FOR VALENCIA WATER COMPANY</t>
  </si>
  <si>
    <t xml:space="preserve">Douglas M. Long Todd O Edmister Legal Division </t>
  </si>
  <si>
    <t>I1306014</t>
  </si>
  <si>
    <t>CPUC - OII TO ESTABLISHING A LIST FOR YRS 2014-15 AND 2015-16 OF EXISTING CROSSINGS OF CITY STREETS, COUNTY ROAD OR STATE HIGHWAYS IN NEED OF SEPARATION, ALTERATIONS OR RECONSTRUCTION</t>
  </si>
  <si>
    <t>I1309012</t>
  </si>
  <si>
    <t>CPUC - OII INTO THE FATAL ACCIDENT AT THE SAN FRANCISCO MUNI'S MISSION ROCK STATION ON DECEMBER 1, 2012</t>
  </si>
  <si>
    <t>I1310003</t>
  </si>
  <si>
    <t>I1401005</t>
  </si>
  <si>
    <t>I1405012</t>
  </si>
  <si>
    <t>CPUC - OII TO ADDRESS INTRASTATE RURAL CALL COMPLETION ISSUES</t>
  </si>
  <si>
    <t>I1406016</t>
  </si>
  <si>
    <t>CPUC - OII INTO THE RATES, OPERATIONS, PRACTICES, SERVICES AND FACILITIES OF PG&amp;E</t>
  </si>
  <si>
    <t>I8504047</t>
  </si>
  <si>
    <t>CPUC - OII INTO 976 INFORMATION ACCESS SERVICE</t>
  </si>
  <si>
    <t xml:space="preserve">Timothy Kenney </t>
  </si>
  <si>
    <t>R0310003</t>
  </si>
  <si>
    <t>CPUC - OIR TO IMPLEMENT PORTIONS OF AB 117 CONCERNING COMMUNITY CHOICE AGGREGATION</t>
  </si>
  <si>
    <t>R0610005</t>
  </si>
  <si>
    <t>CPUC - CABLE TELEVISION - OIR TO CONSIDER THE ADOPTION OF A GENERAL ORDER AND PROCEDURES TO IMPLEMENT THE DIGITAL INFRASTRUCTURE AND VIDEO COMPETION ACT OF 2006</t>
  </si>
  <si>
    <t>R0610006</t>
  </si>
  <si>
    <t>CPUC - TELECOMMUNICATION - OIR INTO THE APPLICATION OF THE CALIFORNIA ENVIRONMENTAL QUALITY ACT TO APPLICATIONS OF JURISDICTIONAL TELECOMMUNICATIONS UTILITIES TO OFFER SERVICE AND CONSTRUCT FACILITIES</t>
  </si>
  <si>
    <t>R0811005</t>
  </si>
  <si>
    <t>CPUC - OIR TO REVISE AND CLARIFY COMMISSION REGULATIONS RELATING TO SAFETY OF ELECTRIC UTILITY AND COMMUNICATIONS INFRASTRACTURE PROVIDERS FACILITIES</t>
  </si>
  <si>
    <t>R0901020</t>
  </si>
  <si>
    <t>CPUC - OIR TO CONSIDER ROADWAY WORKER PROTECTIONS BY TRANSIT AGENCIES IN CALIFORNIA</t>
  </si>
  <si>
    <t>R0906019</t>
  </si>
  <si>
    <t>CPUC - OIR REGARDING REVISIONS TO THE CALIFORNIA HIGH COST FUND B PROGRAM</t>
  </si>
  <si>
    <t>R0911014</t>
  </si>
  <si>
    <t>CPUC - OIR TO EXAMINE THE COMMISSION'S POST-2008 ENERGY EFFICIENCY POLICIES, PROGRAMS, EVALUATION, MEASUREMENT, AND VERIFICATION, AND RELATED ISSUES</t>
  </si>
  <si>
    <t>R0912001</t>
  </si>
  <si>
    <t>CPUC - OIR TO EXAMINE WHETHER TO REVISE THE CURRENT PROCEDURES FOR PROCESSING APPLICATIONS TO OBTAIN OR TRANSFER A PASSENGER STAGE CORPORATION CERTIFICATE (PSC), TO ACQUIRE OR CONTROL A PSC</t>
  </si>
  <si>
    <t>R1002005</t>
  </si>
  <si>
    <t>CPUC - OIR TO ADDRESS THE ISSUE OF CUSTOMERS' ELECTRIC AND NATURAL GAS SERVICE DISCONNECTION</t>
  </si>
  <si>
    <t>R1102019</t>
  </si>
  <si>
    <t>CPUC - OIR TO ADOPT NEW SAFETY AND RELIABILITY REGULATIONS FOR NATURAL GAS TRANSMISSION AND DISTRIBUTION PIPELINES AND RELATED RATEMAKING MECHANISMS</t>
  </si>
  <si>
    <t>R1103012</t>
  </si>
  <si>
    <t>CPUC - OIR TO ADDRESS ELECTRIC UTILITY COST AND REVENUE ISSUES ASSOCIATED WITH GREENHOUSE GAS EMISSIONS</t>
  </si>
  <si>
    <t>R1103013</t>
  </si>
  <si>
    <t>CPUC - OIR REGARDING REVISIONS TO THE CALIFORNIA UNIVERSAL TELEPHONE SERVICE (LIFELINE) PROGRAM</t>
  </si>
  <si>
    <t xml:space="preserve">Katherine MacDonald Legal Division </t>
  </si>
  <si>
    <t>R1105005</t>
  </si>
  <si>
    <t>CPUC - OIR TO CONTINUE IMPLEMENTATION AND ADMINISTRATION OF CALIFORNIA RENEWABLES PORTFOLIO STANDARD PROGRAM</t>
  </si>
  <si>
    <t>R1109011</t>
  </si>
  <si>
    <t>CPUC - OIR TO IMPROVE DISTRIBUTION LEVEL INTERCONNECTION RULES AND REGULATIONS FOR CERTAIN CLASSES OF ELECTRIC GENERATORS AND ELECTRIC STORAGE RESOURCES</t>
  </si>
  <si>
    <t>R1111007</t>
  </si>
  <si>
    <t>CPUC - OIR INTO THE REVIEW OF THE CALIFORNIA HIGH COST FUND-A PROGRAM</t>
  </si>
  <si>
    <t>R1111008</t>
  </si>
  <si>
    <t>CPUC - OIR INTO ADDRESSING THE COMMISSION’S WATER ACTION PLAN OBJECTIVE OF SETTING RATES THAT BALANCE INVESTMENT, CONSERVATION, AND AFFORDABILITY FOR THE MULTI-DISTRICT WATER UTILITIES</t>
  </si>
  <si>
    <t xml:space="preserve">Jean Vieth Gary Weatherford </t>
  </si>
  <si>
    <t>R1112001</t>
  </si>
  <si>
    <t>CPUC - OIR TO EVALUATE TELECOMMUNICATIONS CORPORATIONS SERVICE QUALITY PERFORMANCE AND CONSIDER MODIFICATION TO SERVICE QUALITY RULES</t>
  </si>
  <si>
    <t>CPUC - OIR TO INTEGRATE AND REFINE PROCUREMENT POLICIES AND CONSIDER LONG-TERM PROCUREMENT PLANS</t>
  </si>
  <si>
    <t>R1206013</t>
  </si>
  <si>
    <t>CPUC - OIR TO CONDUCT A COMPREHENSIVE EXAMINATION OF INVESTOR OWNED ELECTRIC UTILITIES’ RESIDENTIAL RATE STRUCTURES, THE TRANSITION TO TIME VARYING AND DYNAMIC RATES, AND OTHER STATUTORY OBLIGATIONS</t>
  </si>
  <si>
    <t xml:space="preserve">Julie Halligan Jeanne McKinney </t>
  </si>
  <si>
    <t>R1211005</t>
  </si>
  <si>
    <t>CPUC - OIR REGARDING POLICIES, PROCEDURES AND RULES FOR THE CALIFORNIA SOLAR INITIATIVE, THE SELF-GENERATION INCENTIVE PROGRAM AND OTHER DISTRIBUTED GENERATION ISSUES</t>
  </si>
  <si>
    <t>R1212011</t>
  </si>
  <si>
    <t>CPUC - OIR ON REGULATIONS RELATING TO PASSENGER CARRIERS, RIDESHARING, AND NEW ONLINE-ENABLED TRANSPORTATION SERVICES</t>
  </si>
  <si>
    <t>R1301010</t>
  </si>
  <si>
    <t>CPUC - OIR TO CONDUCT A COMPREHENSIVE EXAMINATION OF THE CALIFORNIA TELECONNECT FUND</t>
  </si>
  <si>
    <t>R1302008</t>
  </si>
  <si>
    <t>CPUC - OIR TO ADOPT BIOMETHANE STANDARDS AND REQUIREMENTS, PIPELINE OPEN ACCESS RULES, AND RELATED ENFORCEMENT PROVISIONS</t>
  </si>
  <si>
    <t>R1302019</t>
  </si>
  <si>
    <t>CPUC - OIR TO CONSIDER THE ANNUAL REVENUE REQUIREMENT DETERMINATION OF THE CALIFORNIA DEPARTMENT OF WATER RESOURCES AND RELATED ISSUES</t>
  </si>
  <si>
    <t>R1303008</t>
  </si>
  <si>
    <t>CPUC - OIR TO ADD SPEECH GENERATING DEVICES TO THE DEAF AND DISABLED TELECOMMUNICATIONS PROGRAM</t>
  </si>
  <si>
    <t>R1303009</t>
  </si>
  <si>
    <t>CPUC - OIR REGARDING WHETHER TO ADOPT, AMEND, OR REPEAL REGULATIONS GOVERNING SAFETY STANDARDS FOR THE USE OF 25 KV ELECTRIC LINES TO POWER HIGH SPEED TRAINS</t>
  </si>
  <si>
    <t>R1309011</t>
  </si>
  <si>
    <t>CPUC - OIR TO ENHANCE THE ROLE OF DEMAND RESPONSE IN MEETING THE STATE RESOURCE PLANNING NEEDS AND OPERATIONAL REQUIREMENTS</t>
  </si>
  <si>
    <t>R1311005</t>
  </si>
  <si>
    <t>CPUC - OIR CONCERNING ENERGY EFFICIENCY ROLLING PORTFOLIOS, POLICIES, PROGRAMS, EVALUATION, AND RELATED ISSUES</t>
  </si>
  <si>
    <t>R1311006</t>
  </si>
  <si>
    <t>CPUC - OIR TO DEVELOP A RISK-BASED DECISION-MAKING FRAMEWORK TO EVALUATE SAFETY IMPROVEMENTS AND REVISE THE GENERAL RATE CASE PLAN FOR ENERGY UTILITIES</t>
  </si>
  <si>
    <t>R1311007</t>
  </si>
  <si>
    <t>CPUC - OIR TO CONSIDER ALTERNATIVE-FUELED VEHICLE PROGRAMS, TARIFFS, AND POLICIES</t>
  </si>
  <si>
    <t>R1312010</t>
  </si>
  <si>
    <t>R1312011</t>
  </si>
  <si>
    <t>CPUC - OIR TO PROMOTE A PARTNERSHIP FRAMEWORK BETWEEN ENERGY INVESTOR OWNED UTILITIES AND THE WATER SECTOR TO PROMOTE WATER-ENERGY NEXUS PROGRAMS</t>
  </si>
  <si>
    <t>R1402001</t>
  </si>
  <si>
    <t xml:space="preserve">David M. Gamson Colette Kersten </t>
  </si>
  <si>
    <t>R1403002</t>
  </si>
  <si>
    <t>CPUC - OIR TO IMPLEMENT REGISTRATION OF THIRD PARTY NATURAL GAS PROCUREMENT SERVICE PROVIDERS TO REGULATE NON-RATE MATTERS AND MINIMUM STANDARDS OF CONSUMER PROTECTION</t>
  </si>
  <si>
    <t>R1403003</t>
  </si>
  <si>
    <t>CPUC - OIR TO ADDRESS NATURAL GAS DISTRIBUTION UTILITY COST AND REVENUE ISSUES ASSOCIATED WITH GREENHOUSE GAS EMISSIONS</t>
  </si>
  <si>
    <t>R1403016</t>
  </si>
  <si>
    <t>CPUC - OIR TO CONSIDER SINGLE METHODOLOGY TO CALCULATE REMITTANCE UNDER MUNICIPAL SURCHARGE ACT</t>
  </si>
  <si>
    <t>R1405001</t>
  </si>
  <si>
    <t>CPUC - OIR REGARDING THE APPLICABILITY OF THE COMMISSION’S RIGHT-OF-WAY RULES TO COMMERCIAL MOBILE RADIO SERVICE CARRIERS</t>
  </si>
  <si>
    <t>R1405013</t>
  </si>
  <si>
    <t>CPUC - OIR ON THE COMMISSION’S NATURAL GAS AND ELECTRIC SAFETY CITATION PROGRAMS</t>
  </si>
  <si>
    <t>R1407002</t>
  </si>
  <si>
    <t>CPUC - OIR TO DEVELOP A SUCCESSOR TO EXISTING NET ENERGY METERING TARIFFS AND TO ADDRESS OTHER ISSUES RELATED TO NET ENERGY METERING</t>
  </si>
  <si>
    <t xml:space="preserve">Anne E. Simon </t>
  </si>
  <si>
    <t>PHC DATE</t>
  </si>
  <si>
    <t>None</t>
  </si>
  <si>
    <t>Not applicable</t>
  </si>
  <si>
    <t>SCOPING MEMO</t>
  </si>
  <si>
    <t>Final Brief</t>
  </si>
  <si>
    <t>Evidentiary Hearing</t>
  </si>
  <si>
    <t>A1407005</t>
  </si>
  <si>
    <t>A1407006</t>
  </si>
  <si>
    <t>A1407012</t>
  </si>
  <si>
    <t>A1408002</t>
  </si>
  <si>
    <t>GOLDEN STATE WATER CO. - TO DECREASE RATES FOR WATER SERVICE FOR YEAR 2016 AND TO HAVE AN INCREASE FOR YEARS 2017 AND 2018</t>
  </si>
  <si>
    <t xml:space="preserve">Rafael L. Lirag Douglas M. Long </t>
  </si>
  <si>
    <t xml:space="preserve">Rafael L. Lirag Sean Wilson </t>
  </si>
  <si>
    <t>A1407010</t>
  </si>
  <si>
    <t>A1408007</t>
  </si>
  <si>
    <t xml:space="preserve">Timothy Kenney Legal Division </t>
  </si>
  <si>
    <t>Not found</t>
  </si>
  <si>
    <t>Douglas M. Long Legal Division</t>
  </si>
  <si>
    <t xml:space="preserve">Stephen C. Roscow Legal Division </t>
  </si>
  <si>
    <t xml:space="preserve">Maribeth A. Bushey Legal Division </t>
  </si>
  <si>
    <t xml:space="preserve">W. Anthony Colbert Legal Division </t>
  </si>
  <si>
    <t xml:space="preserve">Julie Halligan Legal Division </t>
  </si>
  <si>
    <t>Robert Mason Legal Division</t>
  </si>
  <si>
    <t>Amy C. Yip-Kikugawa Legal Division</t>
  </si>
  <si>
    <t>Kelly A. Hymes Legal Division</t>
  </si>
  <si>
    <t xml:space="preserve">Jeanne McKinney Legal Division </t>
  </si>
  <si>
    <t>Thomas R. Pulsifer Legal Division</t>
  </si>
  <si>
    <t xml:space="preserve">Kimberly Kim Legal Division </t>
  </si>
  <si>
    <t>A1408011</t>
  </si>
  <si>
    <t>Patricia Miles</t>
  </si>
  <si>
    <t>A1409008</t>
  </si>
  <si>
    <t>C1409006</t>
  </si>
  <si>
    <t>SDG&amp;E - FOR AUTHORITY TO ISSUE DEBT SECURITIES, ROLL-OVER DEBT SECURITIES AND HEDGE PLANNED ISSUANCE OF DEBT SECURITIES AND RELATED ACTIONS</t>
  </si>
  <si>
    <t>(ECP) CHRISTIE, JR. VS EDISON - DESPUTE FOR IMPROPER CHARGES DUE TO FAULTY METER</t>
  </si>
  <si>
    <t>Kimberly Kim</t>
  </si>
  <si>
    <t>Darwin Farrar</t>
  </si>
  <si>
    <t>C1409012</t>
  </si>
  <si>
    <t>(ECP) JAHANGANI VS PRINT TELEPHONY PCS, LP - DISPUTE FOR IMPROPER BILLING ON TELEPHONE SERVICES</t>
  </si>
  <si>
    <t>Rafael L. Lirag</t>
  </si>
  <si>
    <t>W. Anthony Colbert</t>
  </si>
  <si>
    <t>A1409003</t>
  </si>
  <si>
    <t>CALIFORNIA WATER SERVICE COMPANY - FOR AUTHORITY TO OPEN A MEMORADUM ACCOUNT TO RECORD ASBESTOS LITIGATION EXPENSES</t>
  </si>
  <si>
    <t>Karl Bemesderfer</t>
  </si>
  <si>
    <t>I1408022</t>
  </si>
  <si>
    <t>CPUC - OII INTO THE OPERATIONS AND PRACTICES OF PACIFIC GAS AND ELECTRIC COMPANY REGARDING THE JUNE 19, 2012 INCIDENT AT THE KERN POWER PLANT</t>
  </si>
  <si>
    <t>Jean Vieth</t>
  </si>
  <si>
    <t>A1409017</t>
  </si>
  <si>
    <t>BLACK CLOUD NETWORKS, INC.- CPCN TO PROVIDE LOCAL EXCHANGE SWITCHLESS RESALE TELECOMMUNICATIONS SERVICES.</t>
  </si>
  <si>
    <t>A1410001</t>
  </si>
  <si>
    <t>TALK AMERICA SERVICES, LLC - CPCN TO PROVIDE RESOLD LOCAL EXCHANGE AND INTERECHANGE TELECOMMUNICATIONS SERVICES</t>
  </si>
  <si>
    <t>A1410006</t>
  </si>
  <si>
    <t>A1201003</t>
  </si>
  <si>
    <t xml:space="preserve">Legal Division Sean Wilson </t>
  </si>
  <si>
    <t>A1406015</t>
  </si>
  <si>
    <t>A1408025</t>
  </si>
  <si>
    <t>C1408005</t>
  </si>
  <si>
    <t>C1408008</t>
  </si>
  <si>
    <t>C1408016</t>
  </si>
  <si>
    <t>C1408026</t>
  </si>
  <si>
    <t>I1204010</t>
  </si>
  <si>
    <t>I1408015</t>
  </si>
  <si>
    <t>I1408021</t>
  </si>
  <si>
    <t>P1410007</t>
  </si>
  <si>
    <t>R1408013</t>
  </si>
  <si>
    <t>R1408020</t>
  </si>
  <si>
    <t>R1410003</t>
  </si>
  <si>
    <t>Jeanne McKinney</t>
  </si>
  <si>
    <t>Linda Rochester W. Anthony Colbert</t>
  </si>
  <si>
    <t>SAN JOSE WATER CO. - TO INCREASE RATES CHARGED FOR WATER SERVICE FOR YEARS 2013 AND 2014</t>
  </si>
  <si>
    <t>LEAP TRANSIT, INC. - TO OPERATE AS A PSC AND TO ESTABLISH A ZORF</t>
  </si>
  <si>
    <t>FIVE9, INC. - FOR REGISTRATION AS AN INTEREXCHANGE CARRIER TELEPHONE CORPORATION PURSUANT TO THE PROVISIONS OF PUBLIC UTILITIES CODE SECTION 1013</t>
  </si>
  <si>
    <t>FIRST ASSEMBLY OF GOD, LANCASTER VS EDISON - FOR A REFUND FOR UNILATERAL ALTERATION OF THE TERMS OF THE WRITTEN INTERCONNECTION AGREEMENT</t>
  </si>
  <si>
    <t>DEGROOT VS GARL DBA WESO WATER AND PROPERTIES - FOR RELIEF FROM VIOLATION OF PU CODE SECTION 216 AND UNLAWFUL TARRIF RATES</t>
  </si>
  <si>
    <t>(ECP) TOUZIN VS VERIZON CALIFORNIA, INC. - FOR RELIEF FROM SERVICES CHARGED BUT NOT RECEIVED AND FOR FEES COLLECTED BY THE UTILITY</t>
  </si>
  <si>
    <t>(ECP) ZELHOFER VS PG&amp;E - FOR FAILING TO SET RATE FOR COMPRESSED NATURAL GAS IN ACCORDANCE WITH DECISION 10-06-035</t>
  </si>
  <si>
    <t>CPUC - PG&amp;E - OII INTO THE OPERATIONS AND PRACTICES OF PACIFIC GAS &amp; ELECTRIC COMPANY REGARDING ANTI-SMART METER CONSUMER GROUPS</t>
  </si>
  <si>
    <t>CPUC - OII INTO THE OPERATIONS, PRACTICES, AND CONDUCT OF NEW DAY BROADBAND ONE, LLC TO DETERMINE WHETHER IT VIOLATED THE LAWS, RULES, AND REGULATIONS WHEN OPERATING WIHOUT THE REQUIRED FRANCHISE</t>
  </si>
  <si>
    <t>CPUC - OII INTO THE OPERATIONS AND PRACTICES OF BRENDA MASON-SAUNDERS, AN INDIVIDUAL DOING BUSINESS AS A CAR 4 KIDS</t>
  </si>
  <si>
    <t>FRIENDS OF THE EARTH - TO ADOPT, AMEND, OR REPEAL A REGULATION PURSUANT TO P.U.. CODE SECTION 1708.5 RE: THE ECONOMICS AND APPROPRIATE METHOD OF COMPENSATION FOR THE DIABLO CANYON NUCLEAR POWER PLANT</t>
  </si>
  <si>
    <t>CPUC - OIR REGARDING POLICIES, PROCEDURES AND RULES FOR DEVELOPMENT OF DISTRIBUTION RESOURCES PLANS PURSUANT TO PU CODE SECTION 769</t>
  </si>
  <si>
    <t>CPUC – OIR REGARDING WHETHER TO ADOPT, AMEND, OR REPEAL REGULATIONS GOVERNING THE AWARD OF INTERVENOR COMPENSATION</t>
  </si>
  <si>
    <t>CPUC - OIR TO CREATE A CONSISTENT REGULATORY FRAMEWORK FOR THE GUIDANCE, PLANNING, AND EVALUATION OF INTEGRATED DEMAND SIDE RESOURCE PROGRAMS</t>
  </si>
  <si>
    <t xml:space="preserve">Legal Division Jean Vieth </t>
  </si>
  <si>
    <t>A0706031</t>
  </si>
  <si>
    <t>A1009012</t>
  </si>
  <si>
    <t>A1208007</t>
  </si>
  <si>
    <t>A1208008</t>
  </si>
  <si>
    <t>A1208009</t>
  </si>
  <si>
    <t>A1208010</t>
  </si>
  <si>
    <t>C1410012</t>
  </si>
  <si>
    <t>R1410009</t>
  </si>
  <si>
    <t>R1410010</t>
  </si>
  <si>
    <t>EDISON - CPCN CONCERNING THE TEHACHAPI RENEWABLE TRANSMISSION PROJECT (SEGMENTS 4 THROUGH 11)</t>
  </si>
  <si>
    <t xml:space="preserve">Jean Vieth Legal Division </t>
  </si>
  <si>
    <t>CALIFORNIANS FOR RENEWABLE ENERGY, INC. - TO MODIFY DECISION 06-07-027</t>
  </si>
  <si>
    <t>PG&amp;E - FOR APPROVAL OF 2013-2014 STATEWIDE MARKETING, EDUCATION AND OUTREACH PROGRAM AND BUDGET</t>
  </si>
  <si>
    <t>EDISON - FOR APPROVAL OF STATEWIDE MARKETING, EDUCATION &amp; OUTREACH ACTIVITIES AND BUDGETS FOR 2013-2014</t>
  </si>
  <si>
    <t>SDG&amp;E - FOR APPROVAL OF STATEWIDE MARKETING, EDUCATION AND OUTREACH PROGRAM AND BUDGETS FOR YEARS 2013 THROUGH 2014</t>
  </si>
  <si>
    <t>SOCALGAS - FOR APPROVAL OF STATEWIDE MARKETING, EDUCATION AND OUTREACH PROGRAM AND BUDGETS FOR YEARS 2013 THROUGH 2014</t>
  </si>
  <si>
    <t>(ECP) RANDY/LAURA KYT DBA FRIENDS OF THE VALLEY THRIFT &amp; GIFT VS. CA WATER – FOR OVERBILLING ON WATER SERVICE</t>
  </si>
  <si>
    <t>Timothy J. Sullivan Legal Division</t>
  </si>
  <si>
    <t xml:space="preserve">CPUC - OII INTO THE OPERATIONS, PRACTICES, AND CONDUCT OF COMCAST PHONE OF CALIFORNIA LLC AND ITS RELATED ENTITIES RE UNAUTHORIZED DISCLOSURE OF PUBLICATION OF COMCAST SUBSCRIBERS </t>
  </si>
  <si>
    <t>ODD FELLOWS SIERRA RECREATION ASSOC. AND SIERRA PARK WATER CO., INC. - FOR CPCN TO OPERATE A WATER SYSTEM, TO ESTABLISH RATES AND TO ISSUE STOCKS</t>
  </si>
  <si>
    <t xml:space="preserve"> RIDEPAL, INC. - TO OPERATE AS A PSC AND ARRANGE TRANSPORTATION THROUGH A CLOUD-BASED DELIVERY PLATFORM</t>
  </si>
  <si>
    <t>CPUC - OIR TO CONSIDER ELECTRIC PROCUREMENT POLICY REFINEMENTS PURSUANT TO THE JOINT RELIABILITY PLAN</t>
  </si>
  <si>
    <t>CAL-AMERICAN WATER CO. AND GRANT PARK DEVELOPMENT, INC. - FOR AN ORDER AUTORIZING DUNNIGAN WATER WORKS TO SELL AND CAL-AMERICAN TO PURCHASE THE PUBLIC UTILITY ASSETS OF DUNNIGAN</t>
  </si>
  <si>
    <t>CPUC - OII INTO THE OPERATIONS, PRACTICES, AND CONDUCT OF SAN FRANCISCO MUNICIPAL TRANSPORTATION AGENCY, REGARDING ONGOING PUBLIC SAFETY ISSUES</t>
  </si>
  <si>
    <t>APPLE VALLEY RANCHOS WATER COMPANY  - FOR AUTHORITY TO INCREASE RATES CHARGED FOR WATER SERVICE IN YEARS 2015, 2016 AND 2017</t>
  </si>
  <si>
    <t>PG&amp;E - PROPOSING COST OF SERVICE AND RATES FOR GAS TRANSMISSION AND STORAGE SERVICES FOR THE PERIOD 2015 - 2017</t>
  </si>
  <si>
    <t>SDG&amp;E - PERMIT TO CONSTRUCT ELECTRICAL FACILITIES: CLEVELAND NATIONAL FOREST POWER LINE REPLACEMENT PROJECTS.</t>
  </si>
  <si>
    <t>SDG&amp;E - APPROVAL FOR ELECTRIC PROGRAM INVESTMENT CHARGE  TRIENNIAL  PLAN FOR YEARS 2012-2014</t>
  </si>
  <si>
    <t>A1410014</t>
  </si>
  <si>
    <t>A1411003</t>
  </si>
  <si>
    <t>A1411004</t>
  </si>
  <si>
    <t>C1403018</t>
  </si>
  <si>
    <t>C1410011</t>
  </si>
  <si>
    <t>R1411001</t>
  </si>
  <si>
    <t xml:space="preserve">Gary Weatherford </t>
  </si>
  <si>
    <t>ROBERT PACK VS. CAL-AM WATER FOR A REFUND OF $15,299.79 PLUS INTEREST, PLUS SURVEYING COSTS OF $400, WATER BILLS PAID SINCE 1998 FOR THE FIRE HYDRANT</t>
  </si>
  <si>
    <t>(ECP) S DELALAT VS. AT&amp;T – FOR POOR SERVICE QUALITY</t>
  </si>
  <si>
    <t>CPUC - OIR TO IMPROVE PUBLIC ACCESS TO PUBLIC RECORDS PURSUANT TO THE CALIFORNIA RECORDS ACT</t>
  </si>
  <si>
    <t xml:space="preserve">Karin M. Hieta </t>
  </si>
  <si>
    <t>A1411007</t>
  </si>
  <si>
    <t>A1411009</t>
  </si>
  <si>
    <t>A1411010</t>
  </si>
  <si>
    <t>A1411011</t>
  </si>
  <si>
    <t>A1411012</t>
  </si>
  <si>
    <t>A1411013</t>
  </si>
  <si>
    <t>A1411014</t>
  </si>
  <si>
    <t>A1411016</t>
  </si>
  <si>
    <t>C1412001</t>
  </si>
  <si>
    <t>I1411008</t>
  </si>
  <si>
    <t>R1203014</t>
  </si>
  <si>
    <t>Sewer</t>
  </si>
  <si>
    <t xml:space="preserve">Legal Division David M. Gamson </t>
  </si>
  <si>
    <t xml:space="preserve">Karin M. Hieta  Regina DeAngelis </t>
  </si>
  <si>
    <t>A1105018</t>
  </si>
  <si>
    <t>SOCAL GAS - FOR APPROVAL OF LOW-INCOME ASSISTANCE PROGRAMS AND BUDGETS FOR PROGRAM YEARS 2012-2014</t>
  </si>
  <si>
    <t>A1105019</t>
  </si>
  <si>
    <t>PG&amp;E - FOR APPROVAL OF THE 2012-2014 ENERGY SAVINGS ASSISTANCE AND CARE PROGRAMS AND BUDGETS</t>
  </si>
  <si>
    <t>A1105020</t>
  </si>
  <si>
    <t>SDG&amp;E - FOR APPROVAL OF LOW-INCOME ASSISTANCE PROGRAMS AND BUDGETS FOR YEARS 2012-2014</t>
  </si>
  <si>
    <t>A1105017</t>
  </si>
  <si>
    <t>EDISON - FOR APPROVAL OF ITS 2012-2014 CARE AND ENERGY SAVINGS ASSISTANCE PROGRAMS AND BUDGETS</t>
  </si>
  <si>
    <t>C1411017</t>
  </si>
  <si>
    <t>Gary Weatherford Legal Division</t>
  </si>
  <si>
    <t>CALIFORNIA WATER SERVICE CO. AND THE CITY OF SELMA - TO RECOVER COSTS FOR GROUNDWATER FEES IN THE SELMA DISTRICT</t>
  </si>
  <si>
    <t>Karin M. Hieta</t>
  </si>
  <si>
    <t>A0811001</t>
  </si>
  <si>
    <t>A1412004</t>
  </si>
  <si>
    <t>A1412005</t>
  </si>
  <si>
    <t>A1412006</t>
  </si>
  <si>
    <t>A1412007</t>
  </si>
  <si>
    <t>A1412011</t>
  </si>
  <si>
    <t>R0404003</t>
  </si>
  <si>
    <t>R0404025</t>
  </si>
  <si>
    <t>R0602013</t>
  </si>
  <si>
    <t>R9911022</t>
  </si>
  <si>
    <t xml:space="preserve">Kimberly Kim Sean Wilson </t>
  </si>
  <si>
    <t>EDISON - FOR APPLYING THE MARKET INDEX FORMULA AND ADOPTED IN D.07-09-040 TO CALCULATE SHORT-RUN AVOIDED COST</t>
  </si>
  <si>
    <t>CPUC - PG&amp;E, EDISON, SDG&amp;E - OIR TO PROMOTE POLICY AND PROGRAM COORDINATION AND INTEGRATION IN ELECTRIC UTILITY RESOURCE PLANNING</t>
  </si>
  <si>
    <t>CPUC - OIR TO PROMOTE CONSISTENCY IN METHODOLOGY AND INPUT ASSUMPTIONS IN APPLICATIONS OF SHORT-RUN AND LONG-RUN AVOIDED COSTS</t>
  </si>
  <si>
    <t>CPUC - OIR TO INTEGRATE PROCUREMENT POLICIES AND CONSIDER LONG-TERM PROCUREMENT PLAN</t>
  </si>
  <si>
    <t>CPUC - PU CODE SECTION 390 - OIR TO IMPLEMENT PU CODE SECTION 390</t>
  </si>
  <si>
    <t>Calendar Days Elapsed from Filed Date to Present Date</t>
  </si>
  <si>
    <t>Calendar Days Elapsed from ReOpen Date to Present Date</t>
  </si>
  <si>
    <t>A1407009</t>
  </si>
  <si>
    <t>C1411018</t>
  </si>
  <si>
    <t>C1412009</t>
  </si>
  <si>
    <t>C1412010</t>
  </si>
  <si>
    <t>Melanie Darling Kevin R. Dudney Legal Division</t>
  </si>
  <si>
    <t>Sean Wilson Legal Division</t>
  </si>
  <si>
    <t>SDG&amp;E - TO PARTIALLY FILL THE LOCAL CAPACITY REQUIREMENT NEED IDENTIFIED IN D14-03-004 AND TO ENTER INTO A PURCHASE POWER TOLLING AGREEEMENT</t>
  </si>
  <si>
    <t>SETTON PISTACHIO O TERRA BELLA, INC. VS PACBELL -  FOR VIOLATION OF PUB. UTIL. CODE § 451, FAILING TO PROVIDE ADEQUATE SERVICE IN OCTOBER AND NOVEMBER 2014</t>
  </si>
  <si>
    <t>DAUGHTERS OF CHARITY HEALTH SYSTEM VS PACBELL - DISPUTE REGARDING REPARATIONS, REFUNDS AND/OR CREDITS</t>
  </si>
  <si>
    <t>A0609016</t>
  </si>
  <si>
    <t>A0609021</t>
  </si>
  <si>
    <t>Liane Randolph</t>
  </si>
  <si>
    <t xml:space="preserve">Junaid Rahman </t>
  </si>
  <si>
    <t>A1410015</t>
  </si>
  <si>
    <t>A1412012</t>
  </si>
  <si>
    <t>A1412013</t>
  </si>
  <si>
    <t>A1412015</t>
  </si>
  <si>
    <t>A1412016</t>
  </si>
  <si>
    <t>A1412017</t>
  </si>
  <si>
    <t>A1412018</t>
  </si>
  <si>
    <t>A1412019</t>
  </si>
  <si>
    <t xml:space="preserve">Hazlyn Fortune </t>
  </si>
  <si>
    <t>A1412020</t>
  </si>
  <si>
    <t>A1412022</t>
  </si>
  <si>
    <t>A1412025</t>
  </si>
  <si>
    <t>A1501001</t>
  </si>
  <si>
    <t>A1501002</t>
  </si>
  <si>
    <t>C1412023</t>
  </si>
  <si>
    <t>Robert Mason Anne E. Simon Legal Division</t>
  </si>
  <si>
    <t>R1412014</t>
  </si>
  <si>
    <t>SFPP, L.P., CALNEV PIPELINE, KINDER MORGAN, INC. AND KNIGHT HOLDCO, LLC. -  TRANSFER OF CONTROL UNDER PU CODE SECTION 854</t>
  </si>
  <si>
    <t>THE GOLDMAN SACHS GROUP, AMERICAN INTERNATIONAL GROUP, CARLYLE PARTNERS, IV, L.P., AND CARLYLE/RIVERSTONE GLOBAL ENERGY AND POWER FUND III, L.P. - FOR EXEMPTION UNDER SECTION 852 OF THE PU CODE</t>
  </si>
  <si>
    <t>AVALON FREIGHT_x000D__x000D_ SERVICES, LLC. - FOR A CPCN TO TRANSPORT FREIGHT BY VESSEL ON A SCHEDULED BASIS BETWEEN PORT OF LOS ANGELES AND THE SANTA CATALINA ISLAND</t>
  </si>
  <si>
    <t>QUALITY SPEAKS LLC DBA BROADVOICE - FOR A CPCN TO PROVIDE LIMITED FACILITIES-BASE AND RESOLD LOCAL EXCHANGE SERVICE</t>
  </si>
  <si>
    <t>DEL ORO WATER CO., INC. - FOR A CPCN TO ACQUIRE BLACK BUTTE WATER CO.</t>
  </si>
  <si>
    <t>SDG&amp;E AND SOCAL GAS - TO RECOVER COSTS RECORDED IN THEIR PIPELINE SAFETY AND RELIABILITY MEMORANDUM ACCOUNTS</t>
  </si>
  <si>
    <t>SOCAL GAS AND SDG&amp;E - FOR AUTHORITY TO REVISE THEIR NATURAL GAS RATE EFFECTIVE JANUARY 1, 2016</t>
  </si>
  <si>
    <t>INTEGRATED PATH COMMUNICATIONS, LLC  - FOR A CPCN TO PROVIDE RESOLD AND LIMITED FACILITIES-BASED COMPETITIIVE LOCAL EXCHANGE AND INTEREXCHANGE TELECOMMUNICATION SERVICES</t>
  </si>
  <si>
    <t>PACIFICORP - FOR APPROVAL UNDER PU CODE SECTION 851 TO ASSET EXCHANGE WITH IDAHO POWER CO.</t>
  </si>
  <si>
    <t>MTI (USA) LLC - TO OBTAIN A CPCN TO PROVIDE PREPAID CALLING CARD TELECOMMUNIATIONS SERVICES</t>
  </si>
  <si>
    <t>TAHNAY TELECOM INC. - FOR A CPCN TO PROVIDE RESOLD AND LIMITED FACILITIES-BASED COMPETITIVE LOCAL EXCHANGE AND INTEREXCHANGE SERVICE</t>
  </si>
  <si>
    <t>OACYS TELECOM, INC. - FOR A CPCN TO PROVIDE FULL FACILITIES-BASED AND RESOLD LOCAL EXCHANGE SERVICE AND INTRALATA AND INTERLATA INTEREXHANGE TELEPHONE SERVICE</t>
  </si>
  <si>
    <t xml:space="preserve">PARK WATER COMPANY - FOR AUTHORITY TO INCREASE RATE CHARGE FOR WATER SERVICE FOR YEARS 2016, 2017. AND 2018  </t>
  </si>
  <si>
    <t>SAN JOSE WATER CO. - FOR AN ORDER AUTHORIZING IT TO INCREASE RATES CHARGED FOR WATER SERVICE FOR YEARS 2016, 2017, AND 2018</t>
  </si>
  <si>
    <t>SPRINGVILLE SIERRA RODEO VS. EDISON FOR OVERBILLING DUE TO FAULTY METERING EQUIPMENT</t>
  </si>
  <si>
    <t>CPUC - OIR REGARDING POLICIES, PROCEDURES AND RULES FOR RELIABILITY REPORTING PURSUANT TO PU CODE SECTION 2774.1.</t>
  </si>
  <si>
    <t>Amy Yip-Kikugawa Legal Division</t>
  </si>
  <si>
    <t xml:space="preserve">CPUC - TELECOMMUNICATION - OIR INTO THE APPLICATION OF THE CALIFORNIA ENVIRONMENTAL QUALITY ACT TO APPLICATIONS OF JURISDICTIONAL TELECOMMUNICATIONS UTILITIES TO OFFER SERVICE AND CONSTRUCT FACILITIES </t>
  </si>
  <si>
    <t>(PUBLIC VERSION) JOINT APPLICATION FOR APPROVAL OF THE TRANSFER OF THE CERTIFICATE OF PUBLIC CONVENIENCE AND NECESSITY AND OTHER ASSETS, INCLUDING THE CUSTOMER BASE, OF LINE SYSTEMS, INC. (U6795C) TO</t>
  </si>
  <si>
    <t>IN THE MATTER OF THE APPLICATION OF SOUTHWEST GAS CORPORATION (U905G) FOR AUTHORITY TO: (I) ISSUE ONE OR MORE TYPES OF DEBT SECURITIES IN THE PRINCIPAL AMOUNT OF UP TO $500,000,000; (II) ISSUE UP TO 9</t>
  </si>
  <si>
    <t>IN THE MATTER OF THE APPLICATION OF PACIFICORP (U901E) FOR AUTHORITY TO UPDATE ITS RATES UNDER ITS ENERGY COST ADJUSTMENT CLAUSE EFFECTIVE JANUARY 1, 2015.</t>
  </si>
  <si>
    <t>(PUBLIC VERSION) APPLICATION OF WICKLAND PIPELINES LLC (PLC27) FOR AUTHORIZATION TO ESTABLISH MARKET-BASED RATES AND CONDITIONSOF SERVICE AND FOR APPROVAL OF EXEMPTIONS UNDER SECTIONS 818 AND TO 851</t>
  </si>
  <si>
    <t>IN THE MATTER OF THE APPLICATION OF SOUTHERN CALIFORNIA GAS COMPANY (U904G) TO ESTABLISH A DISTRIBUTED ENERGY RESOURCES SERVICES TARIFF.</t>
  </si>
  <si>
    <t>(PUBLIC VERSION) IN THE MATTER OF THE APPLICATION OF TOUCHTONE COMMUNICATIONS, INC. WHICH WILL DO BUSINESS IN CALIFORNIA AS DE TOUCHTONE COMMUNICATIONS, INC. FOR A CERTIFICATE OF PUBLIC CONVENIENCE</t>
  </si>
  <si>
    <t>ORDER INSTITUTING RULEMAKING TO UPDATE GENERAL ORDER 156 TO COMPLY WITH ASSEMBLY BILL 1678 BY EXTENDING PROVISIONS OF THE UTILITIES’ SUPPLIER DIVERSITY PROGRAM TO LESBIAN, GAY, BISEXUAL AND/OR TRANSGENDER (LGBT) BUSINESS ENTERPRISES.</t>
  </si>
  <si>
    <t>ORDER INSTITUTING RULEMAKING TO OVERSEE THE RESOURCE ADEQUACY PROGRAM, CONSIDER PROGRAM REFINEMENTS, AND ESTABLISH ANNUAL LOCAL AND FLEXIBLE PROCUREMENT OBLIGATIONS FOR THE 2016 AND 2017 COMPLIANCE YEARS.</t>
  </si>
  <si>
    <t xml:space="preserve">FOR APPROVAL OF CHARGE READY AND MARKET EDUCATION PROGRAMS. </t>
  </si>
  <si>
    <t>(ECP) S&amp;S INVESTMENTS, A PARTNERSHIP, V. SCE FOR IMPROPER TERMINATION OF ELECTRIC SERVICE</t>
  </si>
  <si>
    <t>APPLICATION OF SOUTHERN CALIFORNIA GAS COMPANY (U904G) FOR AUTHORITY TO UPDATE ITS GAS REVENUE REQUIREMENT AND BASE RATES EFFECTIVE ON JANUARY 1, 2016.</t>
  </si>
  <si>
    <t>APPLICATION OF SOUTHERN CALIFORNIA EDISON COMPANY (U338E) FOR APPROVAL OF ITS ENERGY SAVINGS ASSISTANCE AND CALIFORNIA ALTERNATE RATES FOR ENERGY PROGRAMS AND BUDGETS FOR PROGRAM YEARS 2015-2017.</t>
  </si>
  <si>
    <t>APPLICATION OF SAN DIEGO GAS &amp; ELECTRIC COMPANY (U902M) FOR APPROVAL OF LOW INCOME ASSISTANCE PROGRAMS AND BUDGETS FOR PROGRAM YEARS 2015-2017.</t>
  </si>
  <si>
    <t>APPLICATION OF PACIFIC GAS AND ELECTRIC COMPANY FOR APPROVAL OF THE 2015-2017 ENERGY SAVINGS ASSISTANCE AND CALIFORNIA ALTERNATE RATES FOR ENERGY PROGRAMS AND BUDGET. (U39M).</t>
  </si>
  <si>
    <t>APPLICATION OF SOUTHERN CALIFORNIA GAS COMPANY (U904G) FOR APPROVAL OF LOW INCOME ASSISTANCE PROGRAMS AND BUDGETS FOR PROGRAM YEARS 2015 – 2017.</t>
  </si>
  <si>
    <t>ORDER INSTITUTING INVESTIGATION AND ORDER TO SHOW CAUSE ON THE COMMISSION’S OWN MOTION INTO THE OPERATIONS AND PRACTICES OF PACIFIC GAS AND ELECTRIC COMPANY WITH RESPECT TO FACILITIES RECORDS FOR ITS NATURAL GAS DISTRIBUTION SYSTEM PIPELINES.</t>
  </si>
  <si>
    <t>APPLICATION OF SOUTHERN CALIFORNIA EDISON COMPANY (U338E) FOR APPROVAL OF THE RESULTS OF ITS 2013 LOCAL CAPACITY REQUIREMENTS REQUEST FOR OFFERS FOR THE WESTERN LOS ANGELES BASIN.</t>
  </si>
  <si>
    <t>JOINT APPLICATION OF LIBERTY UTILITIES CO., LIBERTY WWH, INC., WESTERN WATER HOLDINGS, LLC, PARK WATER COMPANY (U314W), AND APPLE VALLEY RANCHOS WATER COMPANY (U346W) FOR AUTHORITY FOR LIBERTY UTILITI</t>
  </si>
  <si>
    <t>APPLICATION OF PACIFIC GAS AND ELECTRIC COMPANY FOR APPROVAL OF ITS 2015 RATE DESIGN WINDOW PROPOSALS (U39E).</t>
  </si>
  <si>
    <t>APPLICATION OF SOUTHERN CALIFORNIA EDISON COMPANY (U338E) FOR APPROVAL OF THE RESULTS OF ITS 2013 LOCAL CAPACITY REQUIREMENTS REQUEST FOR OFFERS FOR THE MOORPARK SUB-AREA.</t>
  </si>
  <si>
    <t>CAMILLE MOUCHAWAR, TRUSTEE OF THE CAMILLE MOUCHAWAR TRUST, DOING BUSINESS AS LAKERIDGE MOBILE HOME PARK AND KATHIE TROOLINES, COMPLAINANTS VS. LIWW, LLC, DEFENDANT [FOR AN ORDER THAT DEFENDANT IS PROV</t>
  </si>
  <si>
    <t>(PUBLIC VERSION) APPLICATION OF CONTERRA WIRELESS BROADBAND, LLC (U7057C) FOR MODIFICATION OF EXISTING CERTIFICATE OF PUBLIC CONVENIENCE AND NECESSITY TO INCLUDE FULL FACILITIES-BASED AUTHORITY.</t>
  </si>
  <si>
    <t>(PUBLIC VERSION) APPLICATION OF PACIFIC GAS AND ELECTRIC COMPANY FOR APPROVAL OF SETTLEMENT AGREEMENTS AMENDING POWER PURCHASE AND SALE AGREEMENTS WITH WESTSIDE COGENS AND FOR AUTHORITY TO RECOVER THE</t>
  </si>
  <si>
    <t>JOINT APPLICATION OF SOUTHERN CALIFORNIA EDISON COMPANY (U338E) AND SAN DIEGO GAS &amp; ELECTRIC COMPANY (U902E) TO FIND THE 2014 SONGS UNITS 2 AND 3 DECOMMISSIONING COST ESTIMATE REASONABLE AND ADDRESS O</t>
  </si>
  <si>
    <t>(ECP) HABIG CONSTRUCTION, INC., V. AT&amp;T FOR IMPROPER BILLING ON LONG-DISTANCE SERVICES</t>
  </si>
  <si>
    <t>APPLICATION OF SUBURBAN WATER SYSTEMS (U339W) FOR AUTHORITY TO ISSUE, SELL AND DELIVER ITS FIRST MORTGAGE BONDS NOT EXCEEDING $25,000,000 PRINCIPAL AMOUNT.</t>
  </si>
  <si>
    <t>EDISON - TO CONSTRUCT ELECTRICAL FACILITIES WITH VOLTAGES BETWEEN 50 KV  AND 200KV VALLEY SOUTH 115KV SUBTRANSMISSION PROJECT</t>
  </si>
  <si>
    <t>APPLICATION OF SAN DIEGO GAS &amp; ELECTRIC_x000D__x000D_ COMPANY (U 902 M) FOR AUTHORITY, AMONG OTHER_x000D__x000D_THINGS, TO INCREASE RATES AND CHARGES FOR ELECTRIC_x000D__x000D_ AND GAS SERVICE EFFECTIVE ON JANUARY 1, 2016.</t>
  </si>
  <si>
    <t>APPLICATION OF SOLAR ELECTRIC SOLUTIONS, LLC AND_x000D__x000D_ SUSTAINABLE POWER GROUP, LLC FOR MODIFICATION OF_x000D__x000D_RESOLUTION E-4546 AND UNDERLYING DECISION 10-12-048.</t>
  </si>
  <si>
    <t>EDISON - TO CONSTRUCT ELECTRICAL FACILITIES WITH VOLTAGES BETWEEN 50KV AND 200KV OR NEW OR UPGRADED SUBSTATIONS WITH HIGH SIDE VOLTAGES EXCEEDING 50 KV: ALBERHILL SYSTEM PROJECT</t>
  </si>
  <si>
    <t>STI PREPARD, LLC AND VIVARO CORP. - FOR AUTHORITY TO TRANSFER CONTROL</t>
  </si>
  <si>
    <t>PG&amp;E - TO CONSTRUCT THE MISSOURI FLAT - GOLD HILL 115 KV POWER LINE RECONDUCTORING PROJECT</t>
  </si>
  <si>
    <t>LAFOUNTAINE AND DESERT PACIFIC DEVELOPMENT INC. VS. EDISON - FOR OVERBILLING OF ELECTRIC CHARGES AND IMPROPER DISCONNECTION OF ELECTRIC SERVICES</t>
  </si>
  <si>
    <t>APPLICATION OF SAN DIEGO GAS &amp; ELECTRIC_x000D__x000D_ COMPANY (U 902 M) FOR AUTHORITY, AMONG OTHER_x000D__x000D_ THINGS, TO INCREASE RATES AND CHARGES FOR ELECTRIC_x000D__x000D_AND GAS SERVICE EFFECTIVE ON JANUARY 1, 2016.</t>
  </si>
  <si>
    <t>APPLICATION OF SOLAR ELECTRIC SOLUTIONS, LLC AND_x000D__x000D_SUSTAINABLE POWER GROUP, LLC FOR MODIFICATION OF_x000D__x000D_RESOLUTION E-4546 AND UNDERLYING DECISION 10-12-048.</t>
  </si>
  <si>
    <t>EDISON - FOR APPROVAL OF OPTIONAL GREEN RATE</t>
  </si>
  <si>
    <t>A1011015</t>
  </si>
  <si>
    <t>A1103014</t>
  </si>
  <si>
    <t>A1103015</t>
  </si>
  <si>
    <t>A1107020</t>
  </si>
  <si>
    <t>A1212002</t>
  </si>
  <si>
    <t>A1212012</t>
  </si>
  <si>
    <t>A1212013</t>
  </si>
  <si>
    <t>A1501005</t>
  </si>
  <si>
    <t>A1501007</t>
  </si>
  <si>
    <t>A1501009</t>
  </si>
  <si>
    <t>A1501010</t>
  </si>
  <si>
    <t>R1501008</t>
  </si>
  <si>
    <t>Michael R. Peevey</t>
  </si>
  <si>
    <t xml:space="preserve">Amy C. Yip-Kikugawa Legal Division Legal Division </t>
  </si>
  <si>
    <t xml:space="preserve">Legal Division Amy C. Yip-Kikugawa </t>
  </si>
  <si>
    <t xml:space="preserve">Legal Division Amy C. Yip-Kikugawa Legal Division </t>
  </si>
  <si>
    <t xml:space="preserve">Legal Division Melanie Darling </t>
  </si>
  <si>
    <t>EDISON - FOR AUTHORITY TO INCREASE ITS AUTHORIZED REVENUES FOR ELECTRIC SERVICE IN 2012</t>
  </si>
  <si>
    <t>PG&amp;E - FOR APPROVAL OF MODIFICATIONS TO ITS SMARTMETER PROGRAM AND INCREASED REVENUE REQUIREMENTS TO RECOVER THE COSTS OF THE MODIFICATIONS</t>
  </si>
  <si>
    <t>UCAN - FOR MODIFICATION OF D07-04-043 SO AS TO NOT FORCE RESIDENTIAL CUSTOMERS TO USE SMART METERS</t>
  </si>
  <si>
    <t>COUNTY OF SANTA BARBARA, THE CONSUMERS POWER ALLIANCE ET AL. - FOR MODIFICATION OF D08-09-039 AND AN ORDER REQUIRING EDISON TO FILE AN APPLICATION FOR A SMART METER OPT-OUT PLAN</t>
  </si>
  <si>
    <t>PG&amp;E - FOR 2013 RATE DESIGN WINDOW PROCEEDING</t>
  </si>
  <si>
    <t>PG&amp;E - APPLICATION IN ITS 2012 NUCLEAR DECOMMISSIONING COST TRIENNIAL PROCEEDING</t>
  </si>
  <si>
    <t>EDISON AND SDG&amp;E - FOR THE 2012 NUCLEAR DECOMMISSIONING COST TRIENNIAL PROCEEDING TO SET CONTRIBUTIONS LEVELS</t>
  </si>
  <si>
    <t>(PUBLIC VERSION) Application of CURTIN MARITIME, CORPORATION for a Certificate of Public Convenience Necessity to Establish and Operate Scheduled Vessel Common Carrier Service Transporting Freight bet</t>
  </si>
  <si>
    <t>(PUBLIC VERSION) In the Matter of the Application of Velocity The Greatest Phone Company Ever, Inc. for a Certificate of Public Convenience and Necessity to Provide Resold Interexchange Telecommunicat</t>
  </si>
  <si>
    <t>In the Matter of the Application of Cruzio Media Inc. (U7150C) for a Certificate of Public Convenience and Necessity to Provide Full Facilities- Based and Resold Local Exchange Service in AT&amp;T Califor</t>
  </si>
  <si>
    <t>(PUBLIC VERSION) Joint Application of Centerbridge Capital Partners II, L.P. and IPC Network Services, Inc. (U7266C) for Authority for Centerbridge Capital Partners II, L.P. to Acquire Indirect Contro</t>
  </si>
  <si>
    <t>Order Instituting Rulemaking to Adopt Rules and Procedures Governing Commission-Regulated Natural Gas Pipelines and Facilities to Reduce Natural Gas Leakage Consistent with Senate Bill 1371.</t>
  </si>
  <si>
    <t>A1501014</t>
  </si>
  <si>
    <t>A1502001</t>
  </si>
  <si>
    <t>A1502002</t>
  </si>
  <si>
    <t>A1502003</t>
  </si>
  <si>
    <t>A1502005</t>
  </si>
  <si>
    <t>A1502006</t>
  </si>
  <si>
    <t>A1502009</t>
  </si>
  <si>
    <t>C1501013</t>
  </si>
  <si>
    <t xml:space="preserve">Gerald F. Kelly </t>
  </si>
  <si>
    <t>John S. Wong  Rafael L. Lirag</t>
  </si>
  <si>
    <t>Katherine MacDonald Kimberly Kim</t>
  </si>
  <si>
    <t>Legal Division David M. Gamson Michael Colvin</t>
  </si>
  <si>
    <t>Karin M. Hieta Regina DeAngelis Legal Division</t>
  </si>
  <si>
    <t xml:space="preserve">David M. Gamson Michael Colvin </t>
  </si>
  <si>
    <t>Dan Burcham Legal Division</t>
  </si>
  <si>
    <t>Application of Southern California Edison Company (U338E) for a Commission Reasonableness Review of 2014 SONGS 2&amp;3 Expenses.</t>
  </si>
  <si>
    <t>In the Matter of the Application of Southwest Gas Corporation (U905G) for Approval of Low-Income Programs and Budgets for Program Years 2015-2017.</t>
  </si>
  <si>
    <t xml:space="preserve">In the Matter of the Application of Golden State Water Company, on Behalf of its Bear Valley Electric Service Division, (U913E) for Approval of the 2015-2017 California Alternate Rates for Energy and </t>
  </si>
  <si>
    <t>Application of Liberty Utilities (CalPeco Electric) LLC (U933E) for Approval of Low-Income Assistance Programs and Budgets for Program Years 2015-2017.</t>
  </si>
  <si>
    <t>Pinnacles</t>
  </si>
  <si>
    <t>Application of San Diego Gas &amp; Electric Company (U902E) for a Reasonableness Determination and Recovery of its 2014 O&amp;M and Non-O&amp;M SONGS Costs.</t>
  </si>
  <si>
    <t>In the Matter of the Application of Pacific Gas and Electric Company for Approval of its Electric Vehicle Infrastructure and Education Program (U39E).</t>
  </si>
  <si>
    <t>CLEOPHAS DUNLAP vs. PARK WATER (U314W) FOR AN ALLEGED ILLEGAL WATER SURCHARGES VIA ADVICE LETTER IN THE AMOUNT OF $800+</t>
  </si>
  <si>
    <t>A1502013</t>
  </si>
  <si>
    <t>A1502015</t>
  </si>
  <si>
    <t>A1502023</t>
  </si>
  <si>
    <t>A1502024</t>
  </si>
  <si>
    <t>A1503001</t>
  </si>
  <si>
    <t>C1502008</t>
  </si>
  <si>
    <t>C1502010</t>
  </si>
  <si>
    <t>C1502011</t>
  </si>
  <si>
    <t>C1502014</t>
  </si>
  <si>
    <t>C1502018</t>
  </si>
  <si>
    <t>C1502019</t>
  </si>
  <si>
    <t>C1502021</t>
  </si>
  <si>
    <t>C1502022</t>
  </si>
  <si>
    <t>K1502016</t>
  </si>
  <si>
    <t>K1502017</t>
  </si>
  <si>
    <t>R0901019</t>
  </si>
  <si>
    <t>R1502012</t>
  </si>
  <si>
    <t>R1502020</t>
  </si>
  <si>
    <t xml:space="preserve">Melanie Darling Legal Division </t>
  </si>
  <si>
    <t xml:space="preserve">Robert Mason Anne E. Simon </t>
  </si>
  <si>
    <t>PACIFICORP - FOR APPROVAL OF THE CARE AND ENERGY SAVINGS ASSISTANCE PROGRAMS AND BUDGETS FOR YEARS 2015-2017</t>
  </si>
  <si>
    <t xml:space="preserve">Application of Pacific Gas and Electric Company for Compliance Review of Utility Owned Generation Operations, Electric Energy Resource Recovery Account Entries, Contract Administration, Economic Dispatch of Electric Resources, Utility Retained Generation Fuel Procurement, and Other Activities for the Period January 1 through December 31, 2014. </t>
  </si>
  <si>
    <t>In the Matter of Application of Del Oro Water Company, Inc. [U61W] for a Certificate of Public Convenience and Necessity to Acquire Traver Water, LLC, [U432W] Tulare County and to Establish Rates for Service.</t>
  </si>
  <si>
    <t>ln the Matter of the Application of West Coast Gas Company For Approval of Program Years 2015-2017Low-lncome Assistance Program Budgets.</t>
  </si>
  <si>
    <t>Micellaneous</t>
  </si>
  <si>
    <t xml:space="preserve">Maribeth Bushey Legal Division </t>
  </si>
  <si>
    <t>(ECP) ROBERT E. FEISS, M.D. v. GS WATER (U133W) FOR INCORRECT BILLING OF $383.61, PROPERTY DAMAGE, AND REIMBURSEMENT OF THE COST TO RELOCATE HIS FIRE HYDRANT</t>
  </si>
  <si>
    <t>(ECP) JEFF SLY v. VERIZON (U3029C) FOR A BILLING DISPUTE IN THE AMOUNT OF $177.21</t>
  </si>
  <si>
    <t>JEFFREY PARKER v. VERIZON CA (U1002C) FOR AN ALLEGED VIOLATION OF THE CODE AS IN VERIZON’S CABLE IS HANGING</t>
  </si>
  <si>
    <t>(ECP) CHRIS DONABEDIAN v. SCE (U338E) FOR A REFUND OF $8,400 FOR OVERCHARGES</t>
  </si>
  <si>
    <t>JAMES HANEY v. SCE FOR RELIEF FROM DEF’S VIOLATION OF GO 95, RULE 31.1 AND P.U. CODE § 451; AND RELATED COMPLAINTS OF CONSUMER ABUSE BY DEF</t>
  </si>
  <si>
    <t>Application of Plains West Coast Terminals LLC (PLC-28) for Authorization to Dispose of Certain Property Located in the City of Huntington Beach.</t>
  </si>
  <si>
    <t>(ECP) CRAIG SHIBATA v. SPRINT PCS FOR A REFUND OF $121.70; AND RELATED RELIEF.</t>
  </si>
  <si>
    <t>DAVID MACKINNON, JR., v. SDGE FOR RELIEF FROM DEFENDANT’S VIOLATIONS OF GO 95 AND TARIFF RULE 16, VIOLATING COMPLAINANT’S PRIVATE PROPERTY RIGHTS</t>
  </si>
  <si>
    <t>RAMIN HATAM V. SDG&amp;E FOR REMOVAL OF TWO HIGH VOLTAGE POLES AND WIRES TO ELIMINATE THE NEGATIVE EFFECTS OF INCREASED LEVELS OF EMF; AND RELATED RELIEF</t>
  </si>
  <si>
    <t>APPEAL OF PACIFIC GAS AND ELECTRIC COMPANY FROM CITATION NO.ALJ 274 15-01-004 ISSUED ON JANUARY 30, 2015 BY THE SAFETY AND 
ENFORCEMENT DIVISION (U39G)</t>
  </si>
  <si>
    <t>APPEAL OF WEST COAST GAS COMPANY (U910G) FROM CITATION # ALJ 274 15-01-005 ISSUED ON JANUARY 30, 2015 BY THE SAFETY AND ENFORCEMENT DIVISION.</t>
  </si>
  <si>
    <t>CPUC - OIR TO EXAMINE COMMISSION'S ENERGY EFFICIENCY RISK/REWARD INCENTIVE MECHANISM</t>
  </si>
  <si>
    <t>Order Instituting Rulemaking to Consider the Annual Revenue Requirement Determination of the California Department of Water Resources and Related Issues.</t>
  </si>
  <si>
    <t>Order Instituting Rulemaking to Continue Implementation and Administration, and Consider Further Development of, California Renewables Portfolio Standard Program.</t>
  </si>
  <si>
    <t>N/A</t>
  </si>
  <si>
    <t>HRG</t>
  </si>
  <si>
    <t>CMMR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</si>
</sst>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409]d\-mmm\-yyyy;@"/>
    <numFmt numFmtId="165" formatCode="mm/dd/yy;@"/>
    <numFmt numFmtId="166" formatCode="[$-409]d\-mmm\-yy;@"/>
    <numFmt numFmtId="167" formatCode="[$-409]dd\-mmm\-yy;@"/>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sz val="10"/>
      <name val="Tahoma"/>
      <family val="2"/>
    </font>
    <font>
      <sz val="11"/>
      <name val="Tahoma"/>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0"/>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5">
    <xf numFmtId="0" fontId="0" fillId="0" borderId="0" xfId="0"/>
    <xf numFmtId="0" fontId="18" fillId="0" borderId="10" xfId="0" applyFont="1" applyBorder="1" applyAlignment="1">
      <alignment horizontal="center" wrapText="1"/>
    </xf>
    <xf numFmtId="0" fontId="18" fillId="0" borderId="0" xfId="0" applyFont="1" applyBorder="1" applyAlignment="1">
      <alignment horizontal="center"/>
    </xf>
    <xf numFmtId="164" fontId="18" fillId="0" borderId="0" xfId="0" applyNumberFormat="1" applyFont="1" applyBorder="1" applyAlignment="1">
      <alignment horizontal="center"/>
    </xf>
    <xf numFmtId="166" fontId="18" fillId="0" borderId="0" xfId="0" applyNumberFormat="1" applyFont="1" applyBorder="1" applyAlignment="1">
      <alignment horizontal="center"/>
    </xf>
    <xf numFmtId="0" fontId="18" fillId="0" borderId="0" xfId="0" applyFont="1" applyBorder="1"/>
    <xf numFmtId="0" fontId="18" fillId="0" borderId="0" xfId="0" applyFont="1" applyBorder="1" applyAlignment="1">
      <alignment horizontal="center" wrapText="1"/>
    </xf>
    <xf numFmtId="0" fontId="18" fillId="0" borderId="10" xfId="0" applyFont="1" applyBorder="1" applyAlignment="1">
      <alignment horizontal="left" wrapText="1"/>
    </xf>
    <xf numFmtId="164" fontId="18" fillId="33" borderId="10" xfId="0" applyNumberFormat="1" applyFont="1" applyFill="1" applyBorder="1" applyAlignment="1">
      <alignment horizontal="center" wrapText="1"/>
    </xf>
    <xf numFmtId="0" fontId="18" fillId="33" borderId="10" xfId="0" applyFont="1" applyFill="1" applyBorder="1" applyAlignment="1">
      <alignment horizontal="center" wrapText="1"/>
    </xf>
    <xf numFmtId="0" fontId="18" fillId="0" borderId="0" xfId="0" applyFont="1" applyBorder="1" applyAlignment="1">
      <alignment horizontal="left" wrapText="1"/>
    </xf>
    <xf numFmtId="0" fontId="18" fillId="34" borderId="10" xfId="0" applyFont="1" applyFill="1" applyBorder="1" applyAlignment="1">
      <alignment horizontal="center" wrapText="1"/>
    </xf>
    <xf numFmtId="0" fontId="18" fillId="34" borderId="10" xfId="0" applyFont="1" applyFill="1" applyBorder="1" applyAlignment="1">
      <alignment horizontal="left" wrapText="1"/>
    </xf>
    <xf numFmtId="165" fontId="18" fillId="33" borderId="10" xfId="0" applyNumberFormat="1" applyFont="1" applyFill="1" applyBorder="1" applyAlignment="1">
      <alignment horizontal="center" wrapText="1"/>
    </xf>
    <xf numFmtId="166" fontId="18" fillId="33" borderId="10" xfId="0" applyNumberFormat="1" applyFont="1" applyFill="1" applyBorder="1" applyAlignment="1">
      <alignment horizontal="center" wrapText="1"/>
    </xf>
    <xf numFmtId="164" fontId="18" fillId="34" borderId="10" xfId="0" applyNumberFormat="1" applyFont="1" applyFill="1" applyBorder="1" applyAlignment="1">
      <alignment horizontal="center" wrapText="1"/>
    </xf>
    <xf numFmtId="164" fontId="18" fillId="0" borderId="10" xfId="0" applyNumberFormat="1" applyFont="1" applyBorder="1" applyAlignment="1">
      <alignment horizontal="center" wrapText="1"/>
    </xf>
    <xf numFmtId="165" fontId="18" fillId="0" borderId="10" xfId="0" applyNumberFormat="1" applyFont="1" applyBorder="1" applyAlignment="1">
      <alignment horizontal="center" wrapText="1"/>
    </xf>
    <xf numFmtId="166" fontId="18" fillId="0" borderId="10" xfId="0" applyNumberFormat="1" applyFont="1" applyBorder="1" applyAlignment="1">
      <alignment horizontal="center" wrapText="1"/>
    </xf>
    <xf numFmtId="167" fontId="18" fillId="0" borderId="10" xfId="0" applyNumberFormat="1" applyFont="1" applyBorder="1" applyAlignment="1">
      <alignment horizontal="center" wrapText="1"/>
    </xf>
    <xf numFmtId="166" fontId="18" fillId="34" borderId="10" xfId="0" applyNumberFormat="1" applyFont="1" applyFill="1" applyBorder="1" applyAlignment="1">
      <alignment horizontal="center" wrapText="1"/>
    </xf>
    <xf numFmtId="0" fontId="18" fillId="34" borderId="0" xfId="0" applyFont="1" applyFill="1" applyBorder="1" applyAlignment="1">
      <alignment horizontal="center" wrapText="1"/>
    </xf>
    <xf numFmtId="0" fontId="18" fillId="0" borderId="10" xfId="0" applyFont="1" applyBorder="1" applyAlignment="1">
      <alignment wrapText="1"/>
    </xf>
    <xf numFmtId="164" fontId="18" fillId="34" borderId="0" xfId="0" applyNumberFormat="1" applyFont="1" applyFill="1" applyBorder="1" applyAlignment="1">
      <alignment horizontal="center" wrapText="1"/>
    </xf>
    <xf numFmtId="164" fontId="18" fillId="0" borderId="0" xfId="0" applyNumberFormat="1" applyFont="1" applyBorder="1" applyAlignment="1">
      <alignment horizontal="center" wrapText="1"/>
    </xf>
    <xf numFmtId="166" fontId="18" fillId="0" borderId="0" xfId="0" applyNumberFormat="1" applyFont="1" applyBorder="1" applyAlignment="1">
      <alignment horizontal="center" wrapText="1"/>
    </xf>
    <xf numFmtId="166" fontId="18" fillId="0" borderId="11" xfId="0" applyNumberFormat="1" applyFont="1" applyBorder="1" applyAlignment="1">
      <alignment horizontal="center" wrapText="1"/>
    </xf>
    <xf numFmtId="0" fontId="18" fillId="0" borderId="12" xfId="0" applyFont="1" applyBorder="1" applyAlignment="1">
      <alignment horizontal="center" wrapText="1"/>
    </xf>
    <xf numFmtId="0" fontId="18" fillId="0" borderId="13" xfId="0" applyFont="1" applyBorder="1" applyAlignment="1">
      <alignment horizontal="center" wrapText="1"/>
    </xf>
    <xf numFmtId="15" fontId="18" fillId="0" borderId="10" xfId="0" applyNumberFormat="1" applyFont="1" applyBorder="1" applyAlignment="1">
      <alignment horizontal="center" wrapText="1"/>
    </xf>
    <xf numFmtId="0" fontId="18" fillId="0" borderId="10" xfId="0" applyFont="1" applyBorder="1" applyAlignment="1">
      <alignment horizontal="center"/>
    </xf>
    <xf numFmtId="15" fontId="18" fillId="0" borderId="10" xfId="0" applyNumberFormat="1" applyFont="1" applyBorder="1" applyAlignment="1">
      <alignment horizontal="center"/>
    </xf>
    <xf numFmtId="0" fontId="18" fillId="33" borderId="10" xfId="0" applyFont="1" applyFill="1" applyBorder="1" applyAlignment="1">
      <alignment horizontal="center"/>
    </xf>
    <xf numFmtId="164" fontId="18" fillId="33" borderId="10" xfId="0" applyNumberFormat="1" applyFont="1" applyFill="1" applyBorder="1" applyAlignment="1">
      <alignment horizontal="center"/>
    </xf>
    <xf numFmtId="165" fontId="18" fillId="33" borderId="10" xfId="0" applyNumberFormat="1" applyFont="1" applyFill="1" applyBorder="1" applyAlignment="1">
      <alignment horizontal="center"/>
    </xf>
    <xf numFmtId="165" fontId="18" fillId="0" borderId="0" xfId="0" applyNumberFormat="1" applyFont="1" applyBorder="1" applyAlignment="1">
      <alignment horizontal="center"/>
    </xf>
    <xf numFmtId="0" fontId="19" fillId="0" borderId="0" xfId="0" applyFont="1" applyBorder="1" applyAlignment="1">
      <alignment horizontal="center"/>
    </xf>
    <xf numFmtId="164" fontId="18" fillId="34" borderId="13" xfId="0" applyNumberFormat="1" applyFont="1" applyFill="1" applyBorder="1" applyAlignment="1">
      <alignment horizontal="center" wrapText="1"/>
    </xf>
    <xf numFmtId="164" fontId="18" fillId="0" borderId="13" xfId="0" applyNumberFormat="1" applyFont="1" applyBorder="1" applyAlignment="1">
      <alignment horizontal="center" wrapText="1"/>
    </xf>
    <xf numFmtId="166" fontId="18" fillId="0" borderId="13" xfId="0" applyNumberFormat="1" applyFont="1" applyBorder="1" applyAlignment="1">
      <alignment horizontal="center" wrapText="1"/>
    </xf>
    <xf numFmtId="0" fontId="18" fillId="0" borderId="13" xfId="0" applyFont="1" applyBorder="1" applyAlignment="1">
      <alignment horizontal="left" wrapText="1"/>
    </xf>
    <xf numFmtId="164" fontId="18" fillId="0" borderId="10" xfId="0" applyNumberFormat="1" applyFont="1" applyBorder="1"/>
    <xf numFmtId="0" fontId="18" fillId="33" borderId="10" xfId="0" applyFont="1" applyFill="1" applyBorder="1" applyAlignment="1">
      <alignment horizontal="left" wrapText="1"/>
    </xf>
    <xf numFmtId="0" fontId="18" fillId="0" borderId="10" xfId="0" applyFont="1" applyBorder="1" applyAlignment="1">
      <alignment horizontal="left"/>
    </xf>
    <xf numFmtId="164" fontId="18" fillId="0" borderId="10" xfId="0" applyNumberFormat="1" applyFont="1" applyBorder="1" applyAlignment="1">
      <alignment horizontal="center"/>
    </xf>
    <xf numFmtId="165" fontId="18" fillId="0" borderId="10" xfId="0" applyNumberFormat="1" applyFont="1" applyBorder="1" applyAlignment="1">
      <alignment horizontal="center"/>
    </xf>
    <xf numFmtId="15" fontId="18" fillId="0" borderId="10" xfId="0" applyNumberFormat="1" applyFont="1" applyBorder="1"/>
    <xf numFmtId="1" fontId="20" fillId="0" borderId="10" xfId="0" applyNumberFormat="1" applyFont="1" applyBorder="1" applyAlignment="1">
      <alignment horizontal="center" wrapText="1"/>
    </xf>
    <xf numFmtId="0" fontId="20" fillId="0" borderId="10" xfId="0" applyFont="1" applyBorder="1" applyAlignment="1">
      <alignment horizontal="center" wrapText="1"/>
    </xf>
    <xf numFmtId="0" fontId="18" fillId="0" borderId="0" xfId="0" applyFont="1" applyBorder="1" applyAlignment="1">
      <alignment wrapText="1"/>
    </xf>
    <xf numFmtId="0" fontId="18" fillId="0" borderId="10" xfId="0" applyFont="1" applyFill="1" applyBorder="1" applyAlignment="1">
      <alignment horizontal="center" wrapText="1"/>
    </xf>
    <xf numFmtId="0" fontId="18" fillId="0" borderId="12" xfId="0" applyFont="1" applyBorder="1" applyAlignment="1">
      <alignment horizontal="left" wrapText="1"/>
    </xf>
    <xf numFmtId="164" fontId="18" fillId="0" borderId="12" xfId="0" applyNumberFormat="1" applyFont="1" applyBorder="1" applyAlignment="1">
      <alignment horizontal="center" wrapText="1"/>
    </xf>
    <xf numFmtId="15" fontId="0" fillId="0" borderId="10" xfId="0" applyNumberFormat="1" applyBorder="1"/>
    <xf numFmtId="166" fontId="18" fillId="0" borderId="12" xfId="0" applyNumberFormat="1" applyFont="1" applyBorder="1" applyAlignment="1">
      <alignment horizontal="center" wrapText="1"/>
    </xf>
    <xf numFmtId="0" fontId="18" fillId="0" borderId="14" xfId="0" applyFont="1" applyBorder="1" applyAlignment="1">
      <alignment horizontal="left" wrapText="1"/>
    </xf>
    <xf numFmtId="164" fontId="18" fillId="34" borderId="12" xfId="0" applyNumberFormat="1" applyFont="1" applyFill="1" applyBorder="1" applyAlignment="1">
      <alignment horizontal="center" wrapText="1"/>
    </xf>
    <xf numFmtId="164" fontId="18" fillId="34" borderId="14" xfId="0" applyNumberFormat="1" applyFont="1" applyFill="1" applyBorder="1" applyAlignment="1">
      <alignment horizontal="center" wrapText="1"/>
    </xf>
    <xf numFmtId="166" fontId="18" fillId="0" borderId="14" xfId="0" applyNumberFormat="1" applyFont="1" applyBorder="1" applyAlignment="1">
      <alignment horizontal="center" wrapText="1"/>
    </xf>
    <xf numFmtId="0" fontId="18" fillId="0" borderId="14" xfId="0" applyFont="1" applyBorder="1" applyAlignment="1">
      <alignment horizontal="center" wrapText="1"/>
    </xf>
    <xf numFmtId="164" fontId="18" fillId="0" borderId="14" xfId="0" applyNumberFormat="1" applyFont="1" applyBorder="1" applyAlignment="1">
      <alignment horizontal="center" wrapText="1"/>
    </xf>
    <xf numFmtId="0" fontId="18" fillId="0" borderId="12" xfId="0" applyFont="1" applyBorder="1" applyAlignment="1">
      <alignment wrapText="1"/>
    </xf>
    <xf numFmtId="0" fontId="18" fillId="0" borderId="10" xfId="0" applyFont="1" applyFill="1" applyBorder="1" applyAlignment="1">
      <alignment horizontal="center"/>
    </xf>
    <xf numFmtId="165" fontId="18" fillId="0" borderId="15" xfId="0" applyNumberFormat="1" applyFont="1" applyBorder="1" applyAlignment="1">
      <alignment horizontal="center" wrapText="1"/>
    </xf>
    <xf numFmtId="164" fontId="18" fillId="34" borderId="15" xfId="0" applyNumberFormat="1" applyFont="1" applyFill="1" applyBorder="1" applyAlignment="1">
      <alignment horizontal="center" wrapText="1"/>
    </xf>
    <xf numFmtId="0" fontId="18" fillId="0" borderId="12" xfId="0" applyFont="1" applyBorder="1"/>
    <xf numFmtId="164" fontId="18" fillId="0" borderId="15" xfId="0" applyNumberFormat="1" applyFont="1" applyBorder="1" applyAlignment="1">
      <alignment horizontal="center" wrapText="1"/>
    </xf>
    <xf numFmtId="0" fontId="18" fillId="0" borderId="11" xfId="0" applyFont="1" applyBorder="1" applyAlignment="1">
      <alignment horizontal="center" wrapText="1"/>
    </xf>
    <xf numFmtId="164" fontId="18" fillId="34" borderId="0" xfId="0" applyNumberFormat="1" applyFont="1" applyFill="1" applyBorder="1" applyAlignment="1">
      <alignment horizontal="center"/>
    </xf>
    <xf numFmtId="0" fontId="18" fillId="0" borderId="10" xfId="0" applyFont="1" applyFill="1" applyBorder="1"/>
    <xf numFmtId="14" fontId="18" fillId="0" borderId="10" xfId="0" applyNumberFormat="1" applyFont="1" applyBorder="1"/>
    <xf numFmtId="0" fontId="18" fillId="0" borderId="14" xfId="0" applyFont="1" applyBorder="1" applyAlignment="1">
      <alignment horizontal="center"/>
    </xf>
    <xf numFmtId="0" fontId="18" fillId="0" borderId="12" xfId="0" applyFont="1" applyBorder="1" applyAlignment="1">
      <alignment horizontal="center"/>
    </xf>
    <xf numFmtId="164" fontId="18" fillId="0" borderId="10" xfId="0" applyNumberFormat="1" applyFont="1" applyFill="1" applyBorder="1" applyAlignment="1">
      <alignment horizontal="center" wrapText="1"/>
    </xf>
    <xf numFmtId="164" fontId="18" fillId="0" borderId="15" xfId="0" applyNumberFormat="1" applyFont="1" applyBorder="1"/>
    <xf numFmtId="164" fontId="18" fillId="0" borderId="0" xfId="0" applyNumberFormat="1" applyFont="1" applyBorder="1"/>
    <xf numFmtId="164" fontId="18" fillId="0" borderId="16" xfId="0" applyNumberFormat="1" applyFont="1" applyBorder="1" applyAlignment="1">
      <alignment horizontal="center" wrapText="1"/>
    </xf>
    <xf numFmtId="164" fontId="18" fillId="0" borderId="15" xfId="0" applyNumberFormat="1" applyFont="1" applyBorder="1" applyAlignment="1">
      <alignment horizontal="center"/>
    </xf>
    <xf numFmtId="164" fontId="18" fillId="0" borderId="17" xfId="0" applyNumberFormat="1" applyFont="1" applyBorder="1" applyAlignment="1">
      <alignment horizontal="center" wrapText="1"/>
    </xf>
    <xf numFmtId="164" fontId="18" fillId="0" borderId="15" xfId="0" applyNumberFormat="1" applyFont="1" applyFill="1" applyBorder="1" applyAlignment="1">
      <alignment horizontal="center" wrapText="1"/>
    </xf>
    <xf numFmtId="164" fontId="18" fillId="33" borderId="15" xfId="0" applyNumberFormat="1" applyFont="1" applyFill="1" applyBorder="1" applyAlignment="1">
      <alignment horizontal="center" wrapText="1"/>
    </xf>
    <xf numFmtId="0" fontId="18" fillId="0" borderId="10" xfId="0" applyFont="1" applyBorder="1" applyAlignment="1">
      <alignment horizontal="center" wrapText="1"/>
    </xf>
    <xf numFmtId="0" fontId="18" fillId="0" borderId="10" xfId="0" applyFont="1" applyBorder="1" applyAlignment="1">
      <alignment horizontal="center"/>
    </xf>
    <xf numFmtId="0" fontId="18" fillId="0" borderId="10" xfId="0" applyFont="1" applyBorder="1" applyAlignment="1">
      <alignment wrapText="1"/>
    </xf>
    <xf numFmtId="0" fontId="18" fillId="0" borderId="10" xfId="0" applyFont="1" applyFill="1" applyBorder="1" applyAlignment="1">
      <alignment wrapText="1"/>
    </xf>
    <xf numFmtId="0" fontId="18" fillId="0" borderId="10" xfId="0" applyFont="1" applyBorder="1" applyAlignment="1">
      <alignment horizontal="left" wrapText="1"/>
    </xf>
    <xf numFmtId="0" fontId="18" fillId="0" borderId="10" xfId="0" applyFont="1" applyBorder="1" applyAlignment="1">
      <alignment horizontal="center" wrapText="1"/>
    </xf>
    <xf numFmtId="0" fontId="18" fillId="0" borderId="10" xfId="0" applyFont="1" applyBorder="1"/>
    <xf numFmtId="0" fontId="18" fillId="0" borderId="0" xfId="0" applyFont="1" applyBorder="1" applyAlignment="1">
      <alignment horizontal="center" wrapText="1"/>
    </xf>
    <xf numFmtId="0" fontId="18" fillId="0" borderId="10" xfId="0" applyFont="1" applyBorder="1" applyAlignment="1">
      <alignment horizontal="left" wrapText="1"/>
    </xf>
    <xf numFmtId="166" fontId="18" fillId="0" borderId="15" xfId="0" applyNumberFormat="1" applyFont="1" applyBorder="1" applyAlignment="1">
      <alignment horizontal="center" wrapText="1"/>
    </xf>
    <xf numFmtId="165" fontId="18" fillId="0" borderId="0" xfId="0" applyNumberFormat="1" applyFont="1" applyBorder="1" applyAlignment="1">
      <alignment horizontal="center" wrapText="1"/>
    </xf>
    <xf numFmtId="0" fontId="18" fillId="34" borderId="15" xfId="0" applyFont="1" applyFill="1" applyBorder="1" applyAlignment="1">
      <alignment horizontal="center" wrapText="1"/>
    </xf>
    <xf numFmtId="0" fontId="18" fillId="0" borderId="15" xfId="0" applyFont="1" applyBorder="1" applyAlignment="1">
      <alignment horizontal="center" wrapText="1"/>
    </xf>
    <xf numFmtId="15" fontId="18" fillId="0" borderId="10" xfId="0" applyNumberFormat="1" applyFont="1" applyBorder="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71"/>
  <sheetViews>
    <sheetView topLeftCell="A434" zoomScale="55" zoomScaleNormal="55" workbookViewId="0">
      <selection activeCell="K434" sqref="K434"/>
    </sheetView>
  </sheetViews>
  <sheetFormatPr defaultColWidth="9.140625" defaultRowHeight="126" customHeight="1" x14ac:dyDescent="0.25"/>
  <cols>
    <col min="1" max="1" width="16.42578125" style="88" customWidth="1"/>
    <col min="2" max="2" width="20.140625" style="23" customWidth="1"/>
    <col min="3" max="3" width="15.7109375" style="24" customWidth="1"/>
    <col min="4" max="4" width="15.85546875" style="23" customWidth="1"/>
    <col min="5" max="5" width="24.5703125" style="24" customWidth="1"/>
    <col min="6" max="6" width="14.28515625" style="24" customWidth="1"/>
    <col min="7" max="7" width="12.42578125" style="1" customWidth="1"/>
    <col min="8" max="8" width="12.85546875" style="24" customWidth="1"/>
    <col min="9" max="9" width="12.5703125" style="25" customWidth="1"/>
    <col min="10" max="10" width="13.42578125" style="6" customWidth="1"/>
    <col min="11" max="11" width="13.28515625" style="24" customWidth="1"/>
    <col min="12" max="12" width="6.5703125" style="6" customWidth="1"/>
    <col min="13" max="13" width="32" style="88" customWidth="1"/>
    <col min="14" max="14" width="10.7109375" style="6" customWidth="1"/>
    <col min="15" max="15" width="19" style="6" customWidth="1"/>
    <col min="16" max="16" width="11.5703125" style="6" customWidth="1"/>
    <col min="17" max="17" width="14" style="10" customWidth="1"/>
    <col min="18" max="21" width="9.140625" style="6" customWidth="1"/>
    <col min="22" max="16384" width="9.140625" style="6"/>
  </cols>
  <sheetData>
    <row r="1" spans="1:17" ht="126" customHeight="1" x14ac:dyDescent="0.25">
      <c r="A1" s="9" t="s">
        <v>0</v>
      </c>
      <c r="B1" s="8" t="s">
        <v>475</v>
      </c>
      <c r="C1" s="8" t="s">
        <v>478</v>
      </c>
      <c r="D1" s="8" t="s">
        <v>480</v>
      </c>
      <c r="E1" s="8" t="s">
        <v>479</v>
      </c>
      <c r="F1" s="80" t="s">
        <v>1</v>
      </c>
      <c r="G1" s="8" t="s">
        <v>639</v>
      </c>
      <c r="H1" s="80" t="s">
        <v>2</v>
      </c>
      <c r="I1" s="14" t="s">
        <v>3</v>
      </c>
      <c r="J1" s="8" t="s">
        <v>640</v>
      </c>
      <c r="K1" s="8" t="s">
        <v>4</v>
      </c>
      <c r="L1" s="9" t="s">
        <v>5</v>
      </c>
      <c r="M1" s="9" t="s">
        <v>6</v>
      </c>
      <c r="N1" s="9" t="s">
        <v>7</v>
      </c>
      <c r="O1" s="9" t="s">
        <v>8</v>
      </c>
      <c r="P1" s="9" t="s">
        <v>819</v>
      </c>
      <c r="Q1" s="42" t="s">
        <v>9</v>
      </c>
    </row>
    <row r="2" spans="1:17" s="88" customFormat="1" ht="145.35" customHeight="1" x14ac:dyDescent="0.25">
      <c r="A2" s="86" t="s">
        <v>309</v>
      </c>
      <c r="B2" s="15">
        <v>39063</v>
      </c>
      <c r="C2" s="16">
        <v>39105</v>
      </c>
      <c r="D2" s="15" t="s">
        <v>476</v>
      </c>
      <c r="E2" s="16">
        <v>39369</v>
      </c>
      <c r="F2" s="66" t="str">
        <f>+"10-OCT-2006"</f>
        <v>10-OCT-2006</v>
      </c>
      <c r="G2" s="47">
        <f>DATE(2015, 3, 18)- F2</f>
        <v>3081</v>
      </c>
      <c r="H2" s="66" t="str">
        <f>+""</f>
        <v/>
      </c>
      <c r="I2" s="90"/>
      <c r="J2" s="86"/>
      <c r="K2" s="16"/>
      <c r="L2" s="86" t="s">
        <v>10</v>
      </c>
      <c r="M2" s="86" t="s">
        <v>310</v>
      </c>
      <c r="N2" s="86" t="s">
        <v>13</v>
      </c>
      <c r="O2" s="86" t="s">
        <v>87</v>
      </c>
      <c r="P2" s="86" t="s">
        <v>41</v>
      </c>
      <c r="Q2" s="89" t="s">
        <v>65</v>
      </c>
    </row>
    <row r="3" spans="1:17" s="88" customFormat="1" ht="126" customHeight="1" x14ac:dyDescent="0.25">
      <c r="A3" s="86" t="s">
        <v>401</v>
      </c>
      <c r="B3" s="15">
        <v>39917</v>
      </c>
      <c r="C3" s="16">
        <v>39819</v>
      </c>
      <c r="D3" s="15" t="s">
        <v>476</v>
      </c>
      <c r="E3" s="16">
        <v>41430</v>
      </c>
      <c r="F3" s="66" t="str">
        <f>+"06-NOV-2008"</f>
        <v>06-NOV-2008</v>
      </c>
      <c r="G3" s="47">
        <f t="shared" ref="G3:G66" si="0">DATE(2015, 3, 18)- F3</f>
        <v>2323</v>
      </c>
      <c r="H3" s="66" t="str">
        <f>+""</f>
        <v/>
      </c>
      <c r="I3" s="90"/>
      <c r="J3" s="86"/>
      <c r="K3" s="16"/>
      <c r="L3" s="86" t="s">
        <v>19</v>
      </c>
      <c r="M3" s="86" t="s">
        <v>402</v>
      </c>
      <c r="N3" s="86" t="s">
        <v>13</v>
      </c>
      <c r="O3" s="86" t="s">
        <v>14</v>
      </c>
      <c r="P3" s="86" t="s">
        <v>21</v>
      </c>
      <c r="Q3" s="89" t="s">
        <v>490</v>
      </c>
    </row>
    <row r="4" spans="1:17" s="88" customFormat="1" ht="95.1" customHeight="1" x14ac:dyDescent="0.25">
      <c r="A4" s="82" t="s">
        <v>792</v>
      </c>
      <c r="B4" s="15" t="s">
        <v>476</v>
      </c>
      <c r="C4" s="73" t="s">
        <v>476</v>
      </c>
      <c r="D4" s="73">
        <v>40353</v>
      </c>
      <c r="E4" s="73" t="s">
        <v>476</v>
      </c>
      <c r="F4" s="79">
        <v>39842</v>
      </c>
      <c r="G4" s="47">
        <f t="shared" si="0"/>
        <v>2239</v>
      </c>
      <c r="H4" s="79"/>
      <c r="I4" s="79"/>
      <c r="J4" s="48"/>
      <c r="K4" s="73"/>
      <c r="L4" s="50"/>
      <c r="M4" s="50" t="s">
        <v>814</v>
      </c>
      <c r="N4" s="50" t="s">
        <v>13</v>
      </c>
      <c r="O4" s="50"/>
      <c r="P4" s="83" t="s">
        <v>36</v>
      </c>
      <c r="Q4" s="83" t="s">
        <v>795</v>
      </c>
    </row>
    <row r="5" spans="1:17" s="88" customFormat="1" ht="92.45" customHeight="1" x14ac:dyDescent="0.25">
      <c r="A5" s="86" t="s">
        <v>403</v>
      </c>
      <c r="B5" s="15">
        <v>41702</v>
      </c>
      <c r="C5" s="16">
        <v>40389</v>
      </c>
      <c r="D5" s="15" t="s">
        <v>476</v>
      </c>
      <c r="E5" s="16" t="s">
        <v>476</v>
      </c>
      <c r="F5" s="66" t="str">
        <f>+"29-JAN-2009"</f>
        <v>29-JAN-2009</v>
      </c>
      <c r="G5" s="47">
        <f t="shared" si="0"/>
        <v>2239</v>
      </c>
      <c r="H5" s="66" t="str">
        <f>+""</f>
        <v/>
      </c>
      <c r="I5" s="90"/>
      <c r="J5" s="86"/>
      <c r="K5" s="16"/>
      <c r="L5" s="86" t="s">
        <v>19</v>
      </c>
      <c r="M5" s="86" t="s">
        <v>404</v>
      </c>
      <c r="N5" s="86" t="s">
        <v>13</v>
      </c>
      <c r="O5" s="86" t="s">
        <v>87</v>
      </c>
      <c r="P5" s="86" t="s">
        <v>36</v>
      </c>
      <c r="Q5" s="89" t="s">
        <v>72</v>
      </c>
    </row>
    <row r="6" spans="1:17" s="88" customFormat="1" ht="126" customHeight="1" x14ac:dyDescent="0.25">
      <c r="A6" s="86" t="s">
        <v>43</v>
      </c>
      <c r="B6" s="15" t="s">
        <v>476</v>
      </c>
      <c r="C6" s="16">
        <v>40045</v>
      </c>
      <c r="D6" s="15" t="s">
        <v>476</v>
      </c>
      <c r="E6" s="16" t="s">
        <v>476</v>
      </c>
      <c r="F6" s="66" t="str">
        <f>+"30-SEP-2009"</f>
        <v>30-SEP-2009</v>
      </c>
      <c r="G6" s="47">
        <f t="shared" si="0"/>
        <v>1995</v>
      </c>
      <c r="H6" s="66" t="str">
        <f>+""</f>
        <v/>
      </c>
      <c r="I6" s="90"/>
      <c r="J6" s="86"/>
      <c r="K6" s="16"/>
      <c r="L6" s="86" t="s">
        <v>10</v>
      </c>
      <c r="M6" s="86" t="s">
        <v>44</v>
      </c>
      <c r="N6" s="86" t="s">
        <v>13</v>
      </c>
      <c r="O6" s="86" t="s">
        <v>14</v>
      </c>
      <c r="P6" s="86" t="s">
        <v>21</v>
      </c>
      <c r="Q6" s="89" t="s">
        <v>22</v>
      </c>
    </row>
    <row r="7" spans="1:17" s="88" customFormat="1" ht="142.69999999999999" customHeight="1" x14ac:dyDescent="0.25">
      <c r="A7" s="86" t="s">
        <v>409</v>
      </c>
      <c r="B7" s="15" t="s">
        <v>476</v>
      </c>
      <c r="C7" s="16" t="s">
        <v>476</v>
      </c>
      <c r="D7" s="15" t="s">
        <v>476</v>
      </c>
      <c r="E7" s="16" t="s">
        <v>476</v>
      </c>
      <c r="F7" s="66" t="str">
        <f>+"03-DEC-2009"</f>
        <v>03-DEC-2009</v>
      </c>
      <c r="G7" s="47">
        <f t="shared" si="0"/>
        <v>1931</v>
      </c>
      <c r="H7" s="66" t="str">
        <f>+""</f>
        <v/>
      </c>
      <c r="I7" s="90"/>
      <c r="J7" s="86"/>
      <c r="K7" s="16"/>
      <c r="L7" s="86" t="s">
        <v>19</v>
      </c>
      <c r="M7" s="86" t="s">
        <v>410</v>
      </c>
      <c r="N7" s="86" t="s">
        <v>13</v>
      </c>
      <c r="O7" s="86" t="s">
        <v>48</v>
      </c>
      <c r="P7" s="86" t="s">
        <v>21</v>
      </c>
      <c r="Q7" s="89" t="s">
        <v>88</v>
      </c>
    </row>
    <row r="8" spans="1:17" s="88" customFormat="1" ht="134.44999999999999" customHeight="1" x14ac:dyDescent="0.25">
      <c r="A8" s="86" t="s">
        <v>316</v>
      </c>
      <c r="B8" s="15">
        <v>40945</v>
      </c>
      <c r="C8" s="16" t="s">
        <v>476</v>
      </c>
      <c r="D8" s="15" t="s">
        <v>476</v>
      </c>
      <c r="E8" s="16" t="s">
        <v>476</v>
      </c>
      <c r="F8" s="66" t="str">
        <f>+"19-JAN-2010"</f>
        <v>19-JAN-2010</v>
      </c>
      <c r="G8" s="47">
        <f t="shared" si="0"/>
        <v>1884</v>
      </c>
      <c r="H8" s="66" t="str">
        <f>+""</f>
        <v/>
      </c>
      <c r="I8" s="90"/>
      <c r="J8" s="86"/>
      <c r="K8" s="16"/>
      <c r="L8" s="86" t="s">
        <v>10</v>
      </c>
      <c r="M8" s="86" t="s">
        <v>317</v>
      </c>
      <c r="N8" s="86" t="s">
        <v>13</v>
      </c>
      <c r="O8" s="86" t="s">
        <v>25</v>
      </c>
      <c r="P8" s="86" t="s">
        <v>652</v>
      </c>
      <c r="Q8" s="89" t="s">
        <v>47</v>
      </c>
    </row>
    <row r="9" spans="1:17" s="88" customFormat="1" ht="126" customHeight="1" x14ac:dyDescent="0.25">
      <c r="A9" s="86" t="s">
        <v>45</v>
      </c>
      <c r="B9" s="15">
        <v>40354</v>
      </c>
      <c r="C9" s="16">
        <v>40408</v>
      </c>
      <c r="D9" s="15">
        <v>41025</v>
      </c>
      <c r="E9" s="16">
        <v>41067</v>
      </c>
      <c r="F9" s="16" t="str">
        <f>+"26-FEB-2010"</f>
        <v>26-FEB-2010</v>
      </c>
      <c r="G9" s="47">
        <f t="shared" si="0"/>
        <v>1846</v>
      </c>
      <c r="H9" s="66" t="str">
        <f>+""</f>
        <v/>
      </c>
      <c r="I9" s="90"/>
      <c r="J9" s="86"/>
      <c r="K9" s="16"/>
      <c r="L9" s="86" t="s">
        <v>10</v>
      </c>
      <c r="M9" s="86" t="s">
        <v>46</v>
      </c>
      <c r="N9" s="86" t="s">
        <v>13</v>
      </c>
      <c r="O9" s="86" t="s">
        <v>14</v>
      </c>
      <c r="P9" s="86" t="s">
        <v>652</v>
      </c>
      <c r="Q9" s="89" t="s">
        <v>47</v>
      </c>
    </row>
    <row r="10" spans="1:17" s="88" customFormat="1" ht="101.25" customHeight="1" x14ac:dyDescent="0.25">
      <c r="A10" s="86" t="s">
        <v>50</v>
      </c>
      <c r="B10" s="15">
        <v>40582</v>
      </c>
      <c r="C10" s="16">
        <v>40946</v>
      </c>
      <c r="D10" s="15" t="s">
        <v>476</v>
      </c>
      <c r="E10" s="16">
        <v>41067</v>
      </c>
      <c r="F10" s="16" t="str">
        <f>+"09-AUG-2010"</f>
        <v>09-AUG-2010</v>
      </c>
      <c r="G10" s="47">
        <f t="shared" si="0"/>
        <v>1682</v>
      </c>
      <c r="H10" s="66" t="str">
        <f>+""</f>
        <v/>
      </c>
      <c r="I10" s="90"/>
      <c r="J10" s="86"/>
      <c r="K10" s="16"/>
      <c r="L10" s="86" t="s">
        <v>10</v>
      </c>
      <c r="M10" s="86" t="s">
        <v>51</v>
      </c>
      <c r="N10" s="86" t="s">
        <v>13</v>
      </c>
      <c r="O10" s="86" t="s">
        <v>14</v>
      </c>
      <c r="P10" s="86" t="s">
        <v>652</v>
      </c>
      <c r="Q10" s="89" t="s">
        <v>47</v>
      </c>
    </row>
    <row r="11" spans="1:17" s="88" customFormat="1" ht="126" customHeight="1" x14ac:dyDescent="0.25">
      <c r="A11" s="86" t="s">
        <v>52</v>
      </c>
      <c r="B11" s="15">
        <v>41912</v>
      </c>
      <c r="C11" s="16">
        <v>41044</v>
      </c>
      <c r="D11" s="15">
        <v>41947</v>
      </c>
      <c r="E11" s="16" t="s">
        <v>476</v>
      </c>
      <c r="F11" s="66" t="str">
        <f>+"30-AUG-2010"</f>
        <v>30-AUG-2010</v>
      </c>
      <c r="G11" s="47">
        <f t="shared" si="0"/>
        <v>1661</v>
      </c>
      <c r="H11" s="66" t="str">
        <f>+""</f>
        <v/>
      </c>
      <c r="I11" s="90"/>
      <c r="J11" s="86"/>
      <c r="K11" s="16"/>
      <c r="L11" s="86" t="s">
        <v>10</v>
      </c>
      <c r="M11" s="86" t="s">
        <v>53</v>
      </c>
      <c r="N11" s="86" t="s">
        <v>13</v>
      </c>
      <c r="O11" s="86" t="s">
        <v>14</v>
      </c>
      <c r="P11" s="86" t="s">
        <v>21</v>
      </c>
      <c r="Q11" s="89" t="s">
        <v>54</v>
      </c>
    </row>
    <row r="12" spans="1:17" s="88" customFormat="1" ht="126" customHeight="1" x14ac:dyDescent="0.25">
      <c r="A12" s="86" t="s">
        <v>320</v>
      </c>
      <c r="B12" s="15">
        <v>41004</v>
      </c>
      <c r="C12" s="16" t="s">
        <v>476</v>
      </c>
      <c r="D12" s="15" t="s">
        <v>476</v>
      </c>
      <c r="E12" s="16" t="s">
        <v>476</v>
      </c>
      <c r="F12" s="66" t="str">
        <f>+"13-OCT-2010"</f>
        <v>13-OCT-2010</v>
      </c>
      <c r="G12" s="47">
        <f t="shared" si="0"/>
        <v>1617</v>
      </c>
      <c r="H12" s="66" t="str">
        <f>+""</f>
        <v/>
      </c>
      <c r="I12" s="90"/>
      <c r="J12" s="86"/>
      <c r="K12" s="16"/>
      <c r="L12" s="86" t="s">
        <v>10</v>
      </c>
      <c r="M12" s="86" t="s">
        <v>321</v>
      </c>
      <c r="N12" s="86" t="s">
        <v>13</v>
      </c>
      <c r="O12" s="86" t="s">
        <v>14</v>
      </c>
      <c r="P12" s="86" t="s">
        <v>21</v>
      </c>
      <c r="Q12" s="89" t="s">
        <v>47</v>
      </c>
    </row>
    <row r="13" spans="1:17" s="88" customFormat="1" ht="126" customHeight="1" x14ac:dyDescent="0.25">
      <c r="A13" s="86" t="s">
        <v>55</v>
      </c>
      <c r="B13" s="15" t="s">
        <v>476</v>
      </c>
      <c r="C13" s="16" t="s">
        <v>476</v>
      </c>
      <c r="D13" s="15" t="s">
        <v>476</v>
      </c>
      <c r="E13" s="16" t="s">
        <v>476</v>
      </c>
      <c r="F13" s="66" t="str">
        <f>+"03-NOV-2010"</f>
        <v>03-NOV-2010</v>
      </c>
      <c r="G13" s="47">
        <f t="shared" si="0"/>
        <v>1596</v>
      </c>
      <c r="H13" s="66" t="str">
        <f>+""</f>
        <v/>
      </c>
      <c r="I13" s="90"/>
      <c r="J13" s="86"/>
      <c r="K13" s="16"/>
      <c r="L13" s="86" t="s">
        <v>19</v>
      </c>
      <c r="M13" s="86" t="s">
        <v>56</v>
      </c>
      <c r="N13" s="86" t="s">
        <v>13</v>
      </c>
      <c r="O13" s="86" t="s">
        <v>25</v>
      </c>
      <c r="P13" s="86" t="s">
        <v>652</v>
      </c>
      <c r="Q13" s="89" t="s">
        <v>57</v>
      </c>
    </row>
    <row r="14" spans="1:17" s="88" customFormat="1" ht="126" customHeight="1" x14ac:dyDescent="0.25">
      <c r="A14" s="86" t="s">
        <v>322</v>
      </c>
      <c r="B14" s="15">
        <v>41933</v>
      </c>
      <c r="C14" s="16">
        <v>41955</v>
      </c>
      <c r="D14" s="15" t="s">
        <v>476</v>
      </c>
      <c r="E14" s="16">
        <v>40917</v>
      </c>
      <c r="F14" s="66" t="str">
        <f>+"03-DEC-2010"</f>
        <v>03-DEC-2010</v>
      </c>
      <c r="G14" s="47">
        <f t="shared" si="0"/>
        <v>1566</v>
      </c>
      <c r="H14" s="66" t="str">
        <f>+""</f>
        <v/>
      </c>
      <c r="I14" s="90"/>
      <c r="J14" s="86"/>
      <c r="K14" s="16"/>
      <c r="L14" s="86" t="s">
        <v>10</v>
      </c>
      <c r="M14" s="86" t="s">
        <v>323</v>
      </c>
      <c r="N14" s="86" t="s">
        <v>13</v>
      </c>
      <c r="O14" s="86" t="s">
        <v>25</v>
      </c>
      <c r="P14" s="86" t="s">
        <v>15</v>
      </c>
      <c r="Q14" s="89" t="s">
        <v>802</v>
      </c>
    </row>
    <row r="15" spans="1:17" s="88" customFormat="1" ht="126" customHeight="1" x14ac:dyDescent="0.25">
      <c r="A15" s="86" t="s">
        <v>63</v>
      </c>
      <c r="B15" s="15">
        <v>40640</v>
      </c>
      <c r="C15" s="16">
        <v>40771</v>
      </c>
      <c r="D15" s="15">
        <v>40967</v>
      </c>
      <c r="E15" s="16">
        <v>41003</v>
      </c>
      <c r="F15" s="66" t="str">
        <f>+"15-FEB-2011"</f>
        <v>15-FEB-2011</v>
      </c>
      <c r="G15" s="47">
        <f t="shared" si="0"/>
        <v>1492</v>
      </c>
      <c r="H15" s="66" t="str">
        <f>+""</f>
        <v/>
      </c>
      <c r="I15" s="90"/>
      <c r="J15" s="86"/>
      <c r="K15" s="16">
        <v>41512</v>
      </c>
      <c r="L15" s="86" t="s">
        <v>10</v>
      </c>
      <c r="M15" s="86" t="s">
        <v>64</v>
      </c>
      <c r="N15" s="86" t="s">
        <v>13</v>
      </c>
      <c r="O15" s="86" t="s">
        <v>14</v>
      </c>
      <c r="P15" s="86" t="s">
        <v>21</v>
      </c>
      <c r="Q15" s="89" t="s">
        <v>493</v>
      </c>
    </row>
    <row r="16" spans="1:17" s="88" customFormat="1" ht="126" customHeight="1" x14ac:dyDescent="0.25">
      <c r="A16" s="86" t="s">
        <v>324</v>
      </c>
      <c r="B16" s="15">
        <v>41933</v>
      </c>
      <c r="C16" s="16">
        <v>41955</v>
      </c>
      <c r="D16" s="15" t="s">
        <v>476</v>
      </c>
      <c r="E16" s="16">
        <v>40917</v>
      </c>
      <c r="F16" s="66" t="str">
        <f>+"17-FEB-2011"</f>
        <v>17-FEB-2011</v>
      </c>
      <c r="G16" s="47">
        <f t="shared" si="0"/>
        <v>1490</v>
      </c>
      <c r="H16" s="66" t="str">
        <f>+""</f>
        <v/>
      </c>
      <c r="I16" s="90"/>
      <c r="J16" s="86"/>
      <c r="K16" s="16"/>
      <c r="L16" s="86" t="s">
        <v>10</v>
      </c>
      <c r="M16" s="86" t="s">
        <v>325</v>
      </c>
      <c r="N16" s="86" t="s">
        <v>13</v>
      </c>
      <c r="O16" s="86" t="s">
        <v>25</v>
      </c>
      <c r="P16" s="86" t="s">
        <v>15</v>
      </c>
      <c r="Q16" s="89" t="s">
        <v>494</v>
      </c>
    </row>
    <row r="17" spans="1:21" s="88" customFormat="1" ht="126" customHeight="1" x14ac:dyDescent="0.25">
      <c r="A17" s="86" t="s">
        <v>366</v>
      </c>
      <c r="B17" s="15">
        <v>40619</v>
      </c>
      <c r="C17" s="16">
        <v>40868</v>
      </c>
      <c r="D17" s="15">
        <v>41296</v>
      </c>
      <c r="E17" s="16">
        <v>41514</v>
      </c>
      <c r="F17" s="66" t="str">
        <f>+"24-FEB-2011"</f>
        <v>24-FEB-2011</v>
      </c>
      <c r="G17" s="47">
        <f t="shared" si="0"/>
        <v>1483</v>
      </c>
      <c r="H17" s="66" t="str">
        <f>+""</f>
        <v/>
      </c>
      <c r="I17" s="90"/>
      <c r="J17" s="86"/>
      <c r="K17" s="16"/>
      <c r="L17" s="86" t="s">
        <v>10</v>
      </c>
      <c r="M17" s="86" t="s">
        <v>367</v>
      </c>
      <c r="N17" s="86" t="s">
        <v>13</v>
      </c>
      <c r="O17" s="86" t="s">
        <v>59</v>
      </c>
      <c r="P17" s="86" t="s">
        <v>41</v>
      </c>
      <c r="Q17" s="89" t="s">
        <v>66</v>
      </c>
    </row>
    <row r="18" spans="1:21" s="88" customFormat="1" ht="126" customHeight="1" x14ac:dyDescent="0.25">
      <c r="A18" s="86" t="s">
        <v>413</v>
      </c>
      <c r="B18" s="15">
        <v>40696</v>
      </c>
      <c r="C18" s="16">
        <v>40710</v>
      </c>
      <c r="D18" s="15">
        <v>41624</v>
      </c>
      <c r="E18" s="16">
        <v>41670</v>
      </c>
      <c r="F18" s="66" t="str">
        <f>+"24-FEB-2011"</f>
        <v>24-FEB-2011</v>
      </c>
      <c r="G18" s="47">
        <f t="shared" si="0"/>
        <v>1483</v>
      </c>
      <c r="H18" s="66" t="str">
        <f>+""</f>
        <v/>
      </c>
      <c r="I18" s="90"/>
      <c r="J18" s="86"/>
      <c r="K18" s="16">
        <v>41670</v>
      </c>
      <c r="L18" s="86" t="s">
        <v>10</v>
      </c>
      <c r="M18" s="86" t="s">
        <v>414</v>
      </c>
      <c r="N18" s="86" t="s">
        <v>13</v>
      </c>
      <c r="O18" s="86" t="s">
        <v>59</v>
      </c>
      <c r="P18" s="86" t="s">
        <v>21</v>
      </c>
      <c r="Q18" s="89" t="s">
        <v>494</v>
      </c>
    </row>
    <row r="19" spans="1:21" s="88" customFormat="1" ht="126" customHeight="1" x14ac:dyDescent="0.25">
      <c r="A19" s="86" t="s">
        <v>415</v>
      </c>
      <c r="B19" s="15">
        <v>40696</v>
      </c>
      <c r="C19" s="16">
        <v>40787</v>
      </c>
      <c r="D19" s="15" t="s">
        <v>476</v>
      </c>
      <c r="E19" s="16" t="s">
        <v>476</v>
      </c>
      <c r="F19" s="66" t="str">
        <f>+"24-MAR-2011"</f>
        <v>24-MAR-2011</v>
      </c>
      <c r="G19" s="47">
        <f t="shared" si="0"/>
        <v>1455</v>
      </c>
      <c r="H19" s="66" t="str">
        <f>+""</f>
        <v/>
      </c>
      <c r="I19" s="90"/>
      <c r="J19" s="86"/>
      <c r="K19" s="16"/>
      <c r="L19" s="86" t="s">
        <v>19</v>
      </c>
      <c r="M19" s="86" t="s">
        <v>416</v>
      </c>
      <c r="N19" s="86" t="s">
        <v>13</v>
      </c>
      <c r="O19" s="86" t="s">
        <v>14</v>
      </c>
      <c r="P19" s="86" t="s">
        <v>36</v>
      </c>
      <c r="Q19" s="89" t="s">
        <v>190</v>
      </c>
    </row>
    <row r="20" spans="1:21" ht="95.85" customHeight="1" x14ac:dyDescent="0.25">
      <c r="A20" s="86" t="s">
        <v>417</v>
      </c>
      <c r="B20" s="15" t="s">
        <v>476</v>
      </c>
      <c r="C20" s="16">
        <v>41374</v>
      </c>
      <c r="D20" s="15" t="s">
        <v>476</v>
      </c>
      <c r="E20" s="16" t="s">
        <v>476</v>
      </c>
      <c r="F20" s="16" t="str">
        <f>+"24-MAR-2011"</f>
        <v>24-MAR-2011</v>
      </c>
      <c r="G20" s="47">
        <f t="shared" si="0"/>
        <v>1455</v>
      </c>
      <c r="H20" s="16" t="str">
        <f>+""</f>
        <v/>
      </c>
      <c r="I20" s="18"/>
      <c r="J20" s="86"/>
      <c r="K20" s="16"/>
      <c r="L20" s="1" t="s">
        <v>19</v>
      </c>
      <c r="M20" s="86" t="s">
        <v>418</v>
      </c>
      <c r="N20" s="1" t="s">
        <v>13</v>
      </c>
      <c r="O20" s="1" t="s">
        <v>25</v>
      </c>
      <c r="P20" s="86" t="s">
        <v>41</v>
      </c>
      <c r="Q20" s="7" t="s">
        <v>419</v>
      </c>
    </row>
    <row r="21" spans="1:21" ht="126" customHeight="1" x14ac:dyDescent="0.25">
      <c r="A21" s="86" t="s">
        <v>67</v>
      </c>
      <c r="B21" s="15">
        <v>40711</v>
      </c>
      <c r="C21" s="16">
        <v>40772</v>
      </c>
      <c r="D21" s="15">
        <v>40926</v>
      </c>
      <c r="E21" s="16">
        <v>40954</v>
      </c>
      <c r="F21" s="16" t="str">
        <f>+"01-APR-2011"</f>
        <v>01-APR-2011</v>
      </c>
      <c r="G21" s="47">
        <f t="shared" si="0"/>
        <v>1447</v>
      </c>
      <c r="H21" s="16" t="str">
        <f>+""</f>
        <v/>
      </c>
      <c r="I21" s="18"/>
      <c r="J21" s="86"/>
      <c r="K21" s="16">
        <v>41466</v>
      </c>
      <c r="L21" s="1" t="s">
        <v>10</v>
      </c>
      <c r="M21" s="86" t="s">
        <v>68</v>
      </c>
      <c r="N21" s="1" t="s">
        <v>13</v>
      </c>
      <c r="O21" s="1" t="s">
        <v>14</v>
      </c>
      <c r="P21" s="1" t="s">
        <v>21</v>
      </c>
      <c r="Q21" s="7" t="s">
        <v>493</v>
      </c>
    </row>
    <row r="22" spans="1:21" ht="101.85" customHeight="1" x14ac:dyDescent="0.25">
      <c r="A22" s="86" t="s">
        <v>69</v>
      </c>
      <c r="B22" s="15">
        <v>40732</v>
      </c>
      <c r="C22" s="16">
        <v>40767</v>
      </c>
      <c r="D22" s="15">
        <v>41116</v>
      </c>
      <c r="E22" s="16">
        <v>41571</v>
      </c>
      <c r="F22" s="16" t="str">
        <f>+"15-APR-2011"</f>
        <v>15-APR-2011</v>
      </c>
      <c r="G22" s="47">
        <f t="shared" si="0"/>
        <v>1433</v>
      </c>
      <c r="H22" s="16" t="str">
        <f>+""</f>
        <v/>
      </c>
      <c r="I22" s="18"/>
      <c r="J22" s="86"/>
      <c r="K22" s="16"/>
      <c r="L22" s="86" t="s">
        <v>10</v>
      </c>
      <c r="M22" s="86" t="s">
        <v>70</v>
      </c>
      <c r="N22" s="1" t="s">
        <v>13</v>
      </c>
      <c r="O22" s="86" t="s">
        <v>17</v>
      </c>
      <c r="P22" s="1" t="s">
        <v>41</v>
      </c>
      <c r="Q22" s="89" t="s">
        <v>646</v>
      </c>
    </row>
    <row r="23" spans="1:21" ht="98.45" customHeight="1" x14ac:dyDescent="0.25">
      <c r="A23" s="86" t="s">
        <v>420</v>
      </c>
      <c r="B23" s="15">
        <v>40707</v>
      </c>
      <c r="C23" s="16">
        <v>40732</v>
      </c>
      <c r="D23" s="15" t="s">
        <v>476</v>
      </c>
      <c r="E23" s="16" t="s">
        <v>476</v>
      </c>
      <c r="F23" s="16" t="str">
        <f>+"05-MAY-2011"</f>
        <v>05-MAY-2011</v>
      </c>
      <c r="G23" s="47">
        <f t="shared" si="0"/>
        <v>1413</v>
      </c>
      <c r="H23" s="16" t="str">
        <f>+""</f>
        <v/>
      </c>
      <c r="I23" s="18"/>
      <c r="J23" s="86"/>
      <c r="K23" s="16">
        <v>41767</v>
      </c>
      <c r="L23" s="86" t="s">
        <v>10</v>
      </c>
      <c r="M23" s="86" t="s">
        <v>421</v>
      </c>
      <c r="N23" s="86" t="s">
        <v>13</v>
      </c>
      <c r="O23" s="86" t="s">
        <v>14</v>
      </c>
      <c r="P23" s="86" t="s">
        <v>36</v>
      </c>
      <c r="Q23" s="89" t="s">
        <v>669</v>
      </c>
    </row>
    <row r="24" spans="1:21" ht="166.5" customHeight="1" x14ac:dyDescent="0.25">
      <c r="A24" s="86" t="s">
        <v>368</v>
      </c>
      <c r="B24" s="15">
        <v>40807</v>
      </c>
      <c r="C24" s="16">
        <v>40815</v>
      </c>
      <c r="D24" s="15" t="s">
        <v>476</v>
      </c>
      <c r="E24" s="16" t="s">
        <v>476</v>
      </c>
      <c r="F24" s="16" t="str">
        <f>+"26-MAY-2011"</f>
        <v>26-MAY-2011</v>
      </c>
      <c r="G24" s="47">
        <f t="shared" si="0"/>
        <v>1392</v>
      </c>
      <c r="H24" s="16" t="str">
        <f>+""</f>
        <v/>
      </c>
      <c r="I24" s="18"/>
      <c r="J24" s="86"/>
      <c r="K24" s="16"/>
      <c r="L24" s="1" t="s">
        <v>19</v>
      </c>
      <c r="M24" s="86" t="s">
        <v>369</v>
      </c>
      <c r="N24" s="1" t="s">
        <v>13</v>
      </c>
      <c r="O24" s="1" t="s">
        <v>25</v>
      </c>
      <c r="P24" s="1" t="s">
        <v>15</v>
      </c>
      <c r="Q24" s="7" t="s">
        <v>33</v>
      </c>
    </row>
    <row r="25" spans="1:21" ht="126" customHeight="1" x14ac:dyDescent="0.25">
      <c r="A25" s="86" t="s">
        <v>75</v>
      </c>
      <c r="B25" s="15">
        <v>40758</v>
      </c>
      <c r="C25" s="16">
        <v>40877</v>
      </c>
      <c r="D25" s="15">
        <v>40974</v>
      </c>
      <c r="E25" s="16">
        <v>41047</v>
      </c>
      <c r="F25" s="16" t="str">
        <f>+"01-JUN-2011"</f>
        <v>01-JUN-2011</v>
      </c>
      <c r="G25" s="47">
        <f t="shared" si="0"/>
        <v>1386</v>
      </c>
      <c r="H25" s="16" t="str">
        <f>+""</f>
        <v/>
      </c>
      <c r="I25" s="18"/>
      <c r="J25" s="86"/>
      <c r="K25" s="16">
        <v>41047</v>
      </c>
      <c r="L25" s="1" t="s">
        <v>10</v>
      </c>
      <c r="M25" s="86" t="s">
        <v>76</v>
      </c>
      <c r="N25" s="1" t="s">
        <v>13</v>
      </c>
      <c r="O25" s="1" t="s">
        <v>14</v>
      </c>
      <c r="P25" s="1" t="s">
        <v>21</v>
      </c>
      <c r="Q25" s="7" t="s">
        <v>47</v>
      </c>
      <c r="S25" s="21"/>
      <c r="T25" s="21"/>
      <c r="U25" s="21"/>
    </row>
    <row r="26" spans="1:21" ht="84.95" customHeight="1" x14ac:dyDescent="0.25">
      <c r="A26" s="86" t="s">
        <v>85</v>
      </c>
      <c r="B26" s="15" t="s">
        <v>476</v>
      </c>
      <c r="C26" s="16" t="s">
        <v>476</v>
      </c>
      <c r="D26" s="15" t="s">
        <v>476</v>
      </c>
      <c r="E26" s="16" t="s">
        <v>476</v>
      </c>
      <c r="F26" s="16" t="str">
        <f>+"18-JUL-2011"</f>
        <v>18-JUL-2011</v>
      </c>
      <c r="G26" s="47">
        <f t="shared" si="0"/>
        <v>1339</v>
      </c>
      <c r="H26" s="16" t="str">
        <f>+""</f>
        <v/>
      </c>
      <c r="I26" s="18"/>
      <c r="J26" s="86"/>
      <c r="K26" s="16"/>
      <c r="L26" s="1" t="s">
        <v>10</v>
      </c>
      <c r="M26" s="86" t="s">
        <v>86</v>
      </c>
      <c r="N26" s="1" t="s">
        <v>13</v>
      </c>
      <c r="O26" s="1" t="s">
        <v>14</v>
      </c>
      <c r="P26" s="1" t="s">
        <v>652</v>
      </c>
      <c r="Q26" s="7" t="s">
        <v>66</v>
      </c>
    </row>
    <row r="27" spans="1:21" ht="126" customHeight="1" x14ac:dyDescent="0.25">
      <c r="A27" s="86" t="s">
        <v>422</v>
      </c>
      <c r="B27" s="15">
        <v>41914</v>
      </c>
      <c r="C27" s="16">
        <v>41772</v>
      </c>
      <c r="D27" s="15" t="s">
        <v>476</v>
      </c>
      <c r="E27" s="16" t="s">
        <v>476</v>
      </c>
      <c r="F27" s="16" t="str">
        <f>+"22-SEP-2011"</f>
        <v>22-SEP-2011</v>
      </c>
      <c r="G27" s="47">
        <f t="shared" si="0"/>
        <v>1273</v>
      </c>
      <c r="H27" s="16" t="str">
        <f>+""</f>
        <v/>
      </c>
      <c r="I27" s="18"/>
      <c r="J27" s="86"/>
      <c r="K27" s="16"/>
      <c r="L27" s="1" t="s">
        <v>10</v>
      </c>
      <c r="M27" s="86" t="s">
        <v>423</v>
      </c>
      <c r="N27" s="1" t="s">
        <v>13</v>
      </c>
      <c r="O27" s="1" t="s">
        <v>14</v>
      </c>
      <c r="P27" s="1" t="s">
        <v>41</v>
      </c>
      <c r="Q27" s="89" t="s">
        <v>209</v>
      </c>
    </row>
    <row r="28" spans="1:21" ht="126" customHeight="1" x14ac:dyDescent="0.25">
      <c r="A28" s="86" t="s">
        <v>370</v>
      </c>
      <c r="B28" s="15">
        <v>40942</v>
      </c>
      <c r="C28" s="16">
        <v>41025</v>
      </c>
      <c r="D28" s="15">
        <v>41289</v>
      </c>
      <c r="E28" s="16">
        <v>41514</v>
      </c>
      <c r="F28" s="16" t="str">
        <f>+"10-NOV-2011"</f>
        <v>10-NOV-2011</v>
      </c>
      <c r="G28" s="47">
        <f t="shared" si="0"/>
        <v>1224</v>
      </c>
      <c r="H28" s="16" t="str">
        <f>+""</f>
        <v/>
      </c>
      <c r="I28" s="18"/>
      <c r="J28" s="86"/>
      <c r="K28" s="16"/>
      <c r="L28" s="1" t="s">
        <v>10</v>
      </c>
      <c r="M28" s="86" t="s">
        <v>371</v>
      </c>
      <c r="N28" s="1" t="s">
        <v>13</v>
      </c>
      <c r="O28" s="1" t="s">
        <v>59</v>
      </c>
      <c r="P28" s="1" t="s">
        <v>41</v>
      </c>
      <c r="Q28" s="7" t="s">
        <v>66</v>
      </c>
    </row>
    <row r="29" spans="1:21" ht="75.400000000000006" customHeight="1" x14ac:dyDescent="0.25">
      <c r="A29" s="86" t="s">
        <v>424</v>
      </c>
      <c r="B29" s="15">
        <v>41064</v>
      </c>
      <c r="C29" s="16">
        <v>41416</v>
      </c>
      <c r="D29" s="15">
        <v>41884</v>
      </c>
      <c r="E29" s="16">
        <v>41908</v>
      </c>
      <c r="F29" s="16" t="str">
        <f>+"10-NOV-2011"</f>
        <v>10-NOV-2011</v>
      </c>
      <c r="G29" s="47">
        <f t="shared" si="0"/>
        <v>1224</v>
      </c>
      <c r="H29" s="16" t="str">
        <f>+""</f>
        <v/>
      </c>
      <c r="I29" s="18"/>
      <c r="J29" s="1"/>
      <c r="K29" s="16"/>
      <c r="L29" s="1" t="s">
        <v>10</v>
      </c>
      <c r="M29" s="86" t="s">
        <v>425</v>
      </c>
      <c r="N29" s="1" t="s">
        <v>13</v>
      </c>
      <c r="O29" s="1" t="s">
        <v>25</v>
      </c>
      <c r="P29" s="1" t="s">
        <v>15</v>
      </c>
      <c r="Q29" s="7" t="s">
        <v>495</v>
      </c>
    </row>
    <row r="30" spans="1:21" ht="159.6" customHeight="1" x14ac:dyDescent="0.25">
      <c r="A30" s="86" t="s">
        <v>426</v>
      </c>
      <c r="B30" s="15">
        <v>41052</v>
      </c>
      <c r="C30" s="16">
        <v>41080</v>
      </c>
      <c r="D30" s="15" t="s">
        <v>476</v>
      </c>
      <c r="E30" s="16" t="s">
        <v>476</v>
      </c>
      <c r="F30" s="16" t="str">
        <f>+"10-NOV-2011"</f>
        <v>10-NOV-2011</v>
      </c>
      <c r="G30" s="47">
        <f t="shared" si="0"/>
        <v>1224</v>
      </c>
      <c r="H30" s="16" t="str">
        <f>+""</f>
        <v/>
      </c>
      <c r="I30" s="18"/>
      <c r="J30" s="1"/>
      <c r="K30" s="16"/>
      <c r="L30" s="1" t="s">
        <v>19</v>
      </c>
      <c r="M30" s="86" t="s">
        <v>427</v>
      </c>
      <c r="N30" s="1" t="s">
        <v>13</v>
      </c>
      <c r="O30" s="1" t="s">
        <v>17</v>
      </c>
      <c r="P30" s="1" t="s">
        <v>15</v>
      </c>
      <c r="Q30" s="7" t="s">
        <v>428</v>
      </c>
    </row>
    <row r="31" spans="1:21" ht="107.45" customHeight="1" x14ac:dyDescent="0.25">
      <c r="A31" s="86" t="s">
        <v>429</v>
      </c>
      <c r="B31" s="15">
        <v>40994</v>
      </c>
      <c r="C31" s="16">
        <v>41176</v>
      </c>
      <c r="D31" s="15" t="s">
        <v>476</v>
      </c>
      <c r="E31" s="16" t="s">
        <v>476</v>
      </c>
      <c r="F31" s="16" t="str">
        <f>+"01-DEC-2011"</f>
        <v>01-DEC-2011</v>
      </c>
      <c r="G31" s="47">
        <f t="shared" si="0"/>
        <v>1203</v>
      </c>
      <c r="H31" s="16" t="str">
        <f>+""</f>
        <v/>
      </c>
      <c r="I31" s="18"/>
      <c r="J31" s="1"/>
      <c r="K31" s="16"/>
      <c r="L31" s="1" t="s">
        <v>10</v>
      </c>
      <c r="M31" s="86" t="s">
        <v>430</v>
      </c>
      <c r="N31" s="1" t="s">
        <v>13</v>
      </c>
      <c r="O31" s="1" t="s">
        <v>25</v>
      </c>
      <c r="P31" s="1" t="s">
        <v>41</v>
      </c>
      <c r="Q31" s="7" t="s">
        <v>209</v>
      </c>
    </row>
    <row r="32" spans="1:21" ht="112.7" customHeight="1" x14ac:dyDescent="0.25">
      <c r="A32" s="86" t="s">
        <v>91</v>
      </c>
      <c r="B32" s="15">
        <v>40988</v>
      </c>
      <c r="C32" s="16">
        <v>41075</v>
      </c>
      <c r="D32" s="15" t="s">
        <v>476</v>
      </c>
      <c r="E32" s="16" t="s">
        <v>476</v>
      </c>
      <c r="F32" s="16" t="str">
        <f>+"28-DEC-2011"</f>
        <v>28-DEC-2011</v>
      </c>
      <c r="G32" s="47">
        <f t="shared" si="0"/>
        <v>1176</v>
      </c>
      <c r="H32" s="16" t="str">
        <f>+""</f>
        <v/>
      </c>
      <c r="I32" s="18"/>
      <c r="J32" s="1"/>
      <c r="K32" s="16"/>
      <c r="L32" s="1" t="s">
        <v>10</v>
      </c>
      <c r="M32" s="86" t="s">
        <v>92</v>
      </c>
      <c r="N32" s="1" t="s">
        <v>13</v>
      </c>
      <c r="O32" s="1" t="s">
        <v>25</v>
      </c>
      <c r="P32" s="1" t="s">
        <v>21</v>
      </c>
      <c r="Q32" s="7" t="s">
        <v>496</v>
      </c>
    </row>
    <row r="33" spans="1:21" ht="139.35" customHeight="1" x14ac:dyDescent="0.25">
      <c r="A33" s="86" t="s">
        <v>372</v>
      </c>
      <c r="B33" s="15">
        <v>40953</v>
      </c>
      <c r="C33" s="16">
        <v>40981</v>
      </c>
      <c r="D33" s="15">
        <v>41289</v>
      </c>
      <c r="E33" s="16">
        <v>41514</v>
      </c>
      <c r="F33" s="16" t="str">
        <f>+"12-JAN-2012"</f>
        <v>12-JAN-2012</v>
      </c>
      <c r="G33" s="47">
        <f t="shared" si="0"/>
        <v>1161</v>
      </c>
      <c r="H33" s="16" t="str">
        <f>+""</f>
        <v/>
      </c>
      <c r="I33" s="18"/>
      <c r="J33" s="86"/>
      <c r="K33" s="16"/>
      <c r="L33" s="86" t="s">
        <v>10</v>
      </c>
      <c r="M33" s="86" t="s">
        <v>373</v>
      </c>
      <c r="N33" s="1" t="s">
        <v>13</v>
      </c>
      <c r="O33" s="86" t="s">
        <v>59</v>
      </c>
      <c r="P33" s="1" t="s">
        <v>41</v>
      </c>
      <c r="Q33" s="7" t="s">
        <v>374</v>
      </c>
    </row>
    <row r="34" spans="1:21" ht="126" customHeight="1" x14ac:dyDescent="0.25">
      <c r="A34" s="86" t="s">
        <v>93</v>
      </c>
      <c r="B34" s="15">
        <v>41187</v>
      </c>
      <c r="C34" s="16">
        <v>41214</v>
      </c>
      <c r="D34" s="15">
        <v>41675</v>
      </c>
      <c r="E34" s="16">
        <v>41775</v>
      </c>
      <c r="F34" s="16" t="str">
        <f>+"17-JAN-2012"</f>
        <v>17-JAN-2012</v>
      </c>
      <c r="G34" s="47">
        <f t="shared" si="0"/>
        <v>1156</v>
      </c>
      <c r="H34" s="16" t="str">
        <f>+""</f>
        <v/>
      </c>
      <c r="I34" s="18"/>
      <c r="J34" s="1"/>
      <c r="K34" s="16"/>
      <c r="L34" s="1" t="s">
        <v>10</v>
      </c>
      <c r="M34" s="86" t="s">
        <v>94</v>
      </c>
      <c r="N34" s="1" t="s">
        <v>13</v>
      </c>
      <c r="O34" s="1" t="s">
        <v>14</v>
      </c>
      <c r="P34" s="1" t="s">
        <v>41</v>
      </c>
      <c r="Q34" s="7" t="s">
        <v>541</v>
      </c>
    </row>
    <row r="35" spans="1:21" ht="98.45" customHeight="1" x14ac:dyDescent="0.25">
      <c r="A35" s="86" t="s">
        <v>95</v>
      </c>
      <c r="B35" s="15">
        <v>41436</v>
      </c>
      <c r="C35" s="16" t="s">
        <v>476</v>
      </c>
      <c r="D35" s="15">
        <v>41985</v>
      </c>
      <c r="E35" s="16" t="s">
        <v>476</v>
      </c>
      <c r="F35" s="66" t="str">
        <f>+"25-JAN-2012"</f>
        <v>25-JAN-2012</v>
      </c>
      <c r="G35" s="47">
        <f t="shared" si="0"/>
        <v>1148</v>
      </c>
      <c r="H35" s="66" t="str">
        <f>+""</f>
        <v/>
      </c>
      <c r="I35" s="18"/>
      <c r="J35" s="1"/>
      <c r="K35" s="16"/>
      <c r="L35" s="86" t="s">
        <v>10</v>
      </c>
      <c r="M35" s="86" t="s">
        <v>96</v>
      </c>
      <c r="N35" s="86" t="s">
        <v>13</v>
      </c>
      <c r="O35" s="86" t="s">
        <v>14</v>
      </c>
      <c r="P35" s="86" t="s">
        <v>652</v>
      </c>
      <c r="Q35" s="89" t="s">
        <v>97</v>
      </c>
    </row>
    <row r="36" spans="1:21" ht="86.25" customHeight="1" x14ac:dyDescent="0.25">
      <c r="A36" s="86" t="s">
        <v>98</v>
      </c>
      <c r="B36" s="15" t="s">
        <v>476</v>
      </c>
      <c r="C36" s="16" t="s">
        <v>476</v>
      </c>
      <c r="D36" s="15" t="s">
        <v>476</v>
      </c>
      <c r="E36" s="16" t="s">
        <v>476</v>
      </c>
      <c r="F36" s="66" t="str">
        <f>+"31-JAN-2012"</f>
        <v>31-JAN-2012</v>
      </c>
      <c r="G36" s="47">
        <f t="shared" si="0"/>
        <v>1142</v>
      </c>
      <c r="H36" s="66" t="str">
        <f>+""</f>
        <v/>
      </c>
      <c r="I36" s="18"/>
      <c r="J36" s="86"/>
      <c r="K36" s="16"/>
      <c r="L36" s="1" t="s">
        <v>10</v>
      </c>
      <c r="M36" s="86" t="s">
        <v>99</v>
      </c>
      <c r="N36" s="1" t="s">
        <v>13</v>
      </c>
      <c r="O36" s="1" t="s">
        <v>14</v>
      </c>
      <c r="P36" s="1" t="s">
        <v>21</v>
      </c>
      <c r="Q36" s="7" t="s">
        <v>47</v>
      </c>
      <c r="S36" s="21"/>
      <c r="T36" s="21"/>
      <c r="U36" s="21"/>
    </row>
    <row r="37" spans="1:21" ht="126" customHeight="1" x14ac:dyDescent="0.25">
      <c r="A37" s="27" t="s">
        <v>326</v>
      </c>
      <c r="B37" s="56">
        <v>41163</v>
      </c>
      <c r="C37" s="52">
        <v>41319</v>
      </c>
      <c r="D37" s="56" t="s">
        <v>476</v>
      </c>
      <c r="E37" s="52" t="s">
        <v>476</v>
      </c>
      <c r="F37" s="76" t="str">
        <f>+"14-MAR-2012"</f>
        <v>14-MAR-2012</v>
      </c>
      <c r="G37" s="47">
        <f t="shared" si="0"/>
        <v>1099</v>
      </c>
      <c r="H37" s="76" t="str">
        <f>+""</f>
        <v/>
      </c>
      <c r="I37" s="54"/>
      <c r="J37" s="27"/>
      <c r="K37" s="52"/>
      <c r="L37" s="27" t="s">
        <v>19</v>
      </c>
      <c r="M37" s="27" t="s">
        <v>327</v>
      </c>
      <c r="N37" s="27" t="s">
        <v>13</v>
      </c>
      <c r="O37" s="27" t="s">
        <v>17</v>
      </c>
      <c r="P37" s="27" t="s">
        <v>15</v>
      </c>
      <c r="Q37" s="51" t="s">
        <v>16</v>
      </c>
    </row>
    <row r="38" spans="1:21" ht="126" customHeight="1" x14ac:dyDescent="0.25">
      <c r="A38" s="86" t="s">
        <v>100</v>
      </c>
      <c r="B38" s="15">
        <v>41109</v>
      </c>
      <c r="C38" s="16" t="s">
        <v>476</v>
      </c>
      <c r="D38" s="15" t="s">
        <v>476</v>
      </c>
      <c r="E38" s="16" t="s">
        <v>476</v>
      </c>
      <c r="F38" s="66" t="str">
        <f>+"16-APR-2012"</f>
        <v>16-APR-2012</v>
      </c>
      <c r="G38" s="47">
        <f t="shared" si="0"/>
        <v>1066</v>
      </c>
      <c r="H38" s="66" t="str">
        <f>+""</f>
        <v/>
      </c>
      <c r="I38" s="18"/>
      <c r="J38" s="1"/>
      <c r="K38" s="16"/>
      <c r="L38" s="86" t="s">
        <v>10</v>
      </c>
      <c r="M38" s="86" t="s">
        <v>101</v>
      </c>
      <c r="N38" s="86" t="s">
        <v>13</v>
      </c>
      <c r="O38" s="86" t="s">
        <v>14</v>
      </c>
      <c r="P38" s="86" t="s">
        <v>21</v>
      </c>
      <c r="Q38" s="89" t="s">
        <v>47</v>
      </c>
    </row>
    <row r="39" spans="1:21" ht="126" customHeight="1" x14ac:dyDescent="0.25">
      <c r="A39" s="86" t="s">
        <v>102</v>
      </c>
      <c r="B39" s="15">
        <v>41066</v>
      </c>
      <c r="C39" s="16">
        <v>41088</v>
      </c>
      <c r="D39" s="15">
        <v>41366</v>
      </c>
      <c r="E39" s="16">
        <v>41684</v>
      </c>
      <c r="F39" s="66" t="str">
        <f>+"23-APR-2012"</f>
        <v>23-APR-2012</v>
      </c>
      <c r="G39" s="47">
        <f t="shared" si="0"/>
        <v>1059</v>
      </c>
      <c r="H39" s="66" t="str">
        <f>+""</f>
        <v/>
      </c>
      <c r="I39" s="18"/>
      <c r="J39" s="86"/>
      <c r="K39" s="16"/>
      <c r="L39" s="86" t="s">
        <v>10</v>
      </c>
      <c r="M39" s="86" t="s">
        <v>103</v>
      </c>
      <c r="N39" s="86" t="s">
        <v>13</v>
      </c>
      <c r="O39" s="86" t="s">
        <v>17</v>
      </c>
      <c r="P39" s="86" t="s">
        <v>15</v>
      </c>
      <c r="Q39" s="89" t="s">
        <v>620</v>
      </c>
    </row>
    <row r="40" spans="1:21" ht="50.25" customHeight="1" x14ac:dyDescent="0.25">
      <c r="A40" s="86" t="s">
        <v>104</v>
      </c>
      <c r="B40" s="15">
        <v>41087</v>
      </c>
      <c r="C40" s="16">
        <v>41178</v>
      </c>
      <c r="D40" s="15">
        <v>41675</v>
      </c>
      <c r="E40" s="16">
        <v>41775</v>
      </c>
      <c r="F40" s="66" t="str">
        <f>+"24-APR-2012"</f>
        <v>24-APR-2012</v>
      </c>
      <c r="G40" s="47">
        <f t="shared" si="0"/>
        <v>1058</v>
      </c>
      <c r="H40" s="66" t="str">
        <f>+""</f>
        <v/>
      </c>
      <c r="I40" s="18"/>
      <c r="J40" s="1"/>
      <c r="K40" s="16"/>
      <c r="L40" s="1" t="s">
        <v>10</v>
      </c>
      <c r="M40" s="86" t="s">
        <v>105</v>
      </c>
      <c r="N40" s="1" t="s">
        <v>13</v>
      </c>
      <c r="O40" s="1" t="s">
        <v>14</v>
      </c>
      <c r="P40" s="86" t="s">
        <v>41</v>
      </c>
      <c r="Q40" s="7" t="s">
        <v>134</v>
      </c>
      <c r="S40" s="21"/>
      <c r="T40" s="21"/>
      <c r="U40" s="21"/>
    </row>
    <row r="41" spans="1:21" ht="65.25" customHeight="1" x14ac:dyDescent="0.25">
      <c r="A41" s="86" t="s">
        <v>106</v>
      </c>
      <c r="B41" s="15">
        <v>41962</v>
      </c>
      <c r="C41" s="16">
        <v>42058</v>
      </c>
      <c r="D41" s="15" t="s">
        <v>476</v>
      </c>
      <c r="E41" s="16" t="s">
        <v>476</v>
      </c>
      <c r="F41" s="66" t="str">
        <f>+"18-MAY-2012"</f>
        <v>18-MAY-2012</v>
      </c>
      <c r="G41" s="47">
        <f t="shared" si="0"/>
        <v>1034</v>
      </c>
      <c r="H41" s="66" t="str">
        <f>+""</f>
        <v/>
      </c>
      <c r="I41" s="18"/>
      <c r="J41" s="1"/>
      <c r="K41" s="16"/>
      <c r="L41" s="1" t="s">
        <v>10</v>
      </c>
      <c r="M41" s="86" t="s">
        <v>107</v>
      </c>
      <c r="N41" s="1" t="s">
        <v>13</v>
      </c>
      <c r="O41" s="1" t="s">
        <v>14</v>
      </c>
      <c r="P41" s="1" t="s">
        <v>41</v>
      </c>
      <c r="Q41" s="7" t="s">
        <v>108</v>
      </c>
    </row>
    <row r="42" spans="1:21" ht="164.45" customHeight="1" x14ac:dyDescent="0.25">
      <c r="A42" s="86" t="s">
        <v>432</v>
      </c>
      <c r="B42" s="15">
        <v>41935</v>
      </c>
      <c r="C42" s="16">
        <v>41946</v>
      </c>
      <c r="D42" s="15">
        <v>41967</v>
      </c>
      <c r="E42" s="16">
        <v>41904</v>
      </c>
      <c r="F42" s="66" t="str">
        <f>+"21-JUN-2012"</f>
        <v>21-JUN-2012</v>
      </c>
      <c r="G42" s="47">
        <f t="shared" si="0"/>
        <v>1000</v>
      </c>
      <c r="H42" s="66" t="str">
        <f>+""</f>
        <v/>
      </c>
      <c r="I42" s="18"/>
      <c r="J42" s="86"/>
      <c r="K42" s="16"/>
      <c r="L42" s="86" t="s">
        <v>10</v>
      </c>
      <c r="M42" s="86" t="s">
        <v>433</v>
      </c>
      <c r="N42" s="86" t="s">
        <v>13</v>
      </c>
      <c r="O42" s="86" t="s">
        <v>14</v>
      </c>
      <c r="P42" s="1" t="s">
        <v>41</v>
      </c>
      <c r="Q42" s="7" t="s">
        <v>434</v>
      </c>
    </row>
    <row r="43" spans="1:21" ht="92.45" customHeight="1" x14ac:dyDescent="0.25">
      <c r="A43" s="86" t="s">
        <v>118</v>
      </c>
      <c r="B43" s="15">
        <v>41960</v>
      </c>
      <c r="C43" s="16">
        <v>41715</v>
      </c>
      <c r="D43" s="15" t="s">
        <v>476</v>
      </c>
      <c r="E43" s="16" t="s">
        <v>476</v>
      </c>
      <c r="F43" s="66" t="str">
        <f>+"17-OCT-2012"</f>
        <v>17-OCT-2012</v>
      </c>
      <c r="G43" s="47">
        <f t="shared" si="0"/>
        <v>882</v>
      </c>
      <c r="H43" s="66" t="str">
        <f>+""</f>
        <v/>
      </c>
      <c r="I43" s="18"/>
      <c r="J43" s="86"/>
      <c r="K43" s="16"/>
      <c r="L43" s="86" t="s">
        <v>19</v>
      </c>
      <c r="M43" s="86" t="s">
        <v>584</v>
      </c>
      <c r="N43" s="86" t="s">
        <v>13</v>
      </c>
      <c r="O43" s="86" t="s">
        <v>14</v>
      </c>
      <c r="P43" s="86" t="s">
        <v>652</v>
      </c>
      <c r="Q43" s="89" t="s">
        <v>54</v>
      </c>
    </row>
    <row r="44" spans="1:21" ht="126" customHeight="1" x14ac:dyDescent="0.25">
      <c r="A44" s="86" t="s">
        <v>375</v>
      </c>
      <c r="B44" s="15">
        <v>41467</v>
      </c>
      <c r="C44" s="16">
        <v>41302</v>
      </c>
      <c r="D44" s="15">
        <v>41558</v>
      </c>
      <c r="E44" s="16">
        <v>41624</v>
      </c>
      <c r="F44" s="66" t="str">
        <f>+"25-OCT-2012"</f>
        <v>25-OCT-2012</v>
      </c>
      <c r="G44" s="47">
        <f t="shared" si="0"/>
        <v>874</v>
      </c>
      <c r="H44" s="66" t="str">
        <f>+""</f>
        <v/>
      </c>
      <c r="I44" s="18"/>
      <c r="J44" s="86"/>
      <c r="K44" s="16">
        <v>41529</v>
      </c>
      <c r="L44" s="86" t="s">
        <v>10</v>
      </c>
      <c r="M44" s="86" t="s">
        <v>376</v>
      </c>
      <c r="N44" s="86" t="s">
        <v>13</v>
      </c>
      <c r="O44" s="86" t="s">
        <v>14</v>
      </c>
      <c r="P44" s="1" t="s">
        <v>21</v>
      </c>
      <c r="Q44" s="7" t="s">
        <v>645</v>
      </c>
    </row>
    <row r="45" spans="1:21" ht="98.45" customHeight="1" x14ac:dyDescent="0.25">
      <c r="A45" s="86" t="s">
        <v>119</v>
      </c>
      <c r="B45" s="15" t="s">
        <v>476</v>
      </c>
      <c r="C45" s="46">
        <v>42048</v>
      </c>
      <c r="D45" s="15">
        <v>42123</v>
      </c>
      <c r="E45" s="16" t="s">
        <v>476</v>
      </c>
      <c r="F45" s="66" t="str">
        <f>+"26-OCT-2012"</f>
        <v>26-OCT-2012</v>
      </c>
      <c r="G45" s="47">
        <f t="shared" si="0"/>
        <v>873</v>
      </c>
      <c r="H45" s="66" t="str">
        <f>+""</f>
        <v/>
      </c>
      <c r="I45" s="18"/>
      <c r="J45" s="86"/>
      <c r="K45" s="16"/>
      <c r="L45" s="86" t="s">
        <v>10</v>
      </c>
      <c r="M45" s="86" t="s">
        <v>120</v>
      </c>
      <c r="N45" s="86" t="s">
        <v>13</v>
      </c>
      <c r="O45" s="86" t="s">
        <v>14</v>
      </c>
      <c r="P45" s="1" t="s">
        <v>21</v>
      </c>
      <c r="Q45" s="7" t="s">
        <v>22</v>
      </c>
    </row>
    <row r="46" spans="1:21" ht="126" customHeight="1" x14ac:dyDescent="0.25">
      <c r="A46" s="86" t="s">
        <v>435</v>
      </c>
      <c r="B46" s="15">
        <v>41346</v>
      </c>
      <c r="C46" s="16">
        <v>41799</v>
      </c>
      <c r="D46" s="15" t="s">
        <v>476</v>
      </c>
      <c r="E46" s="16" t="s">
        <v>476</v>
      </c>
      <c r="F46" s="66" t="str">
        <f>+"08-NOV-2012"</f>
        <v>08-NOV-2012</v>
      </c>
      <c r="G46" s="47">
        <f t="shared" si="0"/>
        <v>860</v>
      </c>
      <c r="H46" s="66" t="str">
        <f>+""</f>
        <v/>
      </c>
      <c r="I46" s="18"/>
      <c r="J46" s="86"/>
      <c r="K46" s="16"/>
      <c r="L46" s="1" t="s">
        <v>19</v>
      </c>
      <c r="M46" s="86" t="s">
        <v>436</v>
      </c>
      <c r="N46" s="1" t="s">
        <v>13</v>
      </c>
      <c r="O46" s="1" t="s">
        <v>14</v>
      </c>
      <c r="P46" s="1" t="s">
        <v>41</v>
      </c>
      <c r="Q46" s="7" t="s">
        <v>766</v>
      </c>
    </row>
    <row r="47" spans="1:21" ht="103.35" customHeight="1" x14ac:dyDescent="0.25">
      <c r="A47" s="86" t="s">
        <v>132</v>
      </c>
      <c r="B47" s="15" t="s">
        <v>476</v>
      </c>
      <c r="C47" s="16" t="s">
        <v>476</v>
      </c>
      <c r="D47" s="15" t="s">
        <v>476</v>
      </c>
      <c r="E47" s="16" t="s">
        <v>476</v>
      </c>
      <c r="F47" s="66" t="str">
        <f>+"15-NOV-2012"</f>
        <v>15-NOV-2012</v>
      </c>
      <c r="G47" s="47">
        <f t="shared" si="0"/>
        <v>853</v>
      </c>
      <c r="H47" s="66" t="str">
        <f>+""</f>
        <v/>
      </c>
      <c r="I47" s="26"/>
      <c r="J47" s="1"/>
      <c r="K47" s="16"/>
      <c r="L47" s="1" t="s">
        <v>10</v>
      </c>
      <c r="M47" s="86" t="s">
        <v>133</v>
      </c>
      <c r="N47" s="1" t="s">
        <v>13</v>
      </c>
      <c r="O47" s="1" t="s">
        <v>14</v>
      </c>
      <c r="P47" s="1" t="s">
        <v>41</v>
      </c>
      <c r="Q47" s="83" t="s">
        <v>653</v>
      </c>
      <c r="S47" s="88"/>
      <c r="T47" s="88"/>
      <c r="U47" s="88"/>
    </row>
    <row r="48" spans="1:21" ht="112.15" customHeight="1" x14ac:dyDescent="0.25">
      <c r="A48" s="86" t="s">
        <v>135</v>
      </c>
      <c r="B48" s="15" t="s">
        <v>476</v>
      </c>
      <c r="C48" s="16" t="s">
        <v>476</v>
      </c>
      <c r="D48" s="15" t="s">
        <v>476</v>
      </c>
      <c r="E48" s="16" t="s">
        <v>476</v>
      </c>
      <c r="F48" s="66" t="str">
        <f>+"14-DEC-2012"</f>
        <v>14-DEC-2012</v>
      </c>
      <c r="G48" s="47">
        <f t="shared" si="0"/>
        <v>824</v>
      </c>
      <c r="H48" s="66" t="str">
        <f>+""</f>
        <v/>
      </c>
      <c r="I48" s="18"/>
      <c r="J48" s="86"/>
      <c r="K48" s="16"/>
      <c r="L48" s="86" t="s">
        <v>10</v>
      </c>
      <c r="M48" s="86" t="s">
        <v>136</v>
      </c>
      <c r="N48" s="86" t="s">
        <v>13</v>
      </c>
      <c r="O48" s="86" t="s">
        <v>48</v>
      </c>
      <c r="P48" s="86" t="s">
        <v>41</v>
      </c>
      <c r="Q48" s="89" t="s">
        <v>33</v>
      </c>
    </row>
    <row r="49" spans="1:21" ht="105.95" customHeight="1" x14ac:dyDescent="0.25">
      <c r="A49" s="86" t="s">
        <v>437</v>
      </c>
      <c r="B49" s="15">
        <v>41320</v>
      </c>
      <c r="C49" s="16">
        <v>41366</v>
      </c>
      <c r="D49" s="15">
        <v>41991</v>
      </c>
      <c r="E49" s="46">
        <v>42040</v>
      </c>
      <c r="F49" s="66" t="str">
        <f>+"20-DEC-2012"</f>
        <v>20-DEC-2012</v>
      </c>
      <c r="G49" s="47">
        <f t="shared" si="0"/>
        <v>818</v>
      </c>
      <c r="H49" s="66" t="str">
        <f>+""</f>
        <v/>
      </c>
      <c r="I49" s="18"/>
      <c r="J49" s="86"/>
      <c r="K49" s="16"/>
      <c r="L49" s="1" t="s">
        <v>19</v>
      </c>
      <c r="M49" s="86" t="s">
        <v>438</v>
      </c>
      <c r="N49" s="1" t="s">
        <v>13</v>
      </c>
      <c r="O49" s="1" t="s">
        <v>48</v>
      </c>
      <c r="P49" s="1" t="s">
        <v>652</v>
      </c>
      <c r="Q49" s="7" t="s">
        <v>497</v>
      </c>
    </row>
    <row r="50" spans="1:21" ht="83.65" customHeight="1" x14ac:dyDescent="0.25">
      <c r="A50" s="86" t="s">
        <v>439</v>
      </c>
      <c r="B50" s="15">
        <v>41444</v>
      </c>
      <c r="C50" s="16">
        <v>41583</v>
      </c>
      <c r="D50" s="15" t="s">
        <v>476</v>
      </c>
      <c r="E50" s="16" t="s">
        <v>476</v>
      </c>
      <c r="F50" s="66" t="str">
        <f>+"24-JAN-2013"</f>
        <v>24-JAN-2013</v>
      </c>
      <c r="G50" s="47">
        <f t="shared" si="0"/>
        <v>783</v>
      </c>
      <c r="H50" s="66" t="str">
        <f>+""</f>
        <v/>
      </c>
      <c r="I50" s="18"/>
      <c r="J50" s="86"/>
      <c r="K50" s="16"/>
      <c r="L50" s="1" t="s">
        <v>19</v>
      </c>
      <c r="M50" s="86" t="s">
        <v>440</v>
      </c>
      <c r="N50" s="1" t="s">
        <v>13</v>
      </c>
      <c r="O50" s="1" t="s">
        <v>25</v>
      </c>
      <c r="P50" s="1" t="s">
        <v>36</v>
      </c>
      <c r="Q50" s="7" t="s">
        <v>152</v>
      </c>
    </row>
    <row r="51" spans="1:21" ht="59.1" customHeight="1" x14ac:dyDescent="0.25">
      <c r="A51" s="86" t="s">
        <v>143</v>
      </c>
      <c r="B51" s="15">
        <v>41423</v>
      </c>
      <c r="C51" s="16">
        <v>41498</v>
      </c>
      <c r="D51" s="15">
        <v>41592</v>
      </c>
      <c r="E51" s="16">
        <v>41627</v>
      </c>
      <c r="F51" s="66" t="str">
        <f>+"31-JAN-2013"</f>
        <v>31-JAN-2013</v>
      </c>
      <c r="G51" s="47">
        <f t="shared" si="0"/>
        <v>776</v>
      </c>
      <c r="H51" s="66" t="str">
        <f>+""</f>
        <v/>
      </c>
      <c r="I51" s="18"/>
      <c r="J51" s="86"/>
      <c r="K51" s="16"/>
      <c r="L51" s="1" t="s">
        <v>19</v>
      </c>
      <c r="M51" s="86" t="s">
        <v>144</v>
      </c>
      <c r="N51" s="1" t="s">
        <v>13</v>
      </c>
      <c r="O51" s="1" t="s">
        <v>25</v>
      </c>
      <c r="P51" s="1" t="s">
        <v>15</v>
      </c>
      <c r="Q51" s="7" t="s">
        <v>513</v>
      </c>
    </row>
    <row r="52" spans="1:21" ht="105.95" customHeight="1" x14ac:dyDescent="0.25">
      <c r="A52" s="86" t="s">
        <v>145</v>
      </c>
      <c r="B52" s="15">
        <v>41467</v>
      </c>
      <c r="C52" s="16">
        <v>41486</v>
      </c>
      <c r="D52" s="15">
        <v>41561</v>
      </c>
      <c r="E52" s="16">
        <v>41624</v>
      </c>
      <c r="F52" s="66" t="str">
        <f>+"31-JAN-2013"</f>
        <v>31-JAN-2013</v>
      </c>
      <c r="G52" s="47">
        <f t="shared" si="0"/>
        <v>776</v>
      </c>
      <c r="H52" s="66" t="str">
        <f>+""</f>
        <v/>
      </c>
      <c r="I52" s="18"/>
      <c r="J52" s="1"/>
      <c r="K52" s="16">
        <v>41529</v>
      </c>
      <c r="L52" s="1" t="s">
        <v>10</v>
      </c>
      <c r="M52" s="86" t="s">
        <v>146</v>
      </c>
      <c r="N52" s="1" t="s">
        <v>13</v>
      </c>
      <c r="O52" s="1" t="s">
        <v>14</v>
      </c>
      <c r="P52" s="86" t="s">
        <v>21</v>
      </c>
      <c r="Q52" s="7" t="s">
        <v>645</v>
      </c>
    </row>
    <row r="53" spans="1:21" ht="126" customHeight="1" x14ac:dyDescent="0.25">
      <c r="A53" s="86" t="s">
        <v>147</v>
      </c>
      <c r="B53" s="15" t="s">
        <v>476</v>
      </c>
      <c r="C53" s="16" t="s">
        <v>476</v>
      </c>
      <c r="D53" s="15" t="s">
        <v>476</v>
      </c>
      <c r="E53" s="16">
        <v>41717</v>
      </c>
      <c r="F53" s="66" t="str">
        <f>+"05-FEB-2013"</f>
        <v>05-FEB-2013</v>
      </c>
      <c r="G53" s="47">
        <f t="shared" si="0"/>
        <v>771</v>
      </c>
      <c r="H53" s="66" t="str">
        <f>+""</f>
        <v/>
      </c>
      <c r="I53" s="18"/>
      <c r="J53" s="86"/>
      <c r="K53" s="16"/>
      <c r="L53" s="86" t="s">
        <v>10</v>
      </c>
      <c r="M53" s="86" t="s">
        <v>148</v>
      </c>
      <c r="N53" s="86" t="s">
        <v>13</v>
      </c>
      <c r="O53" s="86" t="s">
        <v>25</v>
      </c>
      <c r="P53" s="86" t="s">
        <v>15</v>
      </c>
      <c r="Q53" s="89" t="s">
        <v>149</v>
      </c>
    </row>
    <row r="54" spans="1:21" ht="110.85" customHeight="1" x14ac:dyDescent="0.25">
      <c r="A54" s="86" t="s">
        <v>441</v>
      </c>
      <c r="B54" s="15">
        <v>41360</v>
      </c>
      <c r="C54" s="16">
        <v>41396</v>
      </c>
      <c r="D54" s="15" t="s">
        <v>476</v>
      </c>
      <c r="E54" s="16">
        <v>41526</v>
      </c>
      <c r="F54" s="66" t="str">
        <f>+"13-FEB-2013"</f>
        <v>13-FEB-2013</v>
      </c>
      <c r="G54" s="47">
        <f t="shared" si="0"/>
        <v>763</v>
      </c>
      <c r="H54" s="66" t="str">
        <f>+""</f>
        <v/>
      </c>
      <c r="I54" s="18"/>
      <c r="J54" s="86"/>
      <c r="K54" s="16"/>
      <c r="L54" s="1" t="s">
        <v>10</v>
      </c>
      <c r="M54" s="86" t="s">
        <v>442</v>
      </c>
      <c r="N54" s="1" t="s">
        <v>13</v>
      </c>
      <c r="O54" s="1" t="s">
        <v>59</v>
      </c>
      <c r="P54" s="1" t="s">
        <v>36</v>
      </c>
      <c r="Q54" s="7" t="s">
        <v>173</v>
      </c>
    </row>
    <row r="55" spans="1:21" ht="157.69999999999999" customHeight="1" x14ac:dyDescent="0.25">
      <c r="A55" s="86" t="s">
        <v>332</v>
      </c>
      <c r="B55" s="15" t="s">
        <v>476</v>
      </c>
      <c r="C55" s="16" t="s">
        <v>476</v>
      </c>
      <c r="D55" s="15" t="s">
        <v>476</v>
      </c>
      <c r="E55" s="16" t="s">
        <v>476</v>
      </c>
      <c r="F55" s="66" t="str">
        <f>+"19-FEB-2013"</f>
        <v>19-FEB-2013</v>
      </c>
      <c r="G55" s="47">
        <f t="shared" si="0"/>
        <v>757</v>
      </c>
      <c r="H55" s="66" t="str">
        <f>+""</f>
        <v/>
      </c>
      <c r="I55" s="18"/>
      <c r="J55" s="1"/>
      <c r="K55" s="16"/>
      <c r="L55" s="1" t="s">
        <v>10</v>
      </c>
      <c r="M55" s="86" t="s">
        <v>333</v>
      </c>
      <c r="N55" s="1" t="s">
        <v>13</v>
      </c>
      <c r="O55" s="1" t="s">
        <v>14</v>
      </c>
      <c r="P55" s="1" t="s">
        <v>21</v>
      </c>
      <c r="Q55" s="7" t="s">
        <v>137</v>
      </c>
    </row>
    <row r="56" spans="1:21" ht="104.65" customHeight="1" x14ac:dyDescent="0.25">
      <c r="A56" s="86" t="s">
        <v>150</v>
      </c>
      <c r="B56" s="15">
        <v>41501</v>
      </c>
      <c r="C56" s="16">
        <v>41551</v>
      </c>
      <c r="D56" s="15">
        <v>41660</v>
      </c>
      <c r="E56" s="16">
        <v>41717</v>
      </c>
      <c r="F56" s="66" t="str">
        <f>+"28-FEB-2013"</f>
        <v>28-FEB-2013</v>
      </c>
      <c r="G56" s="47">
        <f t="shared" si="0"/>
        <v>748</v>
      </c>
      <c r="H56" s="66" t="str">
        <f>+""</f>
        <v/>
      </c>
      <c r="I56" s="18"/>
      <c r="J56" s="86"/>
      <c r="K56" s="16"/>
      <c r="L56" s="1" t="s">
        <v>10</v>
      </c>
      <c r="M56" s="86" t="s">
        <v>151</v>
      </c>
      <c r="N56" s="1" t="s">
        <v>13</v>
      </c>
      <c r="O56" s="1" t="s">
        <v>14</v>
      </c>
      <c r="P56" s="1" t="s">
        <v>21</v>
      </c>
      <c r="Q56" s="7" t="s">
        <v>47</v>
      </c>
      <c r="S56" s="88"/>
      <c r="T56" s="88"/>
      <c r="U56" s="88"/>
    </row>
    <row r="57" spans="1:21" ht="87.6" customHeight="1" x14ac:dyDescent="0.25">
      <c r="A57" s="86" t="s">
        <v>155</v>
      </c>
      <c r="B57" s="15" t="s">
        <v>476</v>
      </c>
      <c r="C57" s="16" t="s">
        <v>476</v>
      </c>
      <c r="D57" s="15" t="s">
        <v>476</v>
      </c>
      <c r="E57" s="16" t="s">
        <v>476</v>
      </c>
      <c r="F57" s="66" t="str">
        <f>+"04-MAR-2013"</f>
        <v>04-MAR-2013</v>
      </c>
      <c r="G57" s="47">
        <f t="shared" si="0"/>
        <v>744</v>
      </c>
      <c r="H57" s="66" t="str">
        <f>+""</f>
        <v/>
      </c>
      <c r="I57" s="18"/>
      <c r="J57" s="1"/>
      <c r="K57" s="16"/>
      <c r="L57" s="1" t="s">
        <v>19</v>
      </c>
      <c r="M57" s="86" t="s">
        <v>156</v>
      </c>
      <c r="N57" s="1" t="s">
        <v>13</v>
      </c>
      <c r="O57" s="1" t="s">
        <v>25</v>
      </c>
      <c r="P57" s="1" t="s">
        <v>15</v>
      </c>
      <c r="Q57" s="7" t="s">
        <v>88</v>
      </c>
    </row>
    <row r="58" spans="1:21" ht="89.65" customHeight="1" x14ac:dyDescent="0.25">
      <c r="A58" s="86" t="s">
        <v>153</v>
      </c>
      <c r="B58" s="15">
        <v>41467</v>
      </c>
      <c r="C58" s="16">
        <v>41486</v>
      </c>
      <c r="D58" s="15">
        <v>41561</v>
      </c>
      <c r="E58" s="16">
        <v>41624</v>
      </c>
      <c r="F58" s="66" t="str">
        <f>+"15-MAR-2013"</f>
        <v>15-MAR-2013</v>
      </c>
      <c r="G58" s="47">
        <f t="shared" si="0"/>
        <v>733</v>
      </c>
      <c r="H58" s="66" t="str">
        <f>+""</f>
        <v/>
      </c>
      <c r="I58" s="18"/>
      <c r="J58" s="1"/>
      <c r="K58" s="16">
        <v>41529</v>
      </c>
      <c r="L58" s="1" t="s">
        <v>10</v>
      </c>
      <c r="M58" s="86" t="s">
        <v>154</v>
      </c>
      <c r="N58" s="1" t="s">
        <v>13</v>
      </c>
      <c r="O58" s="1" t="s">
        <v>14</v>
      </c>
      <c r="P58" s="1" t="s">
        <v>21</v>
      </c>
      <c r="Q58" s="7" t="s">
        <v>645</v>
      </c>
    </row>
    <row r="59" spans="1:21" ht="108.75" customHeight="1" x14ac:dyDescent="0.25">
      <c r="A59" s="86" t="s">
        <v>159</v>
      </c>
      <c r="B59" s="15">
        <v>41467</v>
      </c>
      <c r="C59" s="16">
        <v>41486</v>
      </c>
      <c r="D59" s="15">
        <v>41561</v>
      </c>
      <c r="E59" s="16">
        <v>41624</v>
      </c>
      <c r="F59" s="66" t="str">
        <f>+"18-MAR-2013"</f>
        <v>18-MAR-2013</v>
      </c>
      <c r="G59" s="47">
        <f t="shared" si="0"/>
        <v>730</v>
      </c>
      <c r="H59" s="66" t="str">
        <f>+""</f>
        <v/>
      </c>
      <c r="I59" s="18"/>
      <c r="J59" s="1"/>
      <c r="K59" s="16">
        <v>41529</v>
      </c>
      <c r="L59" s="1" t="s">
        <v>10</v>
      </c>
      <c r="M59" s="86" t="s">
        <v>160</v>
      </c>
      <c r="N59" s="1" t="s">
        <v>13</v>
      </c>
      <c r="O59" s="1" t="s">
        <v>14</v>
      </c>
      <c r="P59" s="1" t="s">
        <v>21</v>
      </c>
      <c r="Q59" s="7" t="s">
        <v>645</v>
      </c>
      <c r="S59" s="88"/>
      <c r="T59" s="88"/>
      <c r="U59" s="88"/>
    </row>
    <row r="60" spans="1:21" ht="118.15" customHeight="1" x14ac:dyDescent="0.25">
      <c r="A60" s="86" t="s">
        <v>157</v>
      </c>
      <c r="B60" s="15">
        <v>41467</v>
      </c>
      <c r="C60" s="16">
        <v>41486</v>
      </c>
      <c r="D60" s="15">
        <v>41561</v>
      </c>
      <c r="E60" s="16">
        <v>41624</v>
      </c>
      <c r="F60" s="66" t="str">
        <f>+"19-MAR-2013"</f>
        <v>19-MAR-2013</v>
      </c>
      <c r="G60" s="47">
        <f t="shared" si="0"/>
        <v>729</v>
      </c>
      <c r="H60" s="66" t="str">
        <f>+""</f>
        <v/>
      </c>
      <c r="I60" s="18"/>
      <c r="J60" s="1"/>
      <c r="K60" s="16">
        <v>41529</v>
      </c>
      <c r="L60" s="1" t="s">
        <v>10</v>
      </c>
      <c r="M60" s="86" t="s">
        <v>158</v>
      </c>
      <c r="N60" s="1" t="s">
        <v>13</v>
      </c>
      <c r="O60" s="1" t="s">
        <v>14</v>
      </c>
      <c r="P60" s="1" t="s">
        <v>21</v>
      </c>
      <c r="Q60" s="7" t="s">
        <v>645</v>
      </c>
    </row>
    <row r="61" spans="1:21" ht="95.1" customHeight="1" x14ac:dyDescent="0.25">
      <c r="A61" s="86" t="s">
        <v>445</v>
      </c>
      <c r="B61" s="15" t="s">
        <v>476</v>
      </c>
      <c r="C61" s="16" t="s">
        <v>476</v>
      </c>
      <c r="D61" s="15" t="s">
        <v>476</v>
      </c>
      <c r="E61" s="16" t="s">
        <v>476</v>
      </c>
      <c r="F61" s="66" t="str">
        <f>+"21-MAR-2013"</f>
        <v>21-MAR-2013</v>
      </c>
      <c r="G61" s="47">
        <f t="shared" si="0"/>
        <v>727</v>
      </c>
      <c r="H61" s="66" t="str">
        <f>+""</f>
        <v/>
      </c>
      <c r="I61" s="18"/>
      <c r="J61" s="1"/>
      <c r="K61" s="16"/>
      <c r="L61" s="1" t="s">
        <v>19</v>
      </c>
      <c r="M61" s="86" t="s">
        <v>446</v>
      </c>
      <c r="N61" s="1" t="s">
        <v>13</v>
      </c>
      <c r="O61" s="1" t="s">
        <v>25</v>
      </c>
      <c r="P61" s="1" t="s">
        <v>15</v>
      </c>
      <c r="Q61" s="7" t="s">
        <v>71</v>
      </c>
    </row>
    <row r="62" spans="1:21" ht="126" customHeight="1" x14ac:dyDescent="0.25">
      <c r="A62" s="86" t="s">
        <v>447</v>
      </c>
      <c r="B62" s="15">
        <v>41443</v>
      </c>
      <c r="C62" s="16">
        <v>41487</v>
      </c>
      <c r="D62" s="15">
        <v>42024</v>
      </c>
      <c r="E62" s="16" t="s">
        <v>476</v>
      </c>
      <c r="F62" s="66" t="str">
        <f>+"21-MAR-2013"</f>
        <v>21-MAR-2013</v>
      </c>
      <c r="G62" s="47">
        <f t="shared" si="0"/>
        <v>727</v>
      </c>
      <c r="H62" s="66" t="str">
        <f>+""</f>
        <v/>
      </c>
      <c r="I62" s="18"/>
      <c r="J62" s="1"/>
      <c r="K62" s="16"/>
      <c r="L62" s="1" t="s">
        <v>10</v>
      </c>
      <c r="M62" s="86" t="s">
        <v>448</v>
      </c>
      <c r="N62" s="1" t="s">
        <v>13</v>
      </c>
      <c r="O62" s="1" t="s">
        <v>14</v>
      </c>
      <c r="P62" s="88" t="s">
        <v>41</v>
      </c>
      <c r="Q62" s="7" t="s">
        <v>33</v>
      </c>
      <c r="S62" s="88"/>
      <c r="T62" s="88"/>
      <c r="U62" s="88"/>
    </row>
    <row r="63" spans="1:21" ht="126" customHeight="1" x14ac:dyDescent="0.25">
      <c r="A63" s="86" t="s">
        <v>161</v>
      </c>
      <c r="B63" s="15">
        <v>41414</v>
      </c>
      <c r="C63" s="16">
        <v>41432</v>
      </c>
      <c r="D63" s="15">
        <v>41652</v>
      </c>
      <c r="E63" s="16">
        <v>41688</v>
      </c>
      <c r="F63" s="66" t="str">
        <f>+"02-APR-2013"</f>
        <v>02-APR-2013</v>
      </c>
      <c r="G63" s="47">
        <f t="shared" si="0"/>
        <v>715</v>
      </c>
      <c r="H63" s="66" t="str">
        <f>+""</f>
        <v/>
      </c>
      <c r="I63" s="18"/>
      <c r="J63" s="1"/>
      <c r="K63" s="16"/>
      <c r="L63" s="1" t="s">
        <v>10</v>
      </c>
      <c r="M63" s="86" t="s">
        <v>162</v>
      </c>
      <c r="N63" s="1" t="s">
        <v>13</v>
      </c>
      <c r="O63" s="1" t="s">
        <v>14</v>
      </c>
      <c r="P63" s="1" t="s">
        <v>21</v>
      </c>
      <c r="Q63" s="7" t="s">
        <v>71</v>
      </c>
    </row>
    <row r="64" spans="1:21" ht="156.19999999999999" customHeight="1" x14ac:dyDescent="0.25">
      <c r="A64" s="86" t="s">
        <v>334</v>
      </c>
      <c r="B64" s="15">
        <v>41695</v>
      </c>
      <c r="C64" s="16">
        <v>42017</v>
      </c>
      <c r="D64" s="15">
        <v>42143</v>
      </c>
      <c r="E64" s="16">
        <v>41716</v>
      </c>
      <c r="F64" s="66" t="str">
        <f>+"11-APR-2013"</f>
        <v>11-APR-2013</v>
      </c>
      <c r="G64" s="47">
        <f t="shared" si="0"/>
        <v>706</v>
      </c>
      <c r="H64" s="66" t="str">
        <f>+""</f>
        <v/>
      </c>
      <c r="I64" s="18"/>
      <c r="J64" s="86"/>
      <c r="K64" s="16"/>
      <c r="L64" s="1" t="s">
        <v>10</v>
      </c>
      <c r="M64" s="86" t="s">
        <v>335</v>
      </c>
      <c r="N64" s="1" t="s">
        <v>13</v>
      </c>
      <c r="O64" s="1" t="s">
        <v>25</v>
      </c>
      <c r="P64" s="86" t="s">
        <v>21</v>
      </c>
      <c r="Q64" s="7" t="s">
        <v>33</v>
      </c>
    </row>
    <row r="65" spans="1:17" ht="92.45" customHeight="1" x14ac:dyDescent="0.25">
      <c r="A65" s="86" t="s">
        <v>163</v>
      </c>
      <c r="B65" s="15">
        <v>41428</v>
      </c>
      <c r="C65" s="16">
        <v>41467</v>
      </c>
      <c r="D65" s="15">
        <v>41921</v>
      </c>
      <c r="E65" s="16" t="s">
        <v>476</v>
      </c>
      <c r="F65" s="66" t="str">
        <f>+"18-APR-2013"</f>
        <v>18-APR-2013</v>
      </c>
      <c r="G65" s="47">
        <f t="shared" si="0"/>
        <v>699</v>
      </c>
      <c r="H65" s="66" t="str">
        <f>+""</f>
        <v/>
      </c>
      <c r="I65" s="18"/>
      <c r="J65" s="86"/>
      <c r="K65" s="16"/>
      <c r="L65" s="1" t="s">
        <v>10</v>
      </c>
      <c r="M65" s="86" t="s">
        <v>164</v>
      </c>
      <c r="N65" s="1" t="s">
        <v>13</v>
      </c>
      <c r="O65" s="1" t="s">
        <v>12</v>
      </c>
      <c r="P65" s="1" t="s">
        <v>41</v>
      </c>
      <c r="Q65" s="7" t="s">
        <v>16</v>
      </c>
    </row>
    <row r="66" spans="1:17" ht="126" customHeight="1" x14ac:dyDescent="0.25">
      <c r="A66" s="86" t="s">
        <v>169</v>
      </c>
      <c r="B66" s="15">
        <v>41464</v>
      </c>
      <c r="C66" s="16">
        <v>41488</v>
      </c>
      <c r="D66" s="15">
        <v>41596</v>
      </c>
      <c r="E66" s="16">
        <v>41800</v>
      </c>
      <c r="F66" s="66" t="str">
        <f>+"24-MAY-2013"</f>
        <v>24-MAY-2013</v>
      </c>
      <c r="G66" s="47">
        <f t="shared" si="0"/>
        <v>663</v>
      </c>
      <c r="H66" s="66" t="str">
        <f>+""</f>
        <v/>
      </c>
      <c r="I66" s="18"/>
      <c r="J66" s="86"/>
      <c r="K66" s="16"/>
      <c r="L66" s="1" t="s">
        <v>10</v>
      </c>
      <c r="M66" s="86" t="s">
        <v>170</v>
      </c>
      <c r="N66" s="1" t="s">
        <v>13</v>
      </c>
      <c r="O66" s="1" t="s">
        <v>17</v>
      </c>
      <c r="P66" s="1" t="s">
        <v>15</v>
      </c>
      <c r="Q66" s="7" t="s">
        <v>71</v>
      </c>
    </row>
    <row r="67" spans="1:17" ht="126" customHeight="1" x14ac:dyDescent="0.25">
      <c r="A67" s="86" t="s">
        <v>167</v>
      </c>
      <c r="B67" s="15">
        <v>41464</v>
      </c>
      <c r="C67" s="16">
        <v>41486</v>
      </c>
      <c r="D67" s="15" t="s">
        <v>476</v>
      </c>
      <c r="E67" s="16" t="s">
        <v>476</v>
      </c>
      <c r="F67" s="66" t="str">
        <f>+"31-MAY-2013"</f>
        <v>31-MAY-2013</v>
      </c>
      <c r="G67" s="47">
        <f t="shared" ref="G67:G130" si="1">DATE(2015, 3, 18)- F67</f>
        <v>656</v>
      </c>
      <c r="H67" s="66" t="str">
        <f>+""</f>
        <v/>
      </c>
      <c r="I67" s="18"/>
      <c r="J67" s="86"/>
      <c r="K67" s="16"/>
      <c r="L67" s="1" t="s">
        <v>10</v>
      </c>
      <c r="M67" s="86" t="s">
        <v>168</v>
      </c>
      <c r="N67" s="1" t="s">
        <v>13</v>
      </c>
      <c r="O67" s="1" t="s">
        <v>14</v>
      </c>
      <c r="P67" s="1" t="s">
        <v>21</v>
      </c>
      <c r="Q67" s="7" t="s">
        <v>71</v>
      </c>
    </row>
    <row r="68" spans="1:17" ht="95.1" customHeight="1" x14ac:dyDescent="0.25">
      <c r="A68" s="86" t="s">
        <v>171</v>
      </c>
      <c r="B68" s="15">
        <v>41509</v>
      </c>
      <c r="C68" s="16">
        <v>41520</v>
      </c>
      <c r="D68" s="15" t="s">
        <v>476</v>
      </c>
      <c r="E68" s="16">
        <v>41719</v>
      </c>
      <c r="F68" s="66" t="str">
        <f>+"13-JUN-2013"</f>
        <v>13-JUN-2013</v>
      </c>
      <c r="G68" s="47">
        <f t="shared" si="1"/>
        <v>643</v>
      </c>
      <c r="H68" s="66" t="str">
        <f>+""</f>
        <v/>
      </c>
      <c r="I68" s="18"/>
      <c r="J68" s="86"/>
      <c r="K68" s="16"/>
      <c r="L68" s="86" t="s">
        <v>10</v>
      </c>
      <c r="M68" s="86" t="s">
        <v>172</v>
      </c>
      <c r="N68" s="1" t="s">
        <v>13</v>
      </c>
      <c r="O68" s="86" t="s">
        <v>59</v>
      </c>
      <c r="P68" s="86" t="s">
        <v>21</v>
      </c>
      <c r="Q68" s="7" t="s">
        <v>173</v>
      </c>
    </row>
    <row r="69" spans="1:17" ht="157.69999999999999" customHeight="1" x14ac:dyDescent="0.25">
      <c r="A69" s="86" t="s">
        <v>382</v>
      </c>
      <c r="B69" s="15" t="s">
        <v>491</v>
      </c>
      <c r="C69" s="16" t="s">
        <v>476</v>
      </c>
      <c r="D69" s="15">
        <v>41765</v>
      </c>
      <c r="E69" s="16" t="s">
        <v>476</v>
      </c>
      <c r="F69" s="66" t="str">
        <f>+"27-JUN-2013"</f>
        <v>27-JUN-2013</v>
      </c>
      <c r="G69" s="47">
        <f t="shared" si="1"/>
        <v>629</v>
      </c>
      <c r="H69" s="66" t="str">
        <f>+""</f>
        <v/>
      </c>
      <c r="I69" s="18"/>
      <c r="J69" s="86"/>
      <c r="K69" s="16"/>
      <c r="L69" s="86" t="s">
        <v>19</v>
      </c>
      <c r="M69" s="86" t="s">
        <v>383</v>
      </c>
      <c r="N69" s="1" t="s">
        <v>13</v>
      </c>
      <c r="O69" s="86" t="s">
        <v>87</v>
      </c>
      <c r="P69" s="1" t="s">
        <v>21</v>
      </c>
      <c r="Q69" s="7" t="s">
        <v>71</v>
      </c>
    </row>
    <row r="70" spans="1:17" ht="86.25" customHeight="1" x14ac:dyDescent="0.25">
      <c r="A70" s="86" t="s">
        <v>177</v>
      </c>
      <c r="B70" s="15" t="s">
        <v>476</v>
      </c>
      <c r="C70" s="16" t="s">
        <v>476</v>
      </c>
      <c r="D70" s="15" t="s">
        <v>476</v>
      </c>
      <c r="E70" s="16" t="s">
        <v>476</v>
      </c>
      <c r="F70" s="66" t="str">
        <f>+"28-JUN-2013"</f>
        <v>28-JUN-2013</v>
      </c>
      <c r="G70" s="47">
        <f t="shared" si="1"/>
        <v>628</v>
      </c>
      <c r="H70" s="66" t="str">
        <f>+""</f>
        <v/>
      </c>
      <c r="I70" s="18"/>
      <c r="J70" s="86"/>
      <c r="K70" s="16"/>
      <c r="L70" s="86" t="s">
        <v>10</v>
      </c>
      <c r="M70" s="86" t="s">
        <v>178</v>
      </c>
      <c r="N70" s="1" t="s">
        <v>13</v>
      </c>
      <c r="O70" s="86" t="s">
        <v>14</v>
      </c>
      <c r="P70" s="1" t="s">
        <v>36</v>
      </c>
      <c r="Q70" s="7" t="s">
        <v>152</v>
      </c>
    </row>
    <row r="71" spans="1:17" ht="126" customHeight="1" x14ac:dyDescent="0.25">
      <c r="A71" s="86" t="s">
        <v>179</v>
      </c>
      <c r="B71" s="15">
        <v>41660</v>
      </c>
      <c r="C71" s="16">
        <v>41600</v>
      </c>
      <c r="D71" s="15">
        <v>41809</v>
      </c>
      <c r="E71" s="16">
        <v>41811</v>
      </c>
      <c r="F71" s="66" t="str">
        <f>+"01-JUL-2013"</f>
        <v>01-JUL-2013</v>
      </c>
      <c r="G71" s="47">
        <f t="shared" si="1"/>
        <v>625</v>
      </c>
      <c r="H71" s="66" t="str">
        <f>+""</f>
        <v/>
      </c>
      <c r="I71" s="18"/>
      <c r="J71" s="86"/>
      <c r="K71" s="16"/>
      <c r="L71" s="86" t="s">
        <v>10</v>
      </c>
      <c r="M71" s="86" t="s">
        <v>180</v>
      </c>
      <c r="N71" s="1" t="s">
        <v>13</v>
      </c>
      <c r="O71" s="86" t="s">
        <v>17</v>
      </c>
      <c r="P71" s="1" t="s">
        <v>36</v>
      </c>
      <c r="Q71" s="7" t="s">
        <v>88</v>
      </c>
    </row>
    <row r="72" spans="1:17" ht="80.099999999999994" customHeight="1" x14ac:dyDescent="0.25">
      <c r="A72" s="86" t="s">
        <v>336</v>
      </c>
      <c r="B72" s="15">
        <v>41863</v>
      </c>
      <c r="C72" s="16" t="s">
        <v>476</v>
      </c>
      <c r="D72" s="15">
        <v>42046</v>
      </c>
      <c r="E72" s="16" t="s">
        <v>476</v>
      </c>
      <c r="F72" s="66" t="str">
        <f>+"12-JUL-2013"</f>
        <v>12-JUL-2013</v>
      </c>
      <c r="G72" s="47">
        <f t="shared" si="1"/>
        <v>614</v>
      </c>
      <c r="H72" s="66" t="str">
        <f>+""</f>
        <v/>
      </c>
      <c r="I72" s="18"/>
      <c r="J72" s="1"/>
      <c r="K72" s="16"/>
      <c r="L72" s="1" t="s">
        <v>10</v>
      </c>
      <c r="M72" s="86" t="s">
        <v>337</v>
      </c>
      <c r="N72" s="1" t="s">
        <v>13</v>
      </c>
      <c r="O72" s="1" t="s">
        <v>25</v>
      </c>
      <c r="P72" s="88" t="s">
        <v>15</v>
      </c>
      <c r="Q72" s="7" t="s">
        <v>28</v>
      </c>
    </row>
    <row r="73" spans="1:17" ht="86.25" customHeight="1" x14ac:dyDescent="0.25">
      <c r="A73" s="86" t="s">
        <v>182</v>
      </c>
      <c r="B73" s="15" t="s">
        <v>476</v>
      </c>
      <c r="C73" s="24" t="s">
        <v>476</v>
      </c>
      <c r="D73" s="15" t="s">
        <v>476</v>
      </c>
      <c r="E73" s="16" t="s">
        <v>476</v>
      </c>
      <c r="F73" s="66" t="str">
        <f>+"13-AUG-2013"</f>
        <v>13-AUG-2013</v>
      </c>
      <c r="G73" s="47">
        <f t="shared" si="1"/>
        <v>582</v>
      </c>
      <c r="H73" s="66" t="str">
        <f>+""</f>
        <v/>
      </c>
      <c r="I73" s="18"/>
      <c r="J73" s="1"/>
      <c r="K73" s="16"/>
      <c r="L73" s="1" t="s">
        <v>19</v>
      </c>
      <c r="M73" s="86" t="s">
        <v>183</v>
      </c>
      <c r="N73" s="1" t="s">
        <v>13</v>
      </c>
      <c r="O73" s="1" t="s">
        <v>14</v>
      </c>
      <c r="P73" s="1" t="s">
        <v>36</v>
      </c>
      <c r="Q73" s="7" t="s">
        <v>596</v>
      </c>
    </row>
    <row r="74" spans="1:17" ht="80.099999999999994" customHeight="1" x14ac:dyDescent="0.25">
      <c r="A74" s="86" t="s">
        <v>184</v>
      </c>
      <c r="B74" s="15">
        <v>41625</v>
      </c>
      <c r="C74" s="16" t="s">
        <v>476</v>
      </c>
      <c r="D74" s="15" t="s">
        <v>476</v>
      </c>
      <c r="E74" s="16" t="s">
        <v>476</v>
      </c>
      <c r="F74" s="66" t="str">
        <f>+"28-AUG-2013"</f>
        <v>28-AUG-2013</v>
      </c>
      <c r="G74" s="47">
        <f t="shared" si="1"/>
        <v>567</v>
      </c>
      <c r="H74" s="66" t="str">
        <f>+""</f>
        <v/>
      </c>
      <c r="I74" s="18"/>
      <c r="J74" s="86"/>
      <c r="K74" s="16"/>
      <c r="L74" s="1" t="s">
        <v>10</v>
      </c>
      <c r="M74" s="86" t="s">
        <v>185</v>
      </c>
      <c r="N74" s="1" t="s">
        <v>13</v>
      </c>
      <c r="O74" s="1" t="s">
        <v>14</v>
      </c>
      <c r="P74" s="1" t="s">
        <v>21</v>
      </c>
      <c r="Q74" s="7" t="s">
        <v>152</v>
      </c>
    </row>
    <row r="75" spans="1:17" ht="67.900000000000006" customHeight="1" x14ac:dyDescent="0.25">
      <c r="A75" s="86" t="s">
        <v>186</v>
      </c>
      <c r="B75" s="15">
        <v>41575</v>
      </c>
      <c r="C75" s="16">
        <v>41585</v>
      </c>
      <c r="D75" s="15" t="s">
        <v>476</v>
      </c>
      <c r="E75" s="16">
        <v>41625</v>
      </c>
      <c r="F75" s="66" t="str">
        <f>+"30-AUG-2013"</f>
        <v>30-AUG-2013</v>
      </c>
      <c r="G75" s="47">
        <f t="shared" si="1"/>
        <v>565</v>
      </c>
      <c r="H75" s="66" t="str">
        <f>+""</f>
        <v/>
      </c>
      <c r="I75" s="18"/>
      <c r="J75" s="86"/>
      <c r="K75" s="16"/>
      <c r="L75" s="1" t="s">
        <v>10</v>
      </c>
      <c r="M75" s="86" t="s">
        <v>187</v>
      </c>
      <c r="N75" s="1" t="s">
        <v>13</v>
      </c>
      <c r="O75" s="1" t="s">
        <v>14</v>
      </c>
      <c r="P75" s="1" t="s">
        <v>36</v>
      </c>
      <c r="Q75" s="7" t="s">
        <v>190</v>
      </c>
    </row>
    <row r="76" spans="1:17" ht="82.9" customHeight="1" x14ac:dyDescent="0.25">
      <c r="A76" s="86" t="s">
        <v>188</v>
      </c>
      <c r="B76" s="15">
        <v>41575</v>
      </c>
      <c r="C76" s="16">
        <v>41585</v>
      </c>
      <c r="D76" s="15" t="s">
        <v>476</v>
      </c>
      <c r="E76" s="16">
        <v>41625</v>
      </c>
      <c r="F76" s="66" t="str">
        <f>+"30-AUG-2013"</f>
        <v>30-AUG-2013</v>
      </c>
      <c r="G76" s="47">
        <f t="shared" si="1"/>
        <v>565</v>
      </c>
      <c r="H76" s="66" t="str">
        <f>+""</f>
        <v/>
      </c>
      <c r="I76" s="18"/>
      <c r="J76" s="86"/>
      <c r="K76" s="16"/>
      <c r="L76" s="1" t="s">
        <v>10</v>
      </c>
      <c r="M76" s="86" t="s">
        <v>189</v>
      </c>
      <c r="N76" s="1" t="s">
        <v>13</v>
      </c>
      <c r="O76" s="1" t="s">
        <v>14</v>
      </c>
      <c r="P76" s="1" t="s">
        <v>36</v>
      </c>
      <c r="Q76" s="7" t="s">
        <v>190</v>
      </c>
    </row>
    <row r="77" spans="1:17" ht="76.150000000000006" customHeight="1" x14ac:dyDescent="0.25">
      <c r="A77" s="86" t="s">
        <v>191</v>
      </c>
      <c r="B77" s="15">
        <v>41575</v>
      </c>
      <c r="C77" s="16">
        <v>41585</v>
      </c>
      <c r="D77" s="15" t="s">
        <v>476</v>
      </c>
      <c r="E77" s="16">
        <v>41625</v>
      </c>
      <c r="F77" s="66" t="str">
        <f>+"03-SEP-2013"</f>
        <v>03-SEP-2013</v>
      </c>
      <c r="G77" s="47">
        <f t="shared" si="1"/>
        <v>561</v>
      </c>
      <c r="H77" s="66" t="str">
        <f>+""</f>
        <v/>
      </c>
      <c r="I77" s="18"/>
      <c r="J77" s="86"/>
      <c r="K77" s="16"/>
      <c r="L77" s="1" t="s">
        <v>10</v>
      </c>
      <c r="M77" s="86" t="s">
        <v>192</v>
      </c>
      <c r="N77" s="1" t="s">
        <v>13</v>
      </c>
      <c r="O77" s="1" t="s">
        <v>14</v>
      </c>
      <c r="P77" s="1" t="s">
        <v>36</v>
      </c>
      <c r="Q77" s="7" t="s">
        <v>190</v>
      </c>
    </row>
    <row r="78" spans="1:17" ht="82.15" customHeight="1" x14ac:dyDescent="0.25">
      <c r="A78" s="86" t="s">
        <v>193</v>
      </c>
      <c r="B78" s="15">
        <v>41575</v>
      </c>
      <c r="C78" s="16">
        <v>41585</v>
      </c>
      <c r="D78" s="15" t="s">
        <v>476</v>
      </c>
      <c r="E78" s="16">
        <v>41625</v>
      </c>
      <c r="F78" s="66" t="str">
        <f>+"03-SEP-2013"</f>
        <v>03-SEP-2013</v>
      </c>
      <c r="G78" s="47">
        <f t="shared" si="1"/>
        <v>561</v>
      </c>
      <c r="H78" s="66" t="str">
        <f>+""</f>
        <v/>
      </c>
      <c r="I78" s="18"/>
      <c r="J78" s="1"/>
      <c r="K78" s="16"/>
      <c r="L78" s="1" t="s">
        <v>10</v>
      </c>
      <c r="M78" s="86" t="s">
        <v>194</v>
      </c>
      <c r="N78" s="1" t="s">
        <v>13</v>
      </c>
      <c r="O78" s="1" t="s">
        <v>14</v>
      </c>
      <c r="P78" s="1" t="s">
        <v>36</v>
      </c>
      <c r="Q78" s="89" t="s">
        <v>190</v>
      </c>
    </row>
    <row r="79" spans="1:17" ht="126" customHeight="1" x14ac:dyDescent="0.25">
      <c r="A79" s="86" t="s">
        <v>195</v>
      </c>
      <c r="B79" s="15">
        <v>41575</v>
      </c>
      <c r="C79" s="16">
        <v>41585</v>
      </c>
      <c r="D79" s="15" t="s">
        <v>476</v>
      </c>
      <c r="E79" s="16">
        <v>41625</v>
      </c>
      <c r="F79" s="66" t="str">
        <f>+"04-SEP-2013"</f>
        <v>04-SEP-2013</v>
      </c>
      <c r="G79" s="47">
        <f t="shared" si="1"/>
        <v>560</v>
      </c>
      <c r="H79" s="66" t="str">
        <f>+""</f>
        <v/>
      </c>
      <c r="I79" s="18"/>
      <c r="J79" s="86"/>
      <c r="K79" s="16"/>
      <c r="L79" s="86" t="s">
        <v>10</v>
      </c>
      <c r="M79" s="86" t="s">
        <v>196</v>
      </c>
      <c r="N79" s="86" t="s">
        <v>13</v>
      </c>
      <c r="O79" s="86" t="s">
        <v>14</v>
      </c>
      <c r="P79" s="86" t="s">
        <v>36</v>
      </c>
      <c r="Q79" s="89" t="s">
        <v>190</v>
      </c>
    </row>
    <row r="80" spans="1:17" ht="81.599999999999994" customHeight="1" x14ac:dyDescent="0.25">
      <c r="A80" s="59" t="s">
        <v>197</v>
      </c>
      <c r="B80" s="57">
        <v>41611</v>
      </c>
      <c r="C80" s="60">
        <v>41705</v>
      </c>
      <c r="D80" s="57">
        <v>41800</v>
      </c>
      <c r="E80" s="60">
        <v>41857</v>
      </c>
      <c r="F80" s="78" t="str">
        <f>+"16-SEP-2013"</f>
        <v>16-SEP-2013</v>
      </c>
      <c r="G80" s="47">
        <f t="shared" si="1"/>
        <v>548</v>
      </c>
      <c r="H80" s="78" t="str">
        <f>+""</f>
        <v/>
      </c>
      <c r="I80" s="58"/>
      <c r="J80" s="59"/>
      <c r="K80" s="60"/>
      <c r="L80" s="59" t="s">
        <v>10</v>
      </c>
      <c r="M80" s="59" t="s">
        <v>198</v>
      </c>
      <c r="N80" s="59" t="s">
        <v>13</v>
      </c>
      <c r="O80" s="59" t="s">
        <v>59</v>
      </c>
      <c r="P80" s="88" t="s">
        <v>36</v>
      </c>
      <c r="Q80" s="55" t="s">
        <v>57</v>
      </c>
    </row>
    <row r="81" spans="1:17" ht="89.65" customHeight="1" x14ac:dyDescent="0.25">
      <c r="A81" s="86" t="s">
        <v>384</v>
      </c>
      <c r="B81" s="15">
        <v>41626</v>
      </c>
      <c r="C81" s="16">
        <v>41669</v>
      </c>
      <c r="D81" s="15">
        <v>41816</v>
      </c>
      <c r="E81" s="16">
        <v>41891</v>
      </c>
      <c r="F81" s="66" t="str">
        <f>+"19-SEP-2013"</f>
        <v>19-SEP-2013</v>
      </c>
      <c r="G81" s="47">
        <f t="shared" si="1"/>
        <v>545</v>
      </c>
      <c r="H81" s="66" t="str">
        <f>+""</f>
        <v/>
      </c>
      <c r="I81" s="18"/>
      <c r="J81" s="86"/>
      <c r="K81" s="16"/>
      <c r="L81" s="86" t="s">
        <v>10</v>
      </c>
      <c r="M81" s="86" t="s">
        <v>385</v>
      </c>
      <c r="N81" s="86" t="s">
        <v>13</v>
      </c>
      <c r="O81" s="86" t="s">
        <v>48</v>
      </c>
      <c r="P81" s="86" t="s">
        <v>41</v>
      </c>
      <c r="Q81" s="89" t="s">
        <v>97</v>
      </c>
    </row>
    <row r="82" spans="1:17" ht="105.95" customHeight="1" x14ac:dyDescent="0.25">
      <c r="A82" s="86" t="s">
        <v>449</v>
      </c>
      <c r="B82" s="15">
        <v>41571</v>
      </c>
      <c r="C82" s="16">
        <v>41592</v>
      </c>
      <c r="D82" s="15">
        <v>41803</v>
      </c>
      <c r="E82" s="16">
        <v>41890</v>
      </c>
      <c r="F82" s="66" t="str">
        <f>+"19-SEP-2013"</f>
        <v>19-SEP-2013</v>
      </c>
      <c r="G82" s="47">
        <f t="shared" si="1"/>
        <v>545</v>
      </c>
      <c r="H82" s="66" t="str">
        <f>+""</f>
        <v/>
      </c>
      <c r="I82" s="18"/>
      <c r="J82" s="86"/>
      <c r="K82" s="16"/>
      <c r="L82" s="86" t="s">
        <v>10</v>
      </c>
      <c r="M82" s="86" t="s">
        <v>450</v>
      </c>
      <c r="N82" s="86" t="s">
        <v>13</v>
      </c>
      <c r="O82" s="86" t="s">
        <v>14</v>
      </c>
      <c r="P82" s="86" t="s">
        <v>21</v>
      </c>
      <c r="Q82" s="89" t="s">
        <v>65</v>
      </c>
    </row>
    <row r="83" spans="1:17" ht="126" customHeight="1" x14ac:dyDescent="0.25">
      <c r="A83" s="86" t="s">
        <v>206</v>
      </c>
      <c r="B83" s="15">
        <v>41618</v>
      </c>
      <c r="C83" s="16">
        <v>41688</v>
      </c>
      <c r="D83" s="15" t="s">
        <v>476</v>
      </c>
      <c r="E83" s="16" t="s">
        <v>476</v>
      </c>
      <c r="F83" s="66" t="str">
        <f>+"20-SEP-2013"</f>
        <v>20-SEP-2013</v>
      </c>
      <c r="G83" s="47">
        <f t="shared" si="1"/>
        <v>544</v>
      </c>
      <c r="H83" s="66" t="str">
        <f>+""</f>
        <v/>
      </c>
      <c r="I83" s="18"/>
      <c r="J83" s="86"/>
      <c r="K83" s="16"/>
      <c r="L83" s="1" t="s">
        <v>19</v>
      </c>
      <c r="M83" s="86" t="s">
        <v>577</v>
      </c>
      <c r="N83" s="1" t="s">
        <v>13</v>
      </c>
      <c r="O83" s="1" t="s">
        <v>17</v>
      </c>
      <c r="P83" s="1" t="s">
        <v>15</v>
      </c>
      <c r="Q83" s="7" t="s">
        <v>16</v>
      </c>
    </row>
    <row r="84" spans="1:17" ht="82.15" customHeight="1" x14ac:dyDescent="0.25">
      <c r="A84" s="86" t="s">
        <v>201</v>
      </c>
      <c r="B84" s="15" t="s">
        <v>476</v>
      </c>
      <c r="C84" s="16" t="s">
        <v>476</v>
      </c>
      <c r="D84" s="15" t="s">
        <v>476</v>
      </c>
      <c r="E84" s="16" t="s">
        <v>476</v>
      </c>
      <c r="F84" s="66" t="str">
        <f>+"23-SEP-2013"</f>
        <v>23-SEP-2013</v>
      </c>
      <c r="G84" s="47">
        <f t="shared" si="1"/>
        <v>541</v>
      </c>
      <c r="H84" s="66" t="str">
        <f>+""</f>
        <v/>
      </c>
      <c r="I84" s="18"/>
      <c r="J84" s="86"/>
      <c r="K84" s="16"/>
      <c r="L84" s="1" t="s">
        <v>19</v>
      </c>
      <c r="M84" s="86" t="s">
        <v>202</v>
      </c>
      <c r="N84" s="1" t="s">
        <v>13</v>
      </c>
      <c r="O84" s="1" t="s">
        <v>25</v>
      </c>
      <c r="P84" s="1" t="s">
        <v>36</v>
      </c>
      <c r="Q84" s="7" t="s">
        <v>49</v>
      </c>
    </row>
    <row r="85" spans="1:17" ht="126" customHeight="1" x14ac:dyDescent="0.25">
      <c r="A85" s="86" t="s">
        <v>203</v>
      </c>
      <c r="B85" s="15" t="s">
        <v>476</v>
      </c>
      <c r="C85" s="16" t="s">
        <v>476</v>
      </c>
      <c r="D85" s="15" t="s">
        <v>476</v>
      </c>
      <c r="E85" s="16" t="s">
        <v>476</v>
      </c>
      <c r="F85" s="66" t="str">
        <f>+"23-SEP-2013"</f>
        <v>23-SEP-2013</v>
      </c>
      <c r="G85" s="47">
        <f t="shared" si="1"/>
        <v>541</v>
      </c>
      <c r="H85" s="66" t="str">
        <f>+""</f>
        <v/>
      </c>
      <c r="I85" s="18"/>
      <c r="J85" s="1"/>
      <c r="K85" s="16"/>
      <c r="L85" s="1" t="s">
        <v>19</v>
      </c>
      <c r="M85" s="86" t="s">
        <v>204</v>
      </c>
      <c r="N85" s="1" t="s">
        <v>13</v>
      </c>
      <c r="O85" s="1" t="s">
        <v>87</v>
      </c>
      <c r="P85" s="1" t="s">
        <v>36</v>
      </c>
      <c r="Q85" s="7" t="s">
        <v>205</v>
      </c>
    </row>
    <row r="86" spans="1:17" ht="82.15" customHeight="1" x14ac:dyDescent="0.25">
      <c r="A86" s="86" t="s">
        <v>199</v>
      </c>
      <c r="B86" s="15" t="s">
        <v>476</v>
      </c>
      <c r="C86" s="16" t="s">
        <v>476</v>
      </c>
      <c r="D86" s="15" t="s">
        <v>476</v>
      </c>
      <c r="E86" s="16" t="s">
        <v>476</v>
      </c>
      <c r="F86" s="66" t="str">
        <f>+"25-SEP-2013"</f>
        <v>25-SEP-2013</v>
      </c>
      <c r="G86" s="47">
        <f t="shared" si="1"/>
        <v>539</v>
      </c>
      <c r="H86" s="66" t="str">
        <f>+""</f>
        <v/>
      </c>
      <c r="I86" s="18"/>
      <c r="J86" s="1"/>
      <c r="K86" s="16"/>
      <c r="L86" s="1" t="s">
        <v>10</v>
      </c>
      <c r="M86" s="86" t="s">
        <v>200</v>
      </c>
      <c r="N86" s="1" t="s">
        <v>13</v>
      </c>
      <c r="O86" s="1" t="s">
        <v>14</v>
      </c>
      <c r="P86" s="1" t="s">
        <v>36</v>
      </c>
      <c r="Q86" s="7" t="s">
        <v>152</v>
      </c>
    </row>
    <row r="87" spans="1:17" ht="160.35" customHeight="1" x14ac:dyDescent="0.25">
      <c r="A87" s="86" t="s">
        <v>386</v>
      </c>
      <c r="B87" s="15">
        <v>41648</v>
      </c>
      <c r="C87" s="16">
        <v>41681</v>
      </c>
      <c r="D87" s="15">
        <v>41913</v>
      </c>
      <c r="E87" s="16" t="s">
        <v>476</v>
      </c>
      <c r="F87" s="66" t="str">
        <f>+"03-OCT-2013"</f>
        <v>03-OCT-2013</v>
      </c>
      <c r="G87" s="47">
        <f t="shared" si="1"/>
        <v>531</v>
      </c>
      <c r="H87" s="66" t="str">
        <f>+""</f>
        <v/>
      </c>
      <c r="I87" s="18"/>
      <c r="J87" s="1"/>
      <c r="K87" s="16"/>
      <c r="L87" s="1" t="s">
        <v>10</v>
      </c>
      <c r="M87" s="86" t="s">
        <v>576</v>
      </c>
      <c r="N87" s="1" t="s">
        <v>13</v>
      </c>
      <c r="O87" s="1" t="s">
        <v>25</v>
      </c>
      <c r="P87" s="1" t="s">
        <v>36</v>
      </c>
      <c r="Q87" s="7" t="s">
        <v>149</v>
      </c>
    </row>
    <row r="88" spans="1:17" ht="126" customHeight="1" x14ac:dyDescent="0.25">
      <c r="A88" s="86" t="s">
        <v>207</v>
      </c>
      <c r="B88" s="15">
        <v>41703</v>
      </c>
      <c r="C88" s="16" t="s">
        <v>476</v>
      </c>
      <c r="D88" s="15" t="s">
        <v>476</v>
      </c>
      <c r="E88" s="16" t="s">
        <v>476</v>
      </c>
      <c r="F88" s="66" t="str">
        <f>+"10-OCT-2013"</f>
        <v>10-OCT-2013</v>
      </c>
      <c r="G88" s="47">
        <f t="shared" si="1"/>
        <v>524</v>
      </c>
      <c r="H88" s="66" t="str">
        <f>+""</f>
        <v/>
      </c>
      <c r="I88" s="18"/>
      <c r="J88" s="1"/>
      <c r="K88" s="16"/>
      <c r="L88" s="1" t="s">
        <v>19</v>
      </c>
      <c r="M88" s="86" t="s">
        <v>208</v>
      </c>
      <c r="N88" s="1" t="s">
        <v>13</v>
      </c>
      <c r="O88" s="1" t="s">
        <v>17</v>
      </c>
      <c r="P88" s="1" t="s">
        <v>36</v>
      </c>
      <c r="Q88" s="7" t="s">
        <v>57</v>
      </c>
    </row>
    <row r="89" spans="1:17" ht="165.2" customHeight="1" x14ac:dyDescent="0.25">
      <c r="A89" s="86" t="s">
        <v>338</v>
      </c>
      <c r="B89" s="15">
        <v>41647</v>
      </c>
      <c r="C89" s="16">
        <v>41684</v>
      </c>
      <c r="D89" s="15" t="s">
        <v>476</v>
      </c>
      <c r="E89" s="16" t="s">
        <v>476</v>
      </c>
      <c r="F89" s="66" t="str">
        <f>+"10-OCT-2013"</f>
        <v>10-OCT-2013</v>
      </c>
      <c r="G89" s="47">
        <f t="shared" si="1"/>
        <v>524</v>
      </c>
      <c r="H89" s="66" t="str">
        <f>+""</f>
        <v/>
      </c>
      <c r="I89" s="18"/>
      <c r="J89" s="1"/>
      <c r="K89" s="16"/>
      <c r="L89" s="1" t="s">
        <v>10</v>
      </c>
      <c r="M89" s="86" t="s">
        <v>339</v>
      </c>
      <c r="N89" s="1" t="s">
        <v>13</v>
      </c>
      <c r="O89" s="1" t="s">
        <v>87</v>
      </c>
      <c r="P89" s="1" t="s">
        <v>36</v>
      </c>
      <c r="Q89" s="7" t="s">
        <v>340</v>
      </c>
    </row>
    <row r="90" spans="1:17" ht="69.95" customHeight="1" x14ac:dyDescent="0.25">
      <c r="A90" s="86" t="s">
        <v>214</v>
      </c>
      <c r="B90" s="15" t="s">
        <v>476</v>
      </c>
      <c r="C90" s="16" t="s">
        <v>476</v>
      </c>
      <c r="D90" s="15" t="s">
        <v>476</v>
      </c>
      <c r="E90" s="16" t="s">
        <v>476</v>
      </c>
      <c r="F90" s="66" t="str">
        <f>+"22-OCT-2013"</f>
        <v>22-OCT-2013</v>
      </c>
      <c r="G90" s="47">
        <f t="shared" si="1"/>
        <v>512</v>
      </c>
      <c r="H90" s="66" t="str">
        <f>+""</f>
        <v/>
      </c>
      <c r="I90" s="18"/>
      <c r="J90" s="1"/>
      <c r="K90" s="16"/>
      <c r="L90" s="1" t="s">
        <v>19</v>
      </c>
      <c r="M90" s="86" t="s">
        <v>215</v>
      </c>
      <c r="N90" s="1" t="s">
        <v>13</v>
      </c>
      <c r="O90" s="1" t="s">
        <v>25</v>
      </c>
      <c r="P90" s="1" t="s">
        <v>36</v>
      </c>
      <c r="Q90" s="7" t="s">
        <v>57</v>
      </c>
    </row>
    <row r="91" spans="1:17" ht="126" customHeight="1" x14ac:dyDescent="0.25">
      <c r="A91" s="86" t="s">
        <v>210</v>
      </c>
      <c r="B91" s="15" t="s">
        <v>476</v>
      </c>
      <c r="C91" s="16" t="s">
        <v>476</v>
      </c>
      <c r="D91" s="15" t="s">
        <v>476</v>
      </c>
      <c r="E91" s="16" t="s">
        <v>476</v>
      </c>
      <c r="F91" s="66" t="str">
        <f>+"25-OCT-2013"</f>
        <v>25-OCT-2013</v>
      </c>
      <c r="G91" s="47">
        <f t="shared" si="1"/>
        <v>509</v>
      </c>
      <c r="H91" s="66" t="str">
        <f>+""</f>
        <v/>
      </c>
      <c r="I91" s="18"/>
      <c r="J91" s="1"/>
      <c r="K91" s="16"/>
      <c r="L91" s="1" t="s">
        <v>10</v>
      </c>
      <c r="M91" s="86" t="s">
        <v>211</v>
      </c>
      <c r="N91" s="1" t="s">
        <v>13</v>
      </c>
      <c r="O91" s="1" t="s">
        <v>14</v>
      </c>
      <c r="P91" s="86" t="s">
        <v>652</v>
      </c>
      <c r="Q91" s="7" t="s">
        <v>22</v>
      </c>
    </row>
    <row r="92" spans="1:17" ht="101.25" customHeight="1" x14ac:dyDescent="0.25">
      <c r="A92" s="86" t="s">
        <v>212</v>
      </c>
      <c r="B92" s="15" t="s">
        <v>476</v>
      </c>
      <c r="C92" s="16" t="s">
        <v>476</v>
      </c>
      <c r="D92" s="15" t="s">
        <v>476</v>
      </c>
      <c r="E92" s="16" t="s">
        <v>476</v>
      </c>
      <c r="F92" s="66" t="str">
        <f>+"28-OCT-2013"</f>
        <v>28-OCT-2013</v>
      </c>
      <c r="G92" s="47">
        <f t="shared" si="1"/>
        <v>506</v>
      </c>
      <c r="H92" s="66" t="str">
        <f>+""</f>
        <v/>
      </c>
      <c r="I92" s="18"/>
      <c r="J92" s="1"/>
      <c r="K92" s="16"/>
      <c r="L92" s="1" t="s">
        <v>10</v>
      </c>
      <c r="M92" s="86" t="s">
        <v>213</v>
      </c>
      <c r="N92" s="1" t="s">
        <v>13</v>
      </c>
      <c r="O92" s="1" t="s">
        <v>14</v>
      </c>
      <c r="P92" s="1" t="s">
        <v>36</v>
      </c>
      <c r="Q92" s="7" t="s">
        <v>22</v>
      </c>
    </row>
    <row r="93" spans="1:17" ht="76.150000000000006" customHeight="1" x14ac:dyDescent="0.25">
      <c r="A93" s="86" t="s">
        <v>219</v>
      </c>
      <c r="B93" s="15" t="s">
        <v>476</v>
      </c>
      <c r="C93" s="16" t="s">
        <v>476</v>
      </c>
      <c r="D93" s="15" t="s">
        <v>476</v>
      </c>
      <c r="E93" s="16" t="s">
        <v>476</v>
      </c>
      <c r="F93" s="66" t="str">
        <f>+"06-NOV-2013"</f>
        <v>06-NOV-2013</v>
      </c>
      <c r="G93" s="47">
        <f t="shared" si="1"/>
        <v>497</v>
      </c>
      <c r="H93" s="66" t="str">
        <f>+""</f>
        <v/>
      </c>
      <c r="I93" s="18"/>
      <c r="J93" s="1"/>
      <c r="K93" s="16"/>
      <c r="L93" s="1" t="s">
        <v>19</v>
      </c>
      <c r="M93" s="86" t="s">
        <v>220</v>
      </c>
      <c r="N93" s="1" t="s">
        <v>13</v>
      </c>
      <c r="O93" s="1" t="s">
        <v>25</v>
      </c>
      <c r="P93" s="1" t="s">
        <v>21</v>
      </c>
      <c r="Q93" s="7" t="s">
        <v>57</v>
      </c>
    </row>
    <row r="94" spans="1:17" ht="126" customHeight="1" x14ac:dyDescent="0.25">
      <c r="A94" s="86" t="s">
        <v>216</v>
      </c>
      <c r="B94" s="15">
        <v>41681</v>
      </c>
      <c r="C94" s="16">
        <v>41725</v>
      </c>
      <c r="D94" s="15">
        <v>42017</v>
      </c>
      <c r="E94" s="16" t="s">
        <v>476</v>
      </c>
      <c r="F94" s="66" t="str">
        <f>+"12-NOV-2013"</f>
        <v>12-NOV-2013</v>
      </c>
      <c r="G94" s="47">
        <f t="shared" si="1"/>
        <v>491</v>
      </c>
      <c r="H94" s="66" t="str">
        <f>+""</f>
        <v/>
      </c>
      <c r="I94" s="18"/>
      <c r="J94" s="1"/>
      <c r="K94" s="16"/>
      <c r="L94" s="1" t="s">
        <v>10</v>
      </c>
      <c r="M94" s="86" t="s">
        <v>217</v>
      </c>
      <c r="N94" s="1" t="s">
        <v>13</v>
      </c>
      <c r="O94" s="1" t="s">
        <v>14</v>
      </c>
      <c r="P94" s="1" t="s">
        <v>36</v>
      </c>
      <c r="Q94" s="7" t="s">
        <v>218</v>
      </c>
    </row>
    <row r="95" spans="1:17" ht="126" customHeight="1" x14ac:dyDescent="0.25">
      <c r="A95" s="86" t="s">
        <v>341</v>
      </c>
      <c r="B95" s="15">
        <v>41652</v>
      </c>
      <c r="C95" s="16">
        <v>41787</v>
      </c>
      <c r="D95" s="15">
        <v>41869</v>
      </c>
      <c r="E95" s="16">
        <v>41904</v>
      </c>
      <c r="F95" s="66" t="str">
        <f>+"12-NOV-2013"</f>
        <v>12-NOV-2013</v>
      </c>
      <c r="G95" s="47">
        <f t="shared" si="1"/>
        <v>491</v>
      </c>
      <c r="H95" s="66" t="str">
        <f>+""</f>
        <v/>
      </c>
      <c r="I95" s="18"/>
      <c r="J95" s="86"/>
      <c r="K95" s="16"/>
      <c r="L95" s="1" t="s">
        <v>10</v>
      </c>
      <c r="M95" s="86" t="s">
        <v>342</v>
      </c>
      <c r="N95" s="1" t="s">
        <v>13</v>
      </c>
      <c r="O95" s="1" t="s">
        <v>14</v>
      </c>
      <c r="P95" s="86" t="s">
        <v>652</v>
      </c>
      <c r="Q95" s="7" t="s">
        <v>134</v>
      </c>
    </row>
    <row r="96" spans="1:17" ht="126" customHeight="1" x14ac:dyDescent="0.25">
      <c r="A96" s="86" t="s">
        <v>451</v>
      </c>
      <c r="B96" s="15">
        <v>41619</v>
      </c>
      <c r="C96" s="16">
        <v>41661</v>
      </c>
      <c r="D96" s="15" t="s">
        <v>476</v>
      </c>
      <c r="E96" s="16" t="s">
        <v>476</v>
      </c>
      <c r="F96" s="66" t="str">
        <f>+"14-NOV-2013"</f>
        <v>14-NOV-2013</v>
      </c>
      <c r="G96" s="47">
        <f t="shared" si="1"/>
        <v>489</v>
      </c>
      <c r="H96" s="66" t="str">
        <f>+""</f>
        <v/>
      </c>
      <c r="I96" s="18"/>
      <c r="J96" s="1"/>
      <c r="K96" s="16"/>
      <c r="L96" s="1" t="s">
        <v>19</v>
      </c>
      <c r="M96" s="86" t="s">
        <v>452</v>
      </c>
      <c r="N96" s="1" t="s">
        <v>13</v>
      </c>
      <c r="O96" s="1" t="s">
        <v>14</v>
      </c>
      <c r="P96" s="1" t="s">
        <v>36</v>
      </c>
      <c r="Q96" s="7" t="s">
        <v>111</v>
      </c>
    </row>
    <row r="97" spans="1:17" ht="126" customHeight="1" x14ac:dyDescent="0.25">
      <c r="A97" s="86" t="s">
        <v>453</v>
      </c>
      <c r="B97" s="15" t="s">
        <v>476</v>
      </c>
      <c r="C97" s="16">
        <v>41774</v>
      </c>
      <c r="D97" s="15" t="s">
        <v>476</v>
      </c>
      <c r="E97" s="16" t="s">
        <v>476</v>
      </c>
      <c r="F97" s="66" t="str">
        <f>+"14-NOV-2013"</f>
        <v>14-NOV-2013</v>
      </c>
      <c r="G97" s="47">
        <f t="shared" si="1"/>
        <v>489</v>
      </c>
      <c r="H97" s="66" t="str">
        <f>+""</f>
        <v/>
      </c>
      <c r="I97" s="18"/>
      <c r="J97" s="1"/>
      <c r="K97" s="16"/>
      <c r="L97" s="1" t="s">
        <v>19</v>
      </c>
      <c r="M97" s="86" t="s">
        <v>454</v>
      </c>
      <c r="N97" s="1" t="s">
        <v>13</v>
      </c>
      <c r="O97" s="1" t="s">
        <v>14</v>
      </c>
      <c r="P97" s="86" t="s">
        <v>21</v>
      </c>
      <c r="Q97" s="7" t="s">
        <v>173</v>
      </c>
    </row>
    <row r="98" spans="1:17" ht="91.15" customHeight="1" x14ac:dyDescent="0.25">
      <c r="A98" s="86" t="s">
        <v>455</v>
      </c>
      <c r="B98" s="15">
        <v>41696</v>
      </c>
      <c r="C98" s="16">
        <v>41911</v>
      </c>
      <c r="D98" s="15" t="s">
        <v>476</v>
      </c>
      <c r="E98" s="16" t="s">
        <v>476</v>
      </c>
      <c r="F98" s="66" t="str">
        <f>+"14-NOV-2013"</f>
        <v>14-NOV-2013</v>
      </c>
      <c r="G98" s="47">
        <f t="shared" si="1"/>
        <v>489</v>
      </c>
      <c r="H98" s="66" t="str">
        <f>+""</f>
        <v/>
      </c>
      <c r="I98" s="18"/>
      <c r="J98" s="1"/>
      <c r="K98" s="16"/>
      <c r="L98" s="1" t="s">
        <v>19</v>
      </c>
      <c r="M98" s="86" t="s">
        <v>456</v>
      </c>
      <c r="N98" s="1" t="s">
        <v>13</v>
      </c>
      <c r="O98" s="1" t="s">
        <v>14</v>
      </c>
      <c r="P98" s="1" t="s">
        <v>36</v>
      </c>
      <c r="Q98" s="7" t="s">
        <v>152</v>
      </c>
    </row>
    <row r="99" spans="1:17" ht="126" customHeight="1" x14ac:dyDescent="0.25">
      <c r="A99" s="86" t="s">
        <v>221</v>
      </c>
      <c r="B99" s="15">
        <v>41787</v>
      </c>
      <c r="C99" s="16">
        <v>41934</v>
      </c>
      <c r="D99" s="15">
        <v>41988</v>
      </c>
      <c r="E99" s="16" t="s">
        <v>476</v>
      </c>
      <c r="F99" s="66" t="str">
        <f>+"02-DEC-2013"</f>
        <v>02-DEC-2013</v>
      </c>
      <c r="G99" s="47">
        <f t="shared" si="1"/>
        <v>471</v>
      </c>
      <c r="H99" s="66" t="str">
        <f>+""</f>
        <v/>
      </c>
      <c r="I99" s="18"/>
      <c r="J99" s="86"/>
      <c r="K99" s="16"/>
      <c r="L99" s="1" t="s">
        <v>19</v>
      </c>
      <c r="M99" s="86" t="s">
        <v>222</v>
      </c>
      <c r="N99" s="1" t="s">
        <v>13</v>
      </c>
      <c r="O99" s="1" t="s">
        <v>17</v>
      </c>
      <c r="P99" s="1" t="s">
        <v>15</v>
      </c>
      <c r="Q99" s="7" t="s">
        <v>28</v>
      </c>
    </row>
    <row r="100" spans="1:17" ht="63.95" customHeight="1" x14ac:dyDescent="0.25">
      <c r="A100" s="86" t="s">
        <v>225</v>
      </c>
      <c r="B100" s="15">
        <v>41878</v>
      </c>
      <c r="C100" s="16" t="s">
        <v>476</v>
      </c>
      <c r="D100" s="15" t="s">
        <v>476</v>
      </c>
      <c r="E100" s="16" t="s">
        <v>476</v>
      </c>
      <c r="F100" s="66" t="str">
        <f>+"02-DEC-2013"</f>
        <v>02-DEC-2013</v>
      </c>
      <c r="G100" s="47">
        <f t="shared" si="1"/>
        <v>471</v>
      </c>
      <c r="H100" s="66" t="str">
        <f>+""</f>
        <v/>
      </c>
      <c r="I100" s="18"/>
      <c r="J100" s="86"/>
      <c r="K100" s="16"/>
      <c r="L100" s="86" t="s">
        <v>19</v>
      </c>
      <c r="M100" s="86" t="s">
        <v>226</v>
      </c>
      <c r="N100" s="86" t="s">
        <v>13</v>
      </c>
      <c r="O100" s="86" t="s">
        <v>25</v>
      </c>
      <c r="P100" s="86" t="s">
        <v>41</v>
      </c>
      <c r="Q100" s="89" t="s">
        <v>149</v>
      </c>
    </row>
    <row r="101" spans="1:17" ht="75.400000000000006" customHeight="1" x14ac:dyDescent="0.25">
      <c r="A101" s="86" t="s">
        <v>223</v>
      </c>
      <c r="B101" s="15">
        <v>41765</v>
      </c>
      <c r="C101" s="16" t="s">
        <v>476</v>
      </c>
      <c r="D101" s="15" t="s">
        <v>476</v>
      </c>
      <c r="E101" s="16" t="s">
        <v>476</v>
      </c>
      <c r="F101" s="66" t="str">
        <f>+"04-DEC-2013"</f>
        <v>04-DEC-2013</v>
      </c>
      <c r="G101" s="47">
        <f t="shared" si="1"/>
        <v>469</v>
      </c>
      <c r="H101" s="66" t="str">
        <f>+""</f>
        <v/>
      </c>
      <c r="I101" s="18"/>
      <c r="J101" s="1"/>
      <c r="K101" s="16"/>
      <c r="L101" s="1" t="s">
        <v>19</v>
      </c>
      <c r="M101" s="86" t="s">
        <v>224</v>
      </c>
      <c r="N101" s="1" t="s">
        <v>13</v>
      </c>
      <c r="O101" s="1" t="s">
        <v>25</v>
      </c>
      <c r="P101" s="1" t="s">
        <v>41</v>
      </c>
      <c r="Q101" s="7" t="s">
        <v>49</v>
      </c>
    </row>
    <row r="102" spans="1:17" ht="82.15" customHeight="1" x14ac:dyDescent="0.25">
      <c r="A102" s="86" t="s">
        <v>343</v>
      </c>
      <c r="B102" s="15">
        <v>41759</v>
      </c>
      <c r="C102" s="16">
        <v>41822</v>
      </c>
      <c r="D102" s="15">
        <v>41974</v>
      </c>
      <c r="E102" s="16">
        <v>41780</v>
      </c>
      <c r="F102" s="66" t="str">
        <f>+"06-DEC-2013"</f>
        <v>06-DEC-2013</v>
      </c>
      <c r="G102" s="47">
        <f t="shared" si="1"/>
        <v>467</v>
      </c>
      <c r="H102" s="66" t="str">
        <f>+""</f>
        <v/>
      </c>
      <c r="I102" s="18"/>
      <c r="J102" s="1"/>
      <c r="K102" s="16"/>
      <c r="L102" s="86" t="s">
        <v>10</v>
      </c>
      <c r="M102" s="86" t="s">
        <v>344</v>
      </c>
      <c r="N102" s="86" t="s">
        <v>13</v>
      </c>
      <c r="O102" s="86" t="s">
        <v>25</v>
      </c>
      <c r="P102" s="1" t="s">
        <v>41</v>
      </c>
      <c r="Q102" s="89" t="s">
        <v>517</v>
      </c>
    </row>
    <row r="103" spans="1:17" ht="126" customHeight="1" x14ac:dyDescent="0.25">
      <c r="A103" s="86" t="s">
        <v>227</v>
      </c>
      <c r="B103" s="15">
        <v>41932</v>
      </c>
      <c r="C103" s="16">
        <v>41746</v>
      </c>
      <c r="D103" s="15">
        <v>42037</v>
      </c>
      <c r="E103" s="16" t="s">
        <v>476</v>
      </c>
      <c r="F103" s="66" t="str">
        <f>+"19-DEC-2013"</f>
        <v>19-DEC-2013</v>
      </c>
      <c r="G103" s="47">
        <f t="shared" si="1"/>
        <v>454</v>
      </c>
      <c r="H103" s="66" t="str">
        <f>+""</f>
        <v/>
      </c>
      <c r="I103" s="18"/>
      <c r="J103" s="1"/>
      <c r="K103" s="16"/>
      <c r="L103" s="1" t="s">
        <v>10</v>
      </c>
      <c r="M103" s="86" t="s">
        <v>583</v>
      </c>
      <c r="N103" s="1" t="s">
        <v>13</v>
      </c>
      <c r="O103" s="1" t="s">
        <v>59</v>
      </c>
      <c r="P103" s="1" t="s">
        <v>36</v>
      </c>
      <c r="Q103" s="7" t="s">
        <v>498</v>
      </c>
    </row>
    <row r="104" spans="1:17" ht="95.1" customHeight="1" x14ac:dyDescent="0.25">
      <c r="A104" s="86" t="s">
        <v>457</v>
      </c>
      <c r="B104" s="15">
        <v>41695</v>
      </c>
      <c r="C104" s="16">
        <v>41765</v>
      </c>
      <c r="D104" s="15" t="s">
        <v>476</v>
      </c>
      <c r="E104" s="16" t="s">
        <v>476</v>
      </c>
      <c r="F104" s="66" t="str">
        <f>+"19-DEC-2013"</f>
        <v>19-DEC-2013</v>
      </c>
      <c r="G104" s="47">
        <f t="shared" si="1"/>
        <v>454</v>
      </c>
      <c r="H104" s="66" t="str">
        <f>+""</f>
        <v/>
      </c>
      <c r="I104" s="18"/>
      <c r="J104" s="1"/>
      <c r="K104" s="16"/>
      <c r="L104" s="1" t="s">
        <v>10</v>
      </c>
      <c r="M104" s="86" t="s">
        <v>431</v>
      </c>
      <c r="N104" s="1" t="s">
        <v>13</v>
      </c>
      <c r="O104" s="1" t="s">
        <v>14</v>
      </c>
      <c r="P104" s="1" t="s">
        <v>41</v>
      </c>
      <c r="Q104" s="7" t="s">
        <v>767</v>
      </c>
    </row>
    <row r="105" spans="1:17" ht="126" customHeight="1" x14ac:dyDescent="0.25">
      <c r="A105" s="86" t="s">
        <v>458</v>
      </c>
      <c r="B105" s="15">
        <v>41681</v>
      </c>
      <c r="C105" s="16">
        <v>41821</v>
      </c>
      <c r="D105" s="15" t="s">
        <v>476</v>
      </c>
      <c r="E105" s="16" t="s">
        <v>476</v>
      </c>
      <c r="F105" s="66" t="str">
        <f>+"19-DEC-2013"</f>
        <v>19-DEC-2013</v>
      </c>
      <c r="G105" s="47">
        <f t="shared" si="1"/>
        <v>454</v>
      </c>
      <c r="H105" s="66" t="str">
        <f>+""</f>
        <v/>
      </c>
      <c r="I105" s="18"/>
      <c r="J105" s="1"/>
      <c r="K105" s="16"/>
      <c r="L105" s="1" t="s">
        <v>19</v>
      </c>
      <c r="M105" s="86" t="s">
        <v>459</v>
      </c>
      <c r="N105" s="1" t="s">
        <v>13</v>
      </c>
      <c r="O105" s="1" t="s">
        <v>17</v>
      </c>
      <c r="P105" s="1" t="s">
        <v>15</v>
      </c>
      <c r="Q105" s="7" t="s">
        <v>111</v>
      </c>
    </row>
    <row r="106" spans="1:17" ht="126" customHeight="1" x14ac:dyDescent="0.25">
      <c r="A106" s="86" t="s">
        <v>228</v>
      </c>
      <c r="B106" s="15">
        <v>41711</v>
      </c>
      <c r="C106" s="16">
        <v>41764</v>
      </c>
      <c r="D106" s="15" t="s">
        <v>476</v>
      </c>
      <c r="E106" s="16">
        <v>41733</v>
      </c>
      <c r="F106" s="66" t="str">
        <f>+"20-DEC-2013"</f>
        <v>20-DEC-2013</v>
      </c>
      <c r="G106" s="47">
        <f t="shared" si="1"/>
        <v>453</v>
      </c>
      <c r="H106" s="66" t="str">
        <f>+""</f>
        <v/>
      </c>
      <c r="I106" s="18"/>
      <c r="J106" s="1"/>
      <c r="K106" s="16"/>
      <c r="L106" s="1" t="s">
        <v>10</v>
      </c>
      <c r="M106" s="86" t="s">
        <v>229</v>
      </c>
      <c r="N106" s="1" t="s">
        <v>13</v>
      </c>
      <c r="O106" s="1" t="s">
        <v>59</v>
      </c>
      <c r="P106" s="86" t="s">
        <v>21</v>
      </c>
      <c r="Q106" s="7" t="s">
        <v>16</v>
      </c>
    </row>
    <row r="107" spans="1:17" ht="93.75" customHeight="1" x14ac:dyDescent="0.25">
      <c r="A107" s="86" t="s">
        <v>230</v>
      </c>
      <c r="B107" s="15">
        <v>41932</v>
      </c>
      <c r="C107" s="16" t="s">
        <v>476</v>
      </c>
      <c r="D107" s="15" t="s">
        <v>476</v>
      </c>
      <c r="E107" s="16">
        <v>42062</v>
      </c>
      <c r="F107" s="66" t="str">
        <f>+"23-DEC-2013"</f>
        <v>23-DEC-2013</v>
      </c>
      <c r="G107" s="47">
        <f t="shared" si="1"/>
        <v>450</v>
      </c>
      <c r="H107" s="66" t="str">
        <f>+""</f>
        <v/>
      </c>
      <c r="I107" s="18"/>
      <c r="J107" s="1"/>
      <c r="K107" s="16"/>
      <c r="L107" s="1" t="s">
        <v>19</v>
      </c>
      <c r="M107" s="86" t="s">
        <v>578</v>
      </c>
      <c r="N107" s="1" t="s">
        <v>13</v>
      </c>
      <c r="O107" s="1" t="s">
        <v>48</v>
      </c>
      <c r="P107" s="86" t="s">
        <v>652</v>
      </c>
      <c r="Q107" s="7" t="s">
        <v>97</v>
      </c>
    </row>
    <row r="108" spans="1:17" ht="126" customHeight="1" x14ac:dyDescent="0.25">
      <c r="A108" s="86" t="s">
        <v>231</v>
      </c>
      <c r="B108" s="15">
        <v>41730</v>
      </c>
      <c r="C108" s="16">
        <v>41746</v>
      </c>
      <c r="D108" s="15">
        <v>41807</v>
      </c>
      <c r="E108" s="16">
        <v>41855</v>
      </c>
      <c r="F108" s="66" t="str">
        <f>+"02-JAN-2014"</f>
        <v>02-JAN-2014</v>
      </c>
      <c r="G108" s="47">
        <f t="shared" si="1"/>
        <v>440</v>
      </c>
      <c r="H108" s="66" t="str">
        <f>+""</f>
        <v/>
      </c>
      <c r="I108" s="18"/>
      <c r="J108" s="1"/>
      <c r="K108" s="16"/>
      <c r="L108" s="1" t="s">
        <v>10</v>
      </c>
      <c r="M108" s="86" t="s">
        <v>582</v>
      </c>
      <c r="N108" s="1" t="s">
        <v>13</v>
      </c>
      <c r="O108" s="1" t="s">
        <v>17</v>
      </c>
      <c r="P108" s="1" t="s">
        <v>36</v>
      </c>
      <c r="Q108" s="7" t="s">
        <v>49</v>
      </c>
    </row>
    <row r="109" spans="1:17" ht="87.6" customHeight="1" x14ac:dyDescent="0.25">
      <c r="A109" s="86" t="s">
        <v>232</v>
      </c>
      <c r="B109" s="15">
        <v>41708</v>
      </c>
      <c r="C109" s="16">
        <v>41731</v>
      </c>
      <c r="D109" s="15">
        <v>41757</v>
      </c>
      <c r="E109" s="16">
        <v>41775</v>
      </c>
      <c r="F109" s="66" t="str">
        <f>+"10-JAN-2014"</f>
        <v>10-JAN-2014</v>
      </c>
      <c r="G109" s="47">
        <f t="shared" si="1"/>
        <v>432</v>
      </c>
      <c r="H109" s="66" t="str">
        <f>+""</f>
        <v/>
      </c>
      <c r="I109" s="18"/>
      <c r="J109" s="1"/>
      <c r="K109" s="16"/>
      <c r="L109" s="1" t="s">
        <v>10</v>
      </c>
      <c r="M109" s="86" t="s">
        <v>233</v>
      </c>
      <c r="N109" s="1" t="s">
        <v>13</v>
      </c>
      <c r="O109" s="1" t="s">
        <v>14</v>
      </c>
      <c r="P109" s="86" t="s">
        <v>41</v>
      </c>
      <c r="Q109" s="7" t="s">
        <v>541</v>
      </c>
    </row>
    <row r="110" spans="1:17" ht="91.15" customHeight="1" x14ac:dyDescent="0.25">
      <c r="A110" s="86" t="s">
        <v>345</v>
      </c>
      <c r="B110" s="15">
        <v>41792</v>
      </c>
      <c r="C110" s="16" t="s">
        <v>476</v>
      </c>
      <c r="D110" s="15" t="s">
        <v>476</v>
      </c>
      <c r="E110" s="16" t="s">
        <v>476</v>
      </c>
      <c r="F110" s="66" t="str">
        <f>+"10-JAN-2014"</f>
        <v>10-JAN-2014</v>
      </c>
      <c r="G110" s="47">
        <f t="shared" si="1"/>
        <v>432</v>
      </c>
      <c r="H110" s="66" t="str">
        <f>+""</f>
        <v/>
      </c>
      <c r="I110" s="18"/>
      <c r="J110" s="86"/>
      <c r="K110" s="16"/>
      <c r="L110" s="86" t="s">
        <v>10</v>
      </c>
      <c r="M110" s="86" t="s">
        <v>346</v>
      </c>
      <c r="N110" s="86" t="s">
        <v>13</v>
      </c>
      <c r="O110" s="86" t="s">
        <v>59</v>
      </c>
      <c r="P110" s="86" t="s">
        <v>21</v>
      </c>
      <c r="Q110" s="89" t="s">
        <v>33</v>
      </c>
    </row>
    <row r="111" spans="1:17" ht="126" customHeight="1" x14ac:dyDescent="0.25">
      <c r="A111" s="86" t="s">
        <v>387</v>
      </c>
      <c r="B111" s="15">
        <v>41746</v>
      </c>
      <c r="C111" s="16">
        <v>41802</v>
      </c>
      <c r="D111" s="15">
        <v>41842</v>
      </c>
      <c r="E111" s="16">
        <v>41908</v>
      </c>
      <c r="F111" s="66" t="str">
        <f>+"16-JAN-2014"</f>
        <v>16-JAN-2014</v>
      </c>
      <c r="G111" s="47">
        <f t="shared" si="1"/>
        <v>426</v>
      </c>
      <c r="H111" s="66" t="str">
        <f>+""</f>
        <v/>
      </c>
      <c r="I111" s="18"/>
      <c r="J111" s="86"/>
      <c r="K111" s="16"/>
      <c r="L111" s="86" t="s">
        <v>10</v>
      </c>
      <c r="M111" s="86" t="s">
        <v>581</v>
      </c>
      <c r="N111" s="86" t="s">
        <v>13</v>
      </c>
      <c r="O111" s="86" t="s">
        <v>48</v>
      </c>
      <c r="P111" s="86" t="s">
        <v>36</v>
      </c>
      <c r="Q111" s="89" t="s">
        <v>209</v>
      </c>
    </row>
    <row r="112" spans="1:17" ht="101.25" customHeight="1" x14ac:dyDescent="0.25">
      <c r="A112" s="86" t="s">
        <v>234</v>
      </c>
      <c r="B112" s="15">
        <v>41744</v>
      </c>
      <c r="C112" s="16">
        <v>41773</v>
      </c>
      <c r="D112" s="15">
        <v>41836</v>
      </c>
      <c r="E112" s="16" t="s">
        <v>476</v>
      </c>
      <c r="F112" s="66" t="str">
        <f>+"17-JAN-2014"</f>
        <v>17-JAN-2014</v>
      </c>
      <c r="G112" s="47">
        <f t="shared" si="1"/>
        <v>425</v>
      </c>
      <c r="H112" s="66" t="str">
        <f>+""</f>
        <v/>
      </c>
      <c r="I112" s="18"/>
      <c r="J112" s="86"/>
      <c r="K112" s="16"/>
      <c r="L112" s="86" t="s">
        <v>19</v>
      </c>
      <c r="M112" s="86" t="s">
        <v>621</v>
      </c>
      <c r="N112" s="86" t="s">
        <v>13</v>
      </c>
      <c r="O112" s="86" t="s">
        <v>17</v>
      </c>
      <c r="P112" s="86" t="s">
        <v>15</v>
      </c>
      <c r="Q112" s="89" t="s">
        <v>71</v>
      </c>
    </row>
    <row r="113" spans="1:17" ht="120.95" customHeight="1" x14ac:dyDescent="0.25">
      <c r="A113" s="86" t="s">
        <v>235</v>
      </c>
      <c r="B113" s="15">
        <v>41905</v>
      </c>
      <c r="C113" s="16" t="s">
        <v>476</v>
      </c>
      <c r="D113" s="15" t="s">
        <v>476</v>
      </c>
      <c r="E113" s="16" t="s">
        <v>476</v>
      </c>
      <c r="F113" s="66" t="str">
        <f>+"27-JAN-2014"</f>
        <v>27-JAN-2014</v>
      </c>
      <c r="G113" s="47">
        <f t="shared" si="1"/>
        <v>415</v>
      </c>
      <c r="H113" s="66" t="str">
        <f>+""</f>
        <v/>
      </c>
      <c r="I113" s="18"/>
      <c r="J113" s="86"/>
      <c r="K113" s="16"/>
      <c r="L113" s="86" t="s">
        <v>19</v>
      </c>
      <c r="M113" s="86" t="s">
        <v>236</v>
      </c>
      <c r="N113" s="86" t="s">
        <v>13</v>
      </c>
      <c r="O113" s="86" t="s">
        <v>25</v>
      </c>
      <c r="P113" s="1" t="s">
        <v>41</v>
      </c>
      <c r="Q113" s="7" t="s">
        <v>28</v>
      </c>
    </row>
    <row r="114" spans="1:17" ht="116.85" customHeight="1" x14ac:dyDescent="0.25">
      <c r="A114" s="86" t="s">
        <v>239</v>
      </c>
      <c r="B114" s="15">
        <v>41877</v>
      </c>
      <c r="C114" s="16" t="s">
        <v>476</v>
      </c>
      <c r="D114" s="15" t="s">
        <v>476</v>
      </c>
      <c r="E114" s="16" t="s">
        <v>476</v>
      </c>
      <c r="F114" s="66" t="str">
        <f>+"30-JAN-2014"</f>
        <v>30-JAN-2014</v>
      </c>
      <c r="G114" s="47">
        <f t="shared" si="1"/>
        <v>412</v>
      </c>
      <c r="H114" s="66" t="str">
        <f>+""</f>
        <v/>
      </c>
      <c r="I114" s="18"/>
      <c r="J114" s="86"/>
      <c r="K114" s="16"/>
      <c r="L114" s="86" t="s">
        <v>19</v>
      </c>
      <c r="M114" s="86" t="s">
        <v>240</v>
      </c>
      <c r="N114" s="1" t="s">
        <v>13</v>
      </c>
      <c r="O114" s="1" t="s">
        <v>25</v>
      </c>
      <c r="P114" s="1" t="s">
        <v>41</v>
      </c>
      <c r="Q114" s="89" t="s">
        <v>149</v>
      </c>
    </row>
    <row r="115" spans="1:17" ht="83.65" customHeight="1" x14ac:dyDescent="0.25">
      <c r="A115" s="86" t="s">
        <v>237</v>
      </c>
      <c r="B115" s="15">
        <v>41731</v>
      </c>
      <c r="C115" s="16">
        <v>41774</v>
      </c>
      <c r="D115" s="15">
        <v>42011</v>
      </c>
      <c r="E115" s="16">
        <v>42061</v>
      </c>
      <c r="F115" s="66" t="str">
        <f>+"31-JAN-2014"</f>
        <v>31-JAN-2014</v>
      </c>
      <c r="G115" s="47">
        <f t="shared" si="1"/>
        <v>411</v>
      </c>
      <c r="H115" s="66" t="str">
        <f>+""</f>
        <v/>
      </c>
      <c r="I115" s="18"/>
      <c r="J115" s="86"/>
      <c r="K115" s="16"/>
      <c r="L115" s="86" t="s">
        <v>10</v>
      </c>
      <c r="M115" s="86" t="s">
        <v>238</v>
      </c>
      <c r="N115" s="86" t="s">
        <v>13</v>
      </c>
      <c r="O115" s="86" t="s">
        <v>14</v>
      </c>
      <c r="P115" s="88" t="s">
        <v>21</v>
      </c>
      <c r="Q115" s="7" t="s">
        <v>47</v>
      </c>
    </row>
    <row r="116" spans="1:17" ht="126" customHeight="1" x14ac:dyDescent="0.25">
      <c r="A116" s="86" t="s">
        <v>241</v>
      </c>
      <c r="B116" s="15">
        <v>41878</v>
      </c>
      <c r="C116" s="16" t="s">
        <v>476</v>
      </c>
      <c r="D116" s="15" t="s">
        <v>476</v>
      </c>
      <c r="E116" s="16" t="s">
        <v>476</v>
      </c>
      <c r="F116" s="66" t="str">
        <f>+"31-JAN-2014"</f>
        <v>31-JAN-2014</v>
      </c>
      <c r="G116" s="47">
        <f t="shared" si="1"/>
        <v>411</v>
      </c>
      <c r="H116" s="66" t="str">
        <f>+""</f>
        <v/>
      </c>
      <c r="I116" s="18"/>
      <c r="J116" s="86"/>
      <c r="K116" s="16"/>
      <c r="L116" s="86" t="s">
        <v>19</v>
      </c>
      <c r="M116" s="86" t="s">
        <v>242</v>
      </c>
      <c r="N116" s="86" t="s">
        <v>13</v>
      </c>
      <c r="O116" s="86" t="s">
        <v>25</v>
      </c>
      <c r="P116" s="1" t="s">
        <v>41</v>
      </c>
      <c r="Q116" s="7" t="s">
        <v>149</v>
      </c>
    </row>
    <row r="117" spans="1:17" ht="103.35" customHeight="1" x14ac:dyDescent="0.25">
      <c r="A117" s="86" t="s">
        <v>460</v>
      </c>
      <c r="B117" s="15">
        <v>41746</v>
      </c>
      <c r="C117" s="16">
        <v>41779</v>
      </c>
      <c r="D117" s="15" t="s">
        <v>476</v>
      </c>
      <c r="E117" s="16" t="s">
        <v>476</v>
      </c>
      <c r="F117" s="66" t="str">
        <f>+"05-FEB-2014"</f>
        <v>05-FEB-2014</v>
      </c>
      <c r="G117" s="47">
        <f t="shared" si="1"/>
        <v>406</v>
      </c>
      <c r="H117" s="66" t="str">
        <f>+""</f>
        <v/>
      </c>
      <c r="I117" s="18"/>
      <c r="J117" s="86"/>
      <c r="K117" s="16"/>
      <c r="L117" s="86" t="s">
        <v>10</v>
      </c>
      <c r="M117" s="86" t="s">
        <v>579</v>
      </c>
      <c r="N117" s="86" t="s">
        <v>13</v>
      </c>
      <c r="O117" s="86" t="s">
        <v>14</v>
      </c>
      <c r="P117" s="1" t="s">
        <v>36</v>
      </c>
      <c r="Q117" s="7" t="s">
        <v>461</v>
      </c>
    </row>
    <row r="118" spans="1:17" ht="150.75" customHeight="1" x14ac:dyDescent="0.25">
      <c r="A118" s="86" t="s">
        <v>347</v>
      </c>
      <c r="B118" s="15">
        <v>41814</v>
      </c>
      <c r="C118" s="16" t="s">
        <v>476</v>
      </c>
      <c r="D118" s="15" t="s">
        <v>476</v>
      </c>
      <c r="E118" s="16" t="s">
        <v>476</v>
      </c>
      <c r="F118" s="66" t="str">
        <f>+"25-FEB-2014"</f>
        <v>25-FEB-2014</v>
      </c>
      <c r="G118" s="47">
        <f t="shared" si="1"/>
        <v>386</v>
      </c>
      <c r="H118" s="66" t="str">
        <f>+""</f>
        <v/>
      </c>
      <c r="I118" s="18"/>
      <c r="J118" s="86"/>
      <c r="K118" s="16"/>
      <c r="L118" s="86" t="s">
        <v>10</v>
      </c>
      <c r="M118" s="86" t="s">
        <v>348</v>
      </c>
      <c r="N118" s="86" t="s">
        <v>13</v>
      </c>
      <c r="O118" s="86" t="s">
        <v>17</v>
      </c>
      <c r="P118" s="1" t="s">
        <v>15</v>
      </c>
      <c r="Q118" s="7" t="s">
        <v>349</v>
      </c>
    </row>
    <row r="119" spans="1:17" ht="101.25" customHeight="1" x14ac:dyDescent="0.25">
      <c r="A119" s="86" t="s">
        <v>244</v>
      </c>
      <c r="B119" s="15">
        <v>41778</v>
      </c>
      <c r="C119" s="16">
        <v>41794</v>
      </c>
      <c r="D119" s="15" t="s">
        <v>476</v>
      </c>
      <c r="E119" s="16" t="s">
        <v>476</v>
      </c>
      <c r="F119" s="66" t="str">
        <f>+"28-FEB-2014"</f>
        <v>28-FEB-2014</v>
      </c>
      <c r="G119" s="47">
        <f t="shared" si="1"/>
        <v>383</v>
      </c>
      <c r="H119" s="66" t="str">
        <f>+""</f>
        <v/>
      </c>
      <c r="I119" s="18"/>
      <c r="J119" s="86"/>
      <c r="K119" s="16"/>
      <c r="L119" s="86" t="s">
        <v>10</v>
      </c>
      <c r="M119" s="86" t="s">
        <v>245</v>
      </c>
      <c r="N119" s="86" t="s">
        <v>13</v>
      </c>
      <c r="O119" s="86" t="s">
        <v>14</v>
      </c>
      <c r="P119" s="1" t="s">
        <v>21</v>
      </c>
      <c r="Q119" s="7" t="s">
        <v>47</v>
      </c>
    </row>
    <row r="120" spans="1:17" ht="48.2" customHeight="1" x14ac:dyDescent="0.25">
      <c r="A120" s="86" t="s">
        <v>250</v>
      </c>
      <c r="B120" s="15" t="s">
        <v>476</v>
      </c>
      <c r="C120" s="16" t="s">
        <v>476</v>
      </c>
      <c r="D120" s="15" t="s">
        <v>476</v>
      </c>
      <c r="E120" s="16" t="s">
        <v>476</v>
      </c>
      <c r="F120" s="66" t="str">
        <f>+"05-MAR-2014"</f>
        <v>05-MAR-2014</v>
      </c>
      <c r="G120" s="47">
        <f t="shared" si="1"/>
        <v>378</v>
      </c>
      <c r="H120" s="66" t="str">
        <f>+""</f>
        <v/>
      </c>
      <c r="I120" s="18"/>
      <c r="J120" s="86"/>
      <c r="K120" s="16"/>
      <c r="L120" s="86" t="s">
        <v>19</v>
      </c>
      <c r="M120" s="86" t="s">
        <v>251</v>
      </c>
      <c r="N120" s="86" t="s">
        <v>13</v>
      </c>
      <c r="O120" s="86" t="s">
        <v>25</v>
      </c>
      <c r="P120" s="1" t="s">
        <v>41</v>
      </c>
      <c r="Q120" s="7" t="s">
        <v>49</v>
      </c>
    </row>
    <row r="121" spans="1:17" ht="154.15" customHeight="1" x14ac:dyDescent="0.25">
      <c r="A121" s="86" t="s">
        <v>248</v>
      </c>
      <c r="B121" s="15" t="s">
        <v>476</v>
      </c>
      <c r="C121" s="16" t="s">
        <v>476</v>
      </c>
      <c r="D121" s="15" t="s">
        <v>476</v>
      </c>
      <c r="E121" s="16" t="s">
        <v>476</v>
      </c>
      <c r="F121" s="66" t="str">
        <f>+"10-MAR-2014"</f>
        <v>10-MAR-2014</v>
      </c>
      <c r="G121" s="47">
        <f t="shared" si="1"/>
        <v>373</v>
      </c>
      <c r="H121" s="66" t="str">
        <f>+""</f>
        <v/>
      </c>
      <c r="I121" s="18"/>
      <c r="J121" s="86"/>
      <c r="K121" s="16"/>
      <c r="L121" s="86" t="s">
        <v>19</v>
      </c>
      <c r="M121" s="86" t="s">
        <v>249</v>
      </c>
      <c r="N121" s="86" t="s">
        <v>13</v>
      </c>
      <c r="O121" s="86" t="s">
        <v>25</v>
      </c>
      <c r="P121" s="1" t="s">
        <v>36</v>
      </c>
      <c r="Q121" s="7" t="s">
        <v>58</v>
      </c>
    </row>
    <row r="122" spans="1:17" ht="126" customHeight="1" x14ac:dyDescent="0.25">
      <c r="A122" s="86" t="s">
        <v>462</v>
      </c>
      <c r="B122" s="15" t="s">
        <v>476</v>
      </c>
      <c r="C122" s="16" t="s">
        <v>476</v>
      </c>
      <c r="D122" s="15" t="s">
        <v>476</v>
      </c>
      <c r="E122" s="16" t="s">
        <v>476</v>
      </c>
      <c r="F122" s="66" t="str">
        <f>+"13-MAR-2014"</f>
        <v>13-MAR-2014</v>
      </c>
      <c r="G122" s="47">
        <f t="shared" si="1"/>
        <v>370</v>
      </c>
      <c r="H122" s="66" t="str">
        <f>+""</f>
        <v/>
      </c>
      <c r="I122" s="18"/>
      <c r="J122" s="86"/>
      <c r="K122" s="16"/>
      <c r="L122" s="86" t="s">
        <v>10</v>
      </c>
      <c r="M122" s="86" t="s">
        <v>463</v>
      </c>
      <c r="N122" s="86" t="s">
        <v>13</v>
      </c>
      <c r="O122" s="86" t="s">
        <v>59</v>
      </c>
      <c r="P122" s="1" t="s">
        <v>36</v>
      </c>
      <c r="Q122" s="7" t="s">
        <v>57</v>
      </c>
    </row>
    <row r="123" spans="1:17" ht="98.45" customHeight="1" x14ac:dyDescent="0.25">
      <c r="A123" s="86" t="s">
        <v>464</v>
      </c>
      <c r="B123" s="15">
        <v>41758</v>
      </c>
      <c r="C123" s="16">
        <v>41827</v>
      </c>
      <c r="D123" s="15" t="s">
        <v>476</v>
      </c>
      <c r="E123" s="16" t="s">
        <v>476</v>
      </c>
      <c r="F123" s="66" t="str">
        <f>+"13-MAR-2014"</f>
        <v>13-MAR-2014</v>
      </c>
      <c r="G123" s="47">
        <f t="shared" si="1"/>
        <v>370</v>
      </c>
      <c r="H123" s="66" t="str">
        <f>+""</f>
        <v/>
      </c>
      <c r="I123" s="18"/>
      <c r="J123" s="86"/>
      <c r="K123" s="16"/>
      <c r="L123" s="86" t="s">
        <v>19</v>
      </c>
      <c r="M123" s="86" t="s">
        <v>465</v>
      </c>
      <c r="N123" s="86" t="s">
        <v>13</v>
      </c>
      <c r="O123" s="86" t="s">
        <v>59</v>
      </c>
      <c r="P123" s="1" t="s">
        <v>36</v>
      </c>
      <c r="Q123" s="7" t="s">
        <v>57</v>
      </c>
    </row>
    <row r="124" spans="1:17" ht="126" customHeight="1" x14ac:dyDescent="0.25">
      <c r="A124" s="86" t="s">
        <v>246</v>
      </c>
      <c r="B124" s="15">
        <v>41843</v>
      </c>
      <c r="C124" s="16">
        <v>41915</v>
      </c>
      <c r="D124" s="15">
        <v>41990</v>
      </c>
      <c r="E124" s="16" t="s">
        <v>476</v>
      </c>
      <c r="F124" s="66" t="str">
        <f>+"14-MAR-2014"</f>
        <v>14-MAR-2014</v>
      </c>
      <c r="G124" s="47">
        <f t="shared" si="1"/>
        <v>369</v>
      </c>
      <c r="H124" s="66" t="str">
        <f>+""</f>
        <v/>
      </c>
      <c r="I124" s="18"/>
      <c r="J124" s="86"/>
      <c r="K124" s="16"/>
      <c r="L124" s="86" t="s">
        <v>10</v>
      </c>
      <c r="M124" s="86" t="s">
        <v>247</v>
      </c>
      <c r="N124" s="86" t="s">
        <v>13</v>
      </c>
      <c r="O124" s="86" t="s">
        <v>25</v>
      </c>
      <c r="P124" s="1" t="s">
        <v>36</v>
      </c>
      <c r="Q124" s="7" t="s">
        <v>28</v>
      </c>
    </row>
    <row r="125" spans="1:17" ht="78.75" customHeight="1" x14ac:dyDescent="0.25">
      <c r="A125" s="86" t="s">
        <v>252</v>
      </c>
      <c r="B125" s="15">
        <v>41829</v>
      </c>
      <c r="C125" s="16">
        <v>41844</v>
      </c>
      <c r="D125" s="15" t="s">
        <v>476</v>
      </c>
      <c r="E125" s="16" t="s">
        <v>476</v>
      </c>
      <c r="F125" s="66" t="str">
        <f>+"24-MAR-2014"</f>
        <v>24-MAR-2014</v>
      </c>
      <c r="G125" s="47">
        <f t="shared" si="1"/>
        <v>359</v>
      </c>
      <c r="H125" s="66" t="str">
        <f>+""</f>
        <v/>
      </c>
      <c r="I125" s="18"/>
      <c r="J125" s="86"/>
      <c r="K125" s="16"/>
      <c r="L125" s="86" t="s">
        <v>10</v>
      </c>
      <c r="M125" s="86" t="s">
        <v>253</v>
      </c>
      <c r="N125" s="86" t="s">
        <v>13</v>
      </c>
      <c r="O125" s="86" t="s">
        <v>14</v>
      </c>
      <c r="P125" s="88" t="s">
        <v>36</v>
      </c>
      <c r="Q125" s="89" t="s">
        <v>254</v>
      </c>
    </row>
    <row r="126" spans="1:17" ht="126" customHeight="1" x14ac:dyDescent="0.25">
      <c r="A126" s="82" t="s">
        <v>589</v>
      </c>
      <c r="B126" s="16" t="s">
        <v>476</v>
      </c>
      <c r="C126" s="16" t="s">
        <v>476</v>
      </c>
      <c r="D126" s="16" t="s">
        <v>476</v>
      </c>
      <c r="E126" s="16" t="s">
        <v>476</v>
      </c>
      <c r="F126" s="77" t="str">
        <f>+"24-MAR-2014"</f>
        <v>24-MAR-2014</v>
      </c>
      <c r="G126" s="47">
        <f t="shared" si="1"/>
        <v>359</v>
      </c>
      <c r="H126" s="74"/>
      <c r="I126" s="18"/>
      <c r="J126" s="86"/>
      <c r="K126" s="16"/>
      <c r="L126" s="86" t="s">
        <v>10</v>
      </c>
      <c r="M126" s="86" t="s">
        <v>593</v>
      </c>
      <c r="N126" s="86" t="s">
        <v>13</v>
      </c>
      <c r="O126" s="86" t="s">
        <v>17</v>
      </c>
      <c r="P126" s="1" t="s">
        <v>41</v>
      </c>
      <c r="Q126" s="89" t="s">
        <v>592</v>
      </c>
    </row>
    <row r="127" spans="1:17" ht="108.75" customHeight="1" x14ac:dyDescent="0.25">
      <c r="A127" s="86" t="s">
        <v>466</v>
      </c>
      <c r="B127" s="15" t="s">
        <v>476</v>
      </c>
      <c r="C127" s="16" t="s">
        <v>476</v>
      </c>
      <c r="D127" s="15" t="s">
        <v>476</v>
      </c>
      <c r="E127" s="16" t="s">
        <v>476</v>
      </c>
      <c r="F127" s="66" t="str">
        <f>+"27-MAR-2014"</f>
        <v>27-MAR-2014</v>
      </c>
      <c r="G127" s="47">
        <f t="shared" si="1"/>
        <v>356</v>
      </c>
      <c r="H127" s="66" t="str">
        <f>+""</f>
        <v/>
      </c>
      <c r="I127" s="18"/>
      <c r="J127" s="86"/>
      <c r="K127" s="16"/>
      <c r="L127" s="86" t="s">
        <v>19</v>
      </c>
      <c r="M127" s="86" t="s">
        <v>467</v>
      </c>
      <c r="N127" s="86" t="s">
        <v>13</v>
      </c>
      <c r="O127" s="86" t="s">
        <v>14</v>
      </c>
      <c r="P127" s="88" t="s">
        <v>36</v>
      </c>
      <c r="Q127" s="89" t="s">
        <v>108</v>
      </c>
    </row>
    <row r="128" spans="1:17" ht="143.44999999999999" customHeight="1" x14ac:dyDescent="0.25">
      <c r="A128" s="86" t="s">
        <v>255</v>
      </c>
      <c r="B128" s="15">
        <v>41778</v>
      </c>
      <c r="C128" s="16">
        <v>41789</v>
      </c>
      <c r="D128" s="15">
        <v>42038</v>
      </c>
      <c r="E128" s="16" t="s">
        <v>476</v>
      </c>
      <c r="F128" s="66" t="str">
        <f>+"01-APR-2014"</f>
        <v>01-APR-2014</v>
      </c>
      <c r="G128" s="47">
        <f t="shared" si="1"/>
        <v>351</v>
      </c>
      <c r="H128" s="66" t="str">
        <f>+""</f>
        <v/>
      </c>
      <c r="I128" s="18"/>
      <c r="J128" s="86"/>
      <c r="K128" s="16"/>
      <c r="L128" s="86" t="s">
        <v>10</v>
      </c>
      <c r="M128" s="86" t="s">
        <v>256</v>
      </c>
      <c r="N128" s="86" t="s">
        <v>13</v>
      </c>
      <c r="O128" s="86" t="s">
        <v>14</v>
      </c>
      <c r="P128" s="1" t="s">
        <v>21</v>
      </c>
      <c r="Q128" s="89" t="s">
        <v>71</v>
      </c>
    </row>
    <row r="129" spans="1:17" ht="68.650000000000006" customHeight="1" x14ac:dyDescent="0.25">
      <c r="A129" s="86" t="s">
        <v>266</v>
      </c>
      <c r="B129" s="15">
        <v>41814</v>
      </c>
      <c r="C129" s="16" t="s">
        <v>476</v>
      </c>
      <c r="D129" s="15" t="s">
        <v>476</v>
      </c>
      <c r="E129" s="16" t="s">
        <v>476</v>
      </c>
      <c r="F129" s="66" t="str">
        <f>+"04-APR-2014"</f>
        <v>04-APR-2014</v>
      </c>
      <c r="G129" s="47">
        <f t="shared" si="1"/>
        <v>348</v>
      </c>
      <c r="H129" s="66" t="str">
        <f>+""</f>
        <v/>
      </c>
      <c r="I129" s="18"/>
      <c r="J129" s="86"/>
      <c r="K129" s="16"/>
      <c r="L129" s="86" t="s">
        <v>10</v>
      </c>
      <c r="M129" s="86" t="s">
        <v>267</v>
      </c>
      <c r="N129" s="86" t="s">
        <v>13</v>
      </c>
      <c r="O129" s="86" t="s">
        <v>25</v>
      </c>
      <c r="P129" s="1" t="s">
        <v>41</v>
      </c>
      <c r="Q129" s="89" t="s">
        <v>58</v>
      </c>
    </row>
    <row r="130" spans="1:17" ht="86.25" customHeight="1" x14ac:dyDescent="0.25">
      <c r="A130" s="86" t="s">
        <v>257</v>
      </c>
      <c r="B130" s="15" t="s">
        <v>476</v>
      </c>
      <c r="C130" s="16" t="s">
        <v>476</v>
      </c>
      <c r="D130" s="15" t="s">
        <v>476</v>
      </c>
      <c r="E130" s="16" t="s">
        <v>476</v>
      </c>
      <c r="F130" s="66" t="str">
        <f>+"07-APR-2014"</f>
        <v>07-APR-2014</v>
      </c>
      <c r="G130" s="47">
        <f t="shared" si="1"/>
        <v>345</v>
      </c>
      <c r="H130" s="66" t="str">
        <f>+""</f>
        <v/>
      </c>
      <c r="I130" s="18"/>
      <c r="J130" s="86"/>
      <c r="K130" s="16"/>
      <c r="L130" s="1" t="s">
        <v>10</v>
      </c>
      <c r="M130" s="86" t="s">
        <v>258</v>
      </c>
      <c r="N130" s="1" t="s">
        <v>13</v>
      </c>
      <c r="O130" s="1" t="s">
        <v>14</v>
      </c>
      <c r="P130" s="1" t="s">
        <v>41</v>
      </c>
      <c r="Q130" s="89" t="s">
        <v>22</v>
      </c>
    </row>
    <row r="131" spans="1:17" ht="101.25" customHeight="1" x14ac:dyDescent="0.25">
      <c r="A131" s="86" t="s">
        <v>259</v>
      </c>
      <c r="B131" s="15">
        <v>41822</v>
      </c>
      <c r="C131" s="16">
        <v>41865</v>
      </c>
      <c r="D131" s="15">
        <v>41990</v>
      </c>
      <c r="E131" s="16" t="s">
        <v>476</v>
      </c>
      <c r="F131" s="66" t="str">
        <f>+"11-APR-2014"</f>
        <v>11-APR-2014</v>
      </c>
      <c r="G131" s="47">
        <f t="shared" ref="G131:G194" si="2">DATE(2015, 3, 18)- F131</f>
        <v>341</v>
      </c>
      <c r="H131" s="66" t="str">
        <f>+""</f>
        <v/>
      </c>
      <c r="I131" s="18"/>
      <c r="J131" s="86"/>
      <c r="K131" s="16"/>
      <c r="L131" s="1" t="s">
        <v>10</v>
      </c>
      <c r="M131" s="86" t="s">
        <v>260</v>
      </c>
      <c r="N131" s="1" t="s">
        <v>13</v>
      </c>
      <c r="O131" s="1" t="s">
        <v>25</v>
      </c>
      <c r="P131" s="1" t="s">
        <v>36</v>
      </c>
      <c r="Q131" s="89" t="s">
        <v>33</v>
      </c>
    </row>
    <row r="132" spans="1:17" ht="95.85" customHeight="1" x14ac:dyDescent="0.25">
      <c r="A132" s="86" t="s">
        <v>261</v>
      </c>
      <c r="B132" s="15">
        <v>41864</v>
      </c>
      <c r="C132" s="16">
        <v>41911</v>
      </c>
      <c r="D132" s="15" t="s">
        <v>476</v>
      </c>
      <c r="E132" s="16" t="s">
        <v>476</v>
      </c>
      <c r="F132" s="66" t="str">
        <f>+"11-APR-2014"</f>
        <v>11-APR-2014</v>
      </c>
      <c r="G132" s="47">
        <f t="shared" si="2"/>
        <v>341</v>
      </c>
      <c r="H132" s="66" t="str">
        <f>+""</f>
        <v/>
      </c>
      <c r="I132" s="18"/>
      <c r="J132" s="86"/>
      <c r="K132" s="16"/>
      <c r="L132" s="1" t="s">
        <v>10</v>
      </c>
      <c r="M132" s="86" t="s">
        <v>262</v>
      </c>
      <c r="N132" s="1" t="s">
        <v>13</v>
      </c>
      <c r="O132" s="1" t="s">
        <v>14</v>
      </c>
      <c r="P132" s="1" t="s">
        <v>36</v>
      </c>
      <c r="Q132" s="89" t="s">
        <v>152</v>
      </c>
    </row>
    <row r="133" spans="1:17" ht="126" customHeight="1" x14ac:dyDescent="0.25">
      <c r="A133" s="86" t="s">
        <v>264</v>
      </c>
      <c r="B133" s="15">
        <v>41961</v>
      </c>
      <c r="C133" s="16">
        <v>41968</v>
      </c>
      <c r="D133" s="15">
        <v>42082</v>
      </c>
      <c r="E133" s="16" t="s">
        <v>476</v>
      </c>
      <c r="F133" s="66" t="str">
        <f>+"15-APR-2014"</f>
        <v>15-APR-2014</v>
      </c>
      <c r="G133" s="47">
        <f t="shared" si="2"/>
        <v>337</v>
      </c>
      <c r="H133" s="66" t="str">
        <f>+""</f>
        <v/>
      </c>
      <c r="I133" s="18"/>
      <c r="J133" s="86"/>
      <c r="K133" s="16"/>
      <c r="L133" s="1" t="s">
        <v>10</v>
      </c>
      <c r="M133" s="86" t="s">
        <v>265</v>
      </c>
      <c r="N133" s="1" t="s">
        <v>13</v>
      </c>
      <c r="O133" s="1" t="s">
        <v>14</v>
      </c>
      <c r="P133" s="1" t="s">
        <v>21</v>
      </c>
      <c r="Q133" s="89" t="s">
        <v>71</v>
      </c>
    </row>
    <row r="134" spans="1:17" ht="91.15" customHeight="1" x14ac:dyDescent="0.25">
      <c r="A134" s="86" t="s">
        <v>270</v>
      </c>
      <c r="B134" s="15">
        <v>41821</v>
      </c>
      <c r="C134" s="16" t="s">
        <v>476</v>
      </c>
      <c r="D134" s="15" t="s">
        <v>476</v>
      </c>
      <c r="E134" s="16" t="s">
        <v>476</v>
      </c>
      <c r="F134" s="66" t="str">
        <f>+"22-APR-2014"</f>
        <v>22-APR-2014</v>
      </c>
      <c r="G134" s="47">
        <f t="shared" si="2"/>
        <v>330</v>
      </c>
      <c r="H134" s="66" t="str">
        <f>+""</f>
        <v/>
      </c>
      <c r="I134" s="18"/>
      <c r="J134" s="86"/>
      <c r="K134" s="16"/>
      <c r="L134" s="1" t="s">
        <v>10</v>
      </c>
      <c r="M134" s="86" t="s">
        <v>271</v>
      </c>
      <c r="N134" s="1" t="s">
        <v>13</v>
      </c>
      <c r="O134" s="1" t="s">
        <v>17</v>
      </c>
      <c r="P134" s="1" t="s">
        <v>21</v>
      </c>
      <c r="Q134" s="89" t="s">
        <v>653</v>
      </c>
    </row>
    <row r="135" spans="1:17" ht="95.85" customHeight="1" x14ac:dyDescent="0.25">
      <c r="A135" s="86" t="s">
        <v>272</v>
      </c>
      <c r="B135" s="15" t="s">
        <v>476</v>
      </c>
      <c r="C135" s="16" t="s">
        <v>476</v>
      </c>
      <c r="D135" s="15" t="s">
        <v>476</v>
      </c>
      <c r="E135" s="16" t="s">
        <v>476</v>
      </c>
      <c r="F135" s="66" t="str">
        <f>+"23-APR-2014"</f>
        <v>23-APR-2014</v>
      </c>
      <c r="G135" s="47">
        <f t="shared" si="2"/>
        <v>329</v>
      </c>
      <c r="H135" s="66" t="str">
        <f>+""</f>
        <v/>
      </c>
      <c r="I135" s="18"/>
      <c r="J135" s="86"/>
      <c r="K135" s="16"/>
      <c r="L135" s="1" t="s">
        <v>19</v>
      </c>
      <c r="M135" s="86" t="s">
        <v>273</v>
      </c>
      <c r="N135" s="1" t="s">
        <v>13</v>
      </c>
      <c r="O135" s="1" t="s">
        <v>25</v>
      </c>
      <c r="P135" s="86" t="s">
        <v>41</v>
      </c>
      <c r="Q135" s="89" t="s">
        <v>49</v>
      </c>
    </row>
    <row r="136" spans="1:17" ht="78.75" customHeight="1" x14ac:dyDescent="0.25">
      <c r="A136" s="86" t="s">
        <v>352</v>
      </c>
      <c r="B136" s="15">
        <v>41852</v>
      </c>
      <c r="C136" s="16" t="s">
        <v>476</v>
      </c>
      <c r="D136" s="15" t="s">
        <v>476</v>
      </c>
      <c r="E136" s="16" t="s">
        <v>476</v>
      </c>
      <c r="F136" s="66" t="str">
        <f>+"25-APR-2014"</f>
        <v>25-APR-2014</v>
      </c>
      <c r="G136" s="47">
        <f t="shared" si="2"/>
        <v>327</v>
      </c>
      <c r="H136" s="66" t="str">
        <f>+""</f>
        <v/>
      </c>
      <c r="I136" s="18"/>
      <c r="J136" s="86"/>
      <c r="K136" s="16"/>
      <c r="L136" s="1" t="s">
        <v>10</v>
      </c>
      <c r="M136" s="86" t="s">
        <v>353</v>
      </c>
      <c r="N136" s="1" t="s">
        <v>13</v>
      </c>
      <c r="O136" s="1" t="s">
        <v>14</v>
      </c>
      <c r="P136" s="1" t="s">
        <v>21</v>
      </c>
      <c r="Q136" s="89" t="s">
        <v>28</v>
      </c>
    </row>
    <row r="137" spans="1:17" ht="116.1" customHeight="1" x14ac:dyDescent="0.25">
      <c r="A137" s="86" t="s">
        <v>268</v>
      </c>
      <c r="B137" s="15">
        <v>41813</v>
      </c>
      <c r="C137" s="16">
        <v>41848</v>
      </c>
      <c r="D137" s="15" t="s">
        <v>476</v>
      </c>
      <c r="E137" s="16" t="s">
        <v>476</v>
      </c>
      <c r="F137" s="66" t="str">
        <f>+"29-APR-2014"</f>
        <v>29-APR-2014</v>
      </c>
      <c r="G137" s="47">
        <f t="shared" si="2"/>
        <v>323</v>
      </c>
      <c r="H137" s="66" t="str">
        <f>+""</f>
        <v/>
      </c>
      <c r="I137" s="18"/>
      <c r="J137" s="86"/>
      <c r="K137" s="16"/>
      <c r="L137" s="1" t="s">
        <v>19</v>
      </c>
      <c r="M137" s="86" t="s">
        <v>269</v>
      </c>
      <c r="N137" s="1" t="s">
        <v>13</v>
      </c>
      <c r="O137" s="1" t="s">
        <v>14</v>
      </c>
      <c r="P137" s="1" t="s">
        <v>41</v>
      </c>
      <c r="Q137" s="89" t="s">
        <v>263</v>
      </c>
    </row>
    <row r="138" spans="1:17" ht="130.5" customHeight="1" x14ac:dyDescent="0.25">
      <c r="A138" s="86" t="s">
        <v>274</v>
      </c>
      <c r="B138" s="15">
        <v>41934</v>
      </c>
      <c r="C138" s="16" t="s">
        <v>476</v>
      </c>
      <c r="D138" s="15">
        <v>41992</v>
      </c>
      <c r="E138" s="16" t="s">
        <v>476</v>
      </c>
      <c r="F138" s="66" t="str">
        <f>+"30-APR-2014"</f>
        <v>30-APR-2014</v>
      </c>
      <c r="G138" s="47">
        <f t="shared" si="2"/>
        <v>322</v>
      </c>
      <c r="H138" s="66" t="str">
        <f>+""</f>
        <v/>
      </c>
      <c r="I138" s="18"/>
      <c r="J138" s="86"/>
      <c r="K138" s="16"/>
      <c r="L138" s="1" t="s">
        <v>19</v>
      </c>
      <c r="M138" s="86" t="s">
        <v>275</v>
      </c>
      <c r="N138" s="1" t="s">
        <v>13</v>
      </c>
      <c r="O138" s="1" t="s">
        <v>14</v>
      </c>
      <c r="P138" s="1" t="s">
        <v>41</v>
      </c>
      <c r="Q138" s="89" t="s">
        <v>108</v>
      </c>
    </row>
    <row r="139" spans="1:17" ht="69.400000000000006" customHeight="1" x14ac:dyDescent="0.25">
      <c r="A139" s="86" t="s">
        <v>278</v>
      </c>
      <c r="B139" s="15">
        <v>41813</v>
      </c>
      <c r="C139" s="16">
        <v>41848</v>
      </c>
      <c r="D139" s="15" t="s">
        <v>476</v>
      </c>
      <c r="E139" s="16" t="s">
        <v>476</v>
      </c>
      <c r="F139" s="66" t="str">
        <f>+"01-MAY-2014"</f>
        <v>01-MAY-2014</v>
      </c>
      <c r="G139" s="47">
        <f t="shared" si="2"/>
        <v>321</v>
      </c>
      <c r="H139" s="66" t="str">
        <f>+""</f>
        <v/>
      </c>
      <c r="I139" s="18"/>
      <c r="J139" s="86"/>
      <c r="K139" s="16"/>
      <c r="L139" s="1" t="s">
        <v>19</v>
      </c>
      <c r="M139" s="86" t="s">
        <v>279</v>
      </c>
      <c r="N139" s="1" t="s">
        <v>13</v>
      </c>
      <c r="O139" s="1" t="s">
        <v>14</v>
      </c>
      <c r="P139" s="1" t="s">
        <v>41</v>
      </c>
      <c r="Q139" s="89" t="s">
        <v>263</v>
      </c>
    </row>
    <row r="140" spans="1:17" ht="95.85" customHeight="1" x14ac:dyDescent="0.25">
      <c r="A140" s="86" t="s">
        <v>280</v>
      </c>
      <c r="B140" s="15">
        <v>41813</v>
      </c>
      <c r="C140" s="16">
        <v>41848</v>
      </c>
      <c r="D140" s="15" t="s">
        <v>476</v>
      </c>
      <c r="E140" s="16" t="s">
        <v>476</v>
      </c>
      <c r="F140" s="66" t="str">
        <f>+"01-MAY-2014"</f>
        <v>01-MAY-2014</v>
      </c>
      <c r="G140" s="47">
        <f t="shared" si="2"/>
        <v>321</v>
      </c>
      <c r="H140" s="66" t="str">
        <f>+""</f>
        <v/>
      </c>
      <c r="I140" s="18"/>
      <c r="J140" s="86"/>
      <c r="K140" s="16"/>
      <c r="L140" s="1" t="s">
        <v>19</v>
      </c>
      <c r="M140" s="86" t="s">
        <v>281</v>
      </c>
      <c r="N140" s="1" t="s">
        <v>13</v>
      </c>
      <c r="O140" s="1" t="s">
        <v>14</v>
      </c>
      <c r="P140" s="1" t="s">
        <v>41</v>
      </c>
      <c r="Q140" s="89" t="s">
        <v>263</v>
      </c>
    </row>
    <row r="141" spans="1:17" ht="87.6" customHeight="1" x14ac:dyDescent="0.25">
      <c r="A141" s="86" t="s">
        <v>282</v>
      </c>
      <c r="B141" s="15">
        <v>41813</v>
      </c>
      <c r="C141" s="16">
        <v>41848</v>
      </c>
      <c r="D141" s="15" t="s">
        <v>476</v>
      </c>
      <c r="E141" s="16" t="s">
        <v>476</v>
      </c>
      <c r="F141" s="66" t="str">
        <f>+"01-MAY-2014"</f>
        <v>01-MAY-2014</v>
      </c>
      <c r="G141" s="47">
        <f t="shared" si="2"/>
        <v>321</v>
      </c>
      <c r="H141" s="66" t="str">
        <f>+""</f>
        <v/>
      </c>
      <c r="I141" s="18"/>
      <c r="J141" s="86"/>
      <c r="K141" s="16"/>
      <c r="L141" s="1" t="s">
        <v>19</v>
      </c>
      <c r="M141" s="86" t="s">
        <v>283</v>
      </c>
      <c r="N141" s="1" t="s">
        <v>13</v>
      </c>
      <c r="O141" s="1" t="s">
        <v>14</v>
      </c>
      <c r="P141" s="1" t="s">
        <v>41</v>
      </c>
      <c r="Q141" s="89" t="s">
        <v>263</v>
      </c>
    </row>
    <row r="142" spans="1:17" ht="97.15" customHeight="1" x14ac:dyDescent="0.25">
      <c r="A142" s="86" t="s">
        <v>468</v>
      </c>
      <c r="B142" s="15">
        <v>41857</v>
      </c>
      <c r="C142" s="16" t="s">
        <v>476</v>
      </c>
      <c r="D142" s="15" t="s">
        <v>476</v>
      </c>
      <c r="E142" s="16" t="s">
        <v>476</v>
      </c>
      <c r="F142" s="66" t="str">
        <f>+"01-MAY-2014"</f>
        <v>01-MAY-2014</v>
      </c>
      <c r="G142" s="47">
        <f t="shared" si="2"/>
        <v>321</v>
      </c>
      <c r="H142" s="66" t="str">
        <f>+""</f>
        <v/>
      </c>
      <c r="I142" s="18"/>
      <c r="J142" s="86"/>
      <c r="K142" s="16"/>
      <c r="L142" s="86" t="s">
        <v>19</v>
      </c>
      <c r="M142" s="86" t="s">
        <v>469</v>
      </c>
      <c r="N142" s="86" t="s">
        <v>13</v>
      </c>
      <c r="O142" s="86" t="s">
        <v>25</v>
      </c>
      <c r="P142" s="86" t="s">
        <v>41</v>
      </c>
      <c r="Q142" s="89" t="s">
        <v>394</v>
      </c>
    </row>
    <row r="143" spans="1:17" ht="113.45" customHeight="1" x14ac:dyDescent="0.25">
      <c r="A143" s="86" t="s">
        <v>276</v>
      </c>
      <c r="B143" s="15" t="s">
        <v>476</v>
      </c>
      <c r="C143" s="16" t="s">
        <v>476</v>
      </c>
      <c r="D143" s="15" t="s">
        <v>476</v>
      </c>
      <c r="E143" s="16" t="s">
        <v>476</v>
      </c>
      <c r="F143" s="66" t="str">
        <f>+"02-MAY-2014"</f>
        <v>02-MAY-2014</v>
      </c>
      <c r="G143" s="47">
        <f t="shared" si="2"/>
        <v>320</v>
      </c>
      <c r="H143" s="66" t="str">
        <f>+""</f>
        <v/>
      </c>
      <c r="I143" s="18"/>
      <c r="J143" s="86"/>
      <c r="K143" s="16"/>
      <c r="L143" s="86" t="s">
        <v>19</v>
      </c>
      <c r="M143" s="86" t="s">
        <v>277</v>
      </c>
      <c r="N143" s="86" t="s">
        <v>13</v>
      </c>
      <c r="O143" s="86" t="s">
        <v>25</v>
      </c>
      <c r="P143" s="86" t="s">
        <v>36</v>
      </c>
      <c r="Q143" s="89" t="s">
        <v>149</v>
      </c>
    </row>
    <row r="144" spans="1:17" ht="126" customHeight="1" x14ac:dyDescent="0.25">
      <c r="A144" s="86" t="s">
        <v>358</v>
      </c>
      <c r="B144" s="15">
        <v>41866</v>
      </c>
      <c r="C144" s="16">
        <v>41932</v>
      </c>
      <c r="D144" s="15">
        <v>41991</v>
      </c>
      <c r="E144" s="16" t="s">
        <v>476</v>
      </c>
      <c r="F144" s="66" t="str">
        <f>+"02-MAY-2014"</f>
        <v>02-MAY-2014</v>
      </c>
      <c r="G144" s="47">
        <f t="shared" si="2"/>
        <v>320</v>
      </c>
      <c r="H144" s="66" t="str">
        <f>+""</f>
        <v/>
      </c>
      <c r="I144" s="18"/>
      <c r="J144" s="86"/>
      <c r="K144" s="16"/>
      <c r="L144" s="86" t="s">
        <v>10</v>
      </c>
      <c r="M144" s="86" t="s">
        <v>359</v>
      </c>
      <c r="N144" s="86" t="s">
        <v>13</v>
      </c>
      <c r="O144" s="86" t="s">
        <v>42</v>
      </c>
      <c r="P144" s="86" t="s">
        <v>41</v>
      </c>
      <c r="Q144" s="89" t="s">
        <v>54</v>
      </c>
    </row>
    <row r="145" spans="1:21" ht="91.15" customHeight="1" x14ac:dyDescent="0.25">
      <c r="A145" s="86" t="s">
        <v>354</v>
      </c>
      <c r="B145" s="15">
        <v>41863</v>
      </c>
      <c r="C145" s="16" t="s">
        <v>476</v>
      </c>
      <c r="D145" s="15">
        <v>42046</v>
      </c>
      <c r="E145" s="16" t="s">
        <v>476</v>
      </c>
      <c r="F145" s="66" t="str">
        <f>+"15-MAY-2014"</f>
        <v>15-MAY-2014</v>
      </c>
      <c r="G145" s="47">
        <f t="shared" si="2"/>
        <v>307</v>
      </c>
      <c r="H145" s="66" t="str">
        <f>+""</f>
        <v/>
      </c>
      <c r="I145" s="18"/>
      <c r="J145" s="86"/>
      <c r="K145" s="16"/>
      <c r="L145" s="86" t="s">
        <v>10</v>
      </c>
      <c r="M145" s="86" t="s">
        <v>355</v>
      </c>
      <c r="N145" s="86" t="s">
        <v>13</v>
      </c>
      <c r="O145" s="86" t="s">
        <v>25</v>
      </c>
      <c r="P145" s="86" t="s">
        <v>15</v>
      </c>
      <c r="Q145" s="89" t="s">
        <v>28</v>
      </c>
    </row>
    <row r="146" spans="1:21" ht="82.15" customHeight="1" x14ac:dyDescent="0.25">
      <c r="A146" s="86" t="s">
        <v>388</v>
      </c>
      <c r="B146" s="15" t="s">
        <v>476</v>
      </c>
      <c r="C146" s="16" t="s">
        <v>476</v>
      </c>
      <c r="D146" s="15" t="s">
        <v>476</v>
      </c>
      <c r="E146" s="16" t="s">
        <v>476</v>
      </c>
      <c r="F146" s="66" t="str">
        <f>+"15-MAY-2014"</f>
        <v>15-MAY-2014</v>
      </c>
      <c r="G146" s="47">
        <f t="shared" si="2"/>
        <v>307</v>
      </c>
      <c r="H146" s="66" t="str">
        <f>+""</f>
        <v/>
      </c>
      <c r="I146" s="18"/>
      <c r="J146" s="86"/>
      <c r="K146" s="16"/>
      <c r="L146" s="86" t="s">
        <v>19</v>
      </c>
      <c r="M146" s="86" t="s">
        <v>389</v>
      </c>
      <c r="N146" s="86" t="s">
        <v>13</v>
      </c>
      <c r="O146" s="86" t="s">
        <v>25</v>
      </c>
      <c r="P146" s="86" t="s">
        <v>15</v>
      </c>
      <c r="Q146" s="89" t="s">
        <v>71</v>
      </c>
    </row>
    <row r="147" spans="1:21" ht="86.25" customHeight="1" x14ac:dyDescent="0.25">
      <c r="A147" s="86" t="s">
        <v>470</v>
      </c>
      <c r="B147" s="15">
        <v>41864</v>
      </c>
      <c r="C147" s="16">
        <v>41908</v>
      </c>
      <c r="D147" s="15" t="s">
        <v>476</v>
      </c>
      <c r="E147" s="16" t="s">
        <v>476</v>
      </c>
      <c r="F147" s="66" t="str">
        <f>+"15-MAY-2014"</f>
        <v>15-MAY-2014</v>
      </c>
      <c r="G147" s="47">
        <f t="shared" si="2"/>
        <v>307</v>
      </c>
      <c r="H147" s="66" t="str">
        <f>+""</f>
        <v/>
      </c>
      <c r="I147" s="18"/>
      <c r="J147" s="86"/>
      <c r="K147" s="16"/>
      <c r="L147" s="86" t="s">
        <v>19</v>
      </c>
      <c r="M147" s="86" t="s">
        <v>471</v>
      </c>
      <c r="N147" s="86" t="s">
        <v>13</v>
      </c>
      <c r="O147" s="86" t="s">
        <v>42</v>
      </c>
      <c r="P147" s="86" t="s">
        <v>41</v>
      </c>
      <c r="Q147" s="89" t="s">
        <v>768</v>
      </c>
    </row>
    <row r="148" spans="1:21" ht="126" customHeight="1" x14ac:dyDescent="0.25">
      <c r="A148" s="86" t="s">
        <v>356</v>
      </c>
      <c r="B148" s="15">
        <v>41892</v>
      </c>
      <c r="C148" s="16">
        <v>41906</v>
      </c>
      <c r="D148" s="15">
        <v>42011</v>
      </c>
      <c r="E148" s="16" t="s">
        <v>476</v>
      </c>
      <c r="F148" s="66" t="str">
        <f>+"16-MAY-2014"</f>
        <v>16-MAY-2014</v>
      </c>
      <c r="G148" s="47">
        <f t="shared" si="2"/>
        <v>306</v>
      </c>
      <c r="H148" s="66" t="str">
        <f>+""</f>
        <v/>
      </c>
      <c r="I148" s="18"/>
      <c r="J148" s="86"/>
      <c r="K148" s="16"/>
      <c r="L148" s="86" t="s">
        <v>10</v>
      </c>
      <c r="M148" s="86" t="s">
        <v>357</v>
      </c>
      <c r="N148" s="86" t="s">
        <v>13</v>
      </c>
      <c r="O148" s="86" t="s">
        <v>14</v>
      </c>
      <c r="P148" s="86" t="s">
        <v>36</v>
      </c>
      <c r="Q148" s="89" t="s">
        <v>542</v>
      </c>
    </row>
    <row r="149" spans="1:21" ht="61.15" customHeight="1" x14ac:dyDescent="0.25">
      <c r="A149" s="86" t="s">
        <v>284</v>
      </c>
      <c r="B149" s="15">
        <v>41912</v>
      </c>
      <c r="C149" s="16" t="s">
        <v>476</v>
      </c>
      <c r="D149" s="15" t="s">
        <v>476</v>
      </c>
      <c r="E149" s="16" t="s">
        <v>476</v>
      </c>
      <c r="F149" s="66" t="str">
        <f>+"27-MAY-2014"</f>
        <v>27-MAY-2014</v>
      </c>
      <c r="G149" s="47">
        <f t="shared" si="2"/>
        <v>295</v>
      </c>
      <c r="H149" s="66" t="str">
        <f>+""</f>
        <v/>
      </c>
      <c r="I149" s="18"/>
      <c r="J149" s="86"/>
      <c r="K149" s="16"/>
      <c r="L149" s="86" t="s">
        <v>10</v>
      </c>
      <c r="M149" s="86" t="s">
        <v>285</v>
      </c>
      <c r="N149" s="86" t="s">
        <v>13</v>
      </c>
      <c r="O149" s="86" t="s">
        <v>14</v>
      </c>
      <c r="P149" s="86" t="s">
        <v>21</v>
      </c>
      <c r="Q149" s="89" t="s">
        <v>72</v>
      </c>
    </row>
    <row r="150" spans="1:21" ht="126" customHeight="1" x14ac:dyDescent="0.25">
      <c r="A150" s="86" t="s">
        <v>286</v>
      </c>
      <c r="B150" s="15">
        <v>41887</v>
      </c>
      <c r="C150" s="16">
        <v>42061</v>
      </c>
      <c r="D150" s="15">
        <v>41893</v>
      </c>
      <c r="E150" s="16">
        <v>41911</v>
      </c>
      <c r="F150" s="66" t="str">
        <f>+"30-MAY-2014"</f>
        <v>30-MAY-2014</v>
      </c>
      <c r="G150" s="47">
        <f t="shared" si="2"/>
        <v>292</v>
      </c>
      <c r="H150" s="66" t="str">
        <f>+""</f>
        <v/>
      </c>
      <c r="I150" s="18"/>
      <c r="J150" s="86"/>
      <c r="K150" s="16"/>
      <c r="L150" s="86" t="s">
        <v>10</v>
      </c>
      <c r="M150" s="86" t="s">
        <v>287</v>
      </c>
      <c r="N150" s="86" t="s">
        <v>13</v>
      </c>
      <c r="O150" s="86" t="s">
        <v>14</v>
      </c>
      <c r="P150" s="86" t="s">
        <v>21</v>
      </c>
      <c r="Q150" s="89" t="s">
        <v>49</v>
      </c>
    </row>
    <row r="151" spans="1:21" ht="142.9" customHeight="1" x14ac:dyDescent="0.25">
      <c r="A151" s="86" t="s">
        <v>288</v>
      </c>
      <c r="B151" s="15">
        <v>41848</v>
      </c>
      <c r="C151" s="16">
        <v>41855</v>
      </c>
      <c r="D151" s="15">
        <v>41989</v>
      </c>
      <c r="E151" s="46">
        <v>42040</v>
      </c>
      <c r="F151" s="66" t="str">
        <f>+"30-MAY-2014"</f>
        <v>30-MAY-2014</v>
      </c>
      <c r="G151" s="47">
        <f t="shared" si="2"/>
        <v>292</v>
      </c>
      <c r="H151" s="66" t="str">
        <f>+""</f>
        <v/>
      </c>
      <c r="I151" s="18"/>
      <c r="J151" s="86"/>
      <c r="K151" s="16"/>
      <c r="L151" s="86" t="s">
        <v>10</v>
      </c>
      <c r="M151" s="86" t="s">
        <v>289</v>
      </c>
      <c r="N151" s="86" t="s">
        <v>13</v>
      </c>
      <c r="O151" s="86" t="s">
        <v>14</v>
      </c>
      <c r="P151" s="86" t="s">
        <v>21</v>
      </c>
      <c r="Q151" s="89" t="s">
        <v>71</v>
      </c>
    </row>
    <row r="152" spans="1:21" ht="88.35" customHeight="1" x14ac:dyDescent="0.25">
      <c r="A152" s="86" t="s">
        <v>291</v>
      </c>
      <c r="B152" s="15">
        <v>41850</v>
      </c>
      <c r="C152" s="16">
        <v>41865</v>
      </c>
      <c r="D152" s="15" t="s">
        <v>476</v>
      </c>
      <c r="E152" s="16" t="s">
        <v>476</v>
      </c>
      <c r="F152" s="66" t="str">
        <f>+"02-JUN-2014"</f>
        <v>02-JUN-2014</v>
      </c>
      <c r="G152" s="47">
        <f t="shared" si="2"/>
        <v>289</v>
      </c>
      <c r="H152" s="66" t="str">
        <f>+""</f>
        <v/>
      </c>
      <c r="I152" s="18"/>
      <c r="J152" s="86"/>
      <c r="K152" s="16"/>
      <c r="L152" s="86" t="s">
        <v>10</v>
      </c>
      <c r="M152" s="86" t="s">
        <v>292</v>
      </c>
      <c r="N152" s="86" t="s">
        <v>13</v>
      </c>
      <c r="O152" s="86" t="s">
        <v>14</v>
      </c>
      <c r="P152" s="86" t="s">
        <v>21</v>
      </c>
      <c r="Q152" s="89" t="s">
        <v>65</v>
      </c>
    </row>
    <row r="153" spans="1:21" ht="92.45" customHeight="1" x14ac:dyDescent="0.25">
      <c r="A153" s="86" t="s">
        <v>293</v>
      </c>
      <c r="B153" s="15">
        <v>41850</v>
      </c>
      <c r="C153" s="16">
        <v>41865</v>
      </c>
      <c r="D153" s="15" t="s">
        <v>476</v>
      </c>
      <c r="E153" s="16" t="s">
        <v>476</v>
      </c>
      <c r="F153" s="66" t="str">
        <f>+"02-JUN-2014"</f>
        <v>02-JUN-2014</v>
      </c>
      <c r="G153" s="47">
        <f t="shared" si="2"/>
        <v>289</v>
      </c>
      <c r="H153" s="66" t="str">
        <f>+""</f>
        <v/>
      </c>
      <c r="I153" s="18"/>
      <c r="J153" s="86"/>
      <c r="K153" s="16"/>
      <c r="L153" s="86" t="s">
        <v>10</v>
      </c>
      <c r="M153" s="86" t="s">
        <v>294</v>
      </c>
      <c r="N153" s="86" t="s">
        <v>13</v>
      </c>
      <c r="O153" s="86" t="s">
        <v>14</v>
      </c>
      <c r="P153" s="86" t="s">
        <v>21</v>
      </c>
      <c r="Q153" s="89" t="s">
        <v>65</v>
      </c>
    </row>
    <row r="154" spans="1:21" ht="110.85" customHeight="1" x14ac:dyDescent="0.25">
      <c r="A154" s="86" t="s">
        <v>295</v>
      </c>
      <c r="B154" s="15">
        <v>41850</v>
      </c>
      <c r="C154" s="16">
        <v>41865</v>
      </c>
      <c r="D154" s="15" t="s">
        <v>476</v>
      </c>
      <c r="E154" s="24" t="s">
        <v>476</v>
      </c>
      <c r="F154" s="66" t="str">
        <f>+"02-JUN-2014"</f>
        <v>02-JUN-2014</v>
      </c>
      <c r="G154" s="47">
        <f t="shared" si="2"/>
        <v>289</v>
      </c>
      <c r="H154" s="66" t="str">
        <f>+""</f>
        <v/>
      </c>
      <c r="I154" s="18"/>
      <c r="J154" s="86"/>
      <c r="K154" s="16"/>
      <c r="L154" s="86" t="s">
        <v>10</v>
      </c>
      <c r="M154" s="86" t="s">
        <v>296</v>
      </c>
      <c r="N154" s="86" t="s">
        <v>13</v>
      </c>
      <c r="O154" s="86" t="s">
        <v>14</v>
      </c>
      <c r="P154" s="86" t="s">
        <v>21</v>
      </c>
      <c r="Q154" s="89" t="s">
        <v>65</v>
      </c>
    </row>
    <row r="155" spans="1:21" ht="69.95" customHeight="1" x14ac:dyDescent="0.25">
      <c r="A155" s="86" t="s">
        <v>297</v>
      </c>
      <c r="B155" s="15">
        <v>41891</v>
      </c>
      <c r="C155" s="16">
        <v>41901</v>
      </c>
      <c r="D155" s="15">
        <v>41947</v>
      </c>
      <c r="E155" s="16" t="s">
        <v>476</v>
      </c>
      <c r="F155" s="66" t="str">
        <f>+"11-JUN-2014"</f>
        <v>11-JUN-2014</v>
      </c>
      <c r="G155" s="47">
        <f t="shared" si="2"/>
        <v>280</v>
      </c>
      <c r="H155" s="66" t="str">
        <f>+""</f>
        <v/>
      </c>
      <c r="I155" s="18"/>
      <c r="J155" s="86"/>
      <c r="K155" s="16"/>
      <c r="L155" s="86" t="s">
        <v>10</v>
      </c>
      <c r="M155" s="86" t="s">
        <v>298</v>
      </c>
      <c r="N155" s="86" t="s">
        <v>13</v>
      </c>
      <c r="O155" s="86" t="s">
        <v>14</v>
      </c>
      <c r="P155" s="86" t="s">
        <v>21</v>
      </c>
      <c r="Q155" s="89" t="s">
        <v>28</v>
      </c>
    </row>
    <row r="156" spans="1:21" ht="65.25" customHeight="1" x14ac:dyDescent="0.25">
      <c r="A156" s="86" t="s">
        <v>528</v>
      </c>
      <c r="B156" s="15">
        <v>41929</v>
      </c>
      <c r="C156" s="16" t="s">
        <v>476</v>
      </c>
      <c r="D156" s="15" t="s">
        <v>476</v>
      </c>
      <c r="E156" s="16" t="s">
        <v>476</v>
      </c>
      <c r="F156" s="66" t="str">
        <f>+"13-JUN-2014"</f>
        <v>13-JUN-2014</v>
      </c>
      <c r="G156" s="47">
        <f t="shared" si="2"/>
        <v>278</v>
      </c>
      <c r="H156" s="66"/>
      <c r="I156" s="18"/>
      <c r="J156" s="86"/>
      <c r="K156" s="16"/>
      <c r="L156" s="86" t="s">
        <v>19</v>
      </c>
      <c r="M156" s="86" t="s">
        <v>544</v>
      </c>
      <c r="N156" s="86" t="s">
        <v>13</v>
      </c>
      <c r="O156" s="86" t="s">
        <v>48</v>
      </c>
      <c r="P156" s="86" t="s">
        <v>41</v>
      </c>
      <c r="Q156" s="89" t="s">
        <v>97</v>
      </c>
    </row>
    <row r="157" spans="1:21" ht="152.85" customHeight="1" x14ac:dyDescent="0.25">
      <c r="A157" s="86" t="s">
        <v>299</v>
      </c>
      <c r="B157" s="15" t="s">
        <v>476</v>
      </c>
      <c r="C157" s="16" t="s">
        <v>476</v>
      </c>
      <c r="D157" s="15" t="s">
        <v>476</v>
      </c>
      <c r="E157" s="16" t="s">
        <v>476</v>
      </c>
      <c r="F157" s="66" t="str">
        <f>+"17-JUN-2014"</f>
        <v>17-JUN-2014</v>
      </c>
      <c r="G157" s="47">
        <f t="shared" si="2"/>
        <v>274</v>
      </c>
      <c r="H157" s="66" t="str">
        <f>+""</f>
        <v/>
      </c>
      <c r="I157" s="18"/>
      <c r="J157" s="86"/>
      <c r="K157" s="16"/>
      <c r="L157" s="86" t="s">
        <v>19</v>
      </c>
      <c r="M157" s="86" t="s">
        <v>300</v>
      </c>
      <c r="N157" s="86" t="s">
        <v>13</v>
      </c>
      <c r="O157" s="86" t="s">
        <v>25</v>
      </c>
      <c r="P157" s="86" t="s">
        <v>36</v>
      </c>
      <c r="Q157" s="89" t="s">
        <v>33</v>
      </c>
    </row>
    <row r="158" spans="1:21" s="21" customFormat="1" ht="126" customHeight="1" x14ac:dyDescent="0.25">
      <c r="A158" s="86" t="s">
        <v>301</v>
      </c>
      <c r="B158" s="15">
        <v>41899</v>
      </c>
      <c r="C158" s="16">
        <v>41908</v>
      </c>
      <c r="D158" s="15">
        <v>42198</v>
      </c>
      <c r="E158" s="16" t="s">
        <v>476</v>
      </c>
      <c r="F158" s="66" t="str">
        <f>+"20-JUN-2014"</f>
        <v>20-JUN-2014</v>
      </c>
      <c r="G158" s="47">
        <f t="shared" si="2"/>
        <v>271</v>
      </c>
      <c r="H158" s="66" t="str">
        <f>+""</f>
        <v/>
      </c>
      <c r="I158" s="18"/>
      <c r="J158" s="1"/>
      <c r="K158" s="16"/>
      <c r="L158" s="1" t="s">
        <v>10</v>
      </c>
      <c r="M158" s="86" t="s">
        <v>302</v>
      </c>
      <c r="N158" s="1" t="s">
        <v>13</v>
      </c>
      <c r="O158" s="1" t="s">
        <v>14</v>
      </c>
      <c r="P158" s="1" t="s">
        <v>21</v>
      </c>
      <c r="Q158" s="7" t="s">
        <v>47</v>
      </c>
      <c r="R158" s="6"/>
      <c r="S158" s="6"/>
      <c r="T158" s="6"/>
      <c r="U158" s="6"/>
    </row>
    <row r="159" spans="1:21" s="21" customFormat="1" ht="88.35" customHeight="1" x14ac:dyDescent="0.25">
      <c r="A159" s="86" t="s">
        <v>390</v>
      </c>
      <c r="B159" s="15">
        <v>41932</v>
      </c>
      <c r="C159" s="16" t="s">
        <v>476</v>
      </c>
      <c r="D159" s="15">
        <v>42037</v>
      </c>
      <c r="E159" s="16" t="s">
        <v>476</v>
      </c>
      <c r="F159" s="66" t="str">
        <f>+"26-JUN-2014"</f>
        <v>26-JUN-2014</v>
      </c>
      <c r="G159" s="47">
        <f t="shared" si="2"/>
        <v>265</v>
      </c>
      <c r="H159" s="66" t="str">
        <f>+""</f>
        <v/>
      </c>
      <c r="I159" s="18"/>
      <c r="J159" s="1"/>
      <c r="K159" s="16"/>
      <c r="L159" s="1" t="s">
        <v>10</v>
      </c>
      <c r="M159" s="86" t="s">
        <v>391</v>
      </c>
      <c r="N159" s="1" t="s">
        <v>13</v>
      </c>
      <c r="O159" s="1" t="s">
        <v>59</v>
      </c>
      <c r="P159" s="86" t="s">
        <v>36</v>
      </c>
      <c r="Q159" s="7" t="s">
        <v>498</v>
      </c>
      <c r="R159" s="6"/>
      <c r="S159" s="6"/>
      <c r="T159" s="6"/>
      <c r="U159" s="6"/>
    </row>
    <row r="160" spans="1:21" s="21" customFormat="1" ht="88.35" customHeight="1" x14ac:dyDescent="0.25">
      <c r="A160" s="86" t="s">
        <v>303</v>
      </c>
      <c r="B160" s="15">
        <v>41870</v>
      </c>
      <c r="C160" s="16" t="s">
        <v>476</v>
      </c>
      <c r="D160" s="15">
        <v>41981</v>
      </c>
      <c r="E160" s="16" t="s">
        <v>476</v>
      </c>
      <c r="F160" s="66" t="str">
        <f>+"27-JUN-2014"</f>
        <v>27-JUN-2014</v>
      </c>
      <c r="G160" s="47">
        <f t="shared" si="2"/>
        <v>264</v>
      </c>
      <c r="H160" s="66" t="str">
        <f>+""</f>
        <v/>
      </c>
      <c r="I160" s="18"/>
      <c r="J160" s="1"/>
      <c r="K160" s="16"/>
      <c r="L160" s="1" t="s">
        <v>10</v>
      </c>
      <c r="M160" s="86" t="s">
        <v>304</v>
      </c>
      <c r="N160" s="1" t="s">
        <v>13</v>
      </c>
      <c r="O160" s="1" t="s">
        <v>59</v>
      </c>
      <c r="P160" s="1" t="s">
        <v>36</v>
      </c>
      <c r="Q160" s="7" t="s">
        <v>97</v>
      </c>
      <c r="R160" s="6"/>
      <c r="S160" s="6"/>
      <c r="T160" s="6"/>
      <c r="U160" s="6"/>
    </row>
    <row r="161" spans="1:21" s="21" customFormat="1" ht="126" customHeight="1" x14ac:dyDescent="0.25">
      <c r="A161" s="86" t="s">
        <v>472</v>
      </c>
      <c r="B161" s="15">
        <v>41942</v>
      </c>
      <c r="C161" s="16" t="s">
        <v>476</v>
      </c>
      <c r="D161" s="15" t="s">
        <v>476</v>
      </c>
      <c r="E161" s="16" t="s">
        <v>476</v>
      </c>
      <c r="F161" s="66" t="str">
        <f>+"10-JUL-2014"</f>
        <v>10-JUL-2014</v>
      </c>
      <c r="G161" s="47">
        <f t="shared" si="2"/>
        <v>251</v>
      </c>
      <c r="H161" s="66" t="str">
        <f>+""</f>
        <v/>
      </c>
      <c r="I161" s="18"/>
      <c r="J161" s="1"/>
      <c r="K161" s="16"/>
      <c r="L161" s="1" t="s">
        <v>19</v>
      </c>
      <c r="M161" s="86" t="s">
        <v>473</v>
      </c>
      <c r="N161" s="1" t="s">
        <v>13</v>
      </c>
      <c r="O161" s="1" t="s">
        <v>14</v>
      </c>
      <c r="P161" s="1" t="s">
        <v>41</v>
      </c>
      <c r="Q161" s="7" t="s">
        <v>474</v>
      </c>
      <c r="R161" s="6"/>
      <c r="S161" s="6"/>
      <c r="T161" s="6"/>
      <c r="U161" s="6"/>
    </row>
    <row r="162" spans="1:21" ht="141.94999999999999" customHeight="1" x14ac:dyDescent="0.25">
      <c r="A162" s="86" t="s">
        <v>481</v>
      </c>
      <c r="B162" s="15">
        <v>41906</v>
      </c>
      <c r="C162" s="16" t="s">
        <v>476</v>
      </c>
      <c r="D162" s="15" t="s">
        <v>476</v>
      </c>
      <c r="E162" s="16" t="s">
        <v>476</v>
      </c>
      <c r="F162" s="66" t="str">
        <f>+"11-JUL-2014"</f>
        <v>11-JUL-2014</v>
      </c>
      <c r="G162" s="47">
        <f t="shared" si="2"/>
        <v>250</v>
      </c>
      <c r="H162" s="66"/>
      <c r="I162" s="18"/>
      <c r="J162" s="1"/>
      <c r="K162" s="16"/>
      <c r="L162" s="1" t="s">
        <v>19</v>
      </c>
      <c r="M162" s="86" t="s">
        <v>580</v>
      </c>
      <c r="N162" s="1" t="s">
        <v>13</v>
      </c>
      <c r="O162" s="1" t="s">
        <v>17</v>
      </c>
      <c r="P162" s="1" t="s">
        <v>36</v>
      </c>
      <c r="Q162" s="7" t="s">
        <v>290</v>
      </c>
    </row>
    <row r="163" spans="1:21" ht="98.45" customHeight="1" x14ac:dyDescent="0.25">
      <c r="A163" s="86" t="s">
        <v>482</v>
      </c>
      <c r="B163" s="15">
        <v>41884</v>
      </c>
      <c r="C163" s="16">
        <v>41906</v>
      </c>
      <c r="D163" s="15" t="s">
        <v>476</v>
      </c>
      <c r="E163" s="16" t="s">
        <v>476</v>
      </c>
      <c r="F163" s="66" t="str">
        <f>+"15-JUL-2014"</f>
        <v>15-JUL-2014</v>
      </c>
      <c r="G163" s="47">
        <f t="shared" si="2"/>
        <v>246</v>
      </c>
      <c r="H163" s="66"/>
      <c r="I163" s="18"/>
      <c r="J163" s="1"/>
      <c r="K163" s="16"/>
      <c r="L163" s="1" t="s">
        <v>10</v>
      </c>
      <c r="M163" s="86" t="s">
        <v>485</v>
      </c>
      <c r="N163" s="1" t="s">
        <v>13</v>
      </c>
      <c r="O163" s="1" t="s">
        <v>17</v>
      </c>
      <c r="P163" s="1" t="s">
        <v>41</v>
      </c>
      <c r="Q163" s="7" t="s">
        <v>486</v>
      </c>
    </row>
    <row r="164" spans="1:21" ht="97.15" customHeight="1" x14ac:dyDescent="0.25">
      <c r="A164" s="86" t="s">
        <v>360</v>
      </c>
      <c r="B164" s="15" t="s">
        <v>476</v>
      </c>
      <c r="C164" s="16" t="s">
        <v>476</v>
      </c>
      <c r="D164" s="15" t="s">
        <v>476</v>
      </c>
      <c r="E164" s="16" t="s">
        <v>476</v>
      </c>
      <c r="F164" s="66" t="str">
        <f>+"17-JUL-2014"</f>
        <v>17-JUL-2014</v>
      </c>
      <c r="G164" s="47">
        <f t="shared" si="2"/>
        <v>244</v>
      </c>
      <c r="H164" s="66" t="str">
        <f>+""</f>
        <v/>
      </c>
      <c r="I164" s="18"/>
      <c r="J164" s="1"/>
      <c r="K164" s="16"/>
      <c r="L164" s="1" t="s">
        <v>10</v>
      </c>
      <c r="M164" s="86" t="s">
        <v>361</v>
      </c>
      <c r="N164" s="1" t="s">
        <v>13</v>
      </c>
      <c r="O164" s="1" t="s">
        <v>25</v>
      </c>
      <c r="P164" s="1" t="s">
        <v>21</v>
      </c>
      <c r="Q164" s="7" t="s">
        <v>134</v>
      </c>
    </row>
    <row r="165" spans="1:21" ht="171.2" customHeight="1" x14ac:dyDescent="0.25">
      <c r="A165" s="86" t="s">
        <v>488</v>
      </c>
      <c r="B165" s="15" t="s">
        <v>476</v>
      </c>
      <c r="C165" s="16" t="s">
        <v>476</v>
      </c>
      <c r="D165" s="15" t="s">
        <v>476</v>
      </c>
      <c r="E165" s="16" t="s">
        <v>476</v>
      </c>
      <c r="F165" s="66">
        <v>41838</v>
      </c>
      <c r="G165" s="47">
        <f t="shared" si="2"/>
        <v>243</v>
      </c>
      <c r="H165" s="66"/>
      <c r="I165" s="18"/>
      <c r="J165" s="1"/>
      <c r="K165" s="16"/>
      <c r="L165" s="86" t="s">
        <v>19</v>
      </c>
      <c r="M165" s="86" t="s">
        <v>689</v>
      </c>
      <c r="N165" s="86" t="s">
        <v>13</v>
      </c>
      <c r="O165" s="86" t="s">
        <v>25</v>
      </c>
      <c r="P165" s="1" t="s">
        <v>41</v>
      </c>
      <c r="Q165" s="89" t="s">
        <v>65</v>
      </c>
    </row>
    <row r="166" spans="1:21" ht="126" customHeight="1" x14ac:dyDescent="0.25">
      <c r="A166" s="86" t="s">
        <v>362</v>
      </c>
      <c r="B166" s="53">
        <v>42040</v>
      </c>
      <c r="C166" s="16" t="s">
        <v>476</v>
      </c>
      <c r="D166" s="15" t="s">
        <v>476</v>
      </c>
      <c r="E166" s="16" t="s">
        <v>476</v>
      </c>
      <c r="F166" s="66" t="str">
        <f>+"18-JUL-2014"</f>
        <v>18-JUL-2014</v>
      </c>
      <c r="G166" s="47">
        <f t="shared" si="2"/>
        <v>243</v>
      </c>
      <c r="H166" s="66" t="str">
        <f>+""</f>
        <v/>
      </c>
      <c r="I166" s="18"/>
      <c r="J166" s="1"/>
      <c r="K166" s="16"/>
      <c r="L166" s="1" t="s">
        <v>10</v>
      </c>
      <c r="M166" s="86" t="s">
        <v>363</v>
      </c>
      <c r="N166" s="1" t="s">
        <v>13</v>
      </c>
      <c r="O166" s="1" t="s">
        <v>17</v>
      </c>
      <c r="P166" s="1" t="s">
        <v>21</v>
      </c>
      <c r="Q166" s="7" t="s">
        <v>72</v>
      </c>
    </row>
    <row r="167" spans="1:21" ht="126" customHeight="1" x14ac:dyDescent="0.25">
      <c r="A167" s="82" t="s">
        <v>641</v>
      </c>
      <c r="B167" s="15">
        <v>41885</v>
      </c>
      <c r="C167" s="16">
        <v>41894</v>
      </c>
      <c r="D167" s="15">
        <v>41957</v>
      </c>
      <c r="E167" s="16" t="s">
        <v>476</v>
      </c>
      <c r="F167" s="77" t="str">
        <f>+"21-JUL-2014"</f>
        <v>21-JUL-2014</v>
      </c>
      <c r="G167" s="47">
        <f t="shared" si="2"/>
        <v>240</v>
      </c>
      <c r="H167" s="77"/>
      <c r="I167" s="18"/>
      <c r="J167" s="1"/>
      <c r="K167" s="16"/>
      <c r="L167" s="82" t="s">
        <v>10</v>
      </c>
      <c r="M167" s="86" t="s">
        <v>647</v>
      </c>
      <c r="N167" s="82" t="s">
        <v>13</v>
      </c>
      <c r="O167" s="82" t="s">
        <v>14</v>
      </c>
      <c r="P167" s="1" t="s">
        <v>21</v>
      </c>
      <c r="Q167" s="83" t="s">
        <v>22</v>
      </c>
    </row>
    <row r="168" spans="1:21" ht="159" customHeight="1" x14ac:dyDescent="0.25">
      <c r="A168" s="86" t="s">
        <v>483</v>
      </c>
      <c r="B168" s="15" t="s">
        <v>476</v>
      </c>
      <c r="C168" s="16" t="s">
        <v>476</v>
      </c>
      <c r="D168" s="15" t="s">
        <v>476</v>
      </c>
      <c r="E168" s="16" t="s">
        <v>476</v>
      </c>
      <c r="F168" s="66" t="str">
        <f>+"22-JUL-2014"</f>
        <v>22-JUL-2014</v>
      </c>
      <c r="G168" s="47">
        <f t="shared" si="2"/>
        <v>239</v>
      </c>
      <c r="H168" s="66"/>
      <c r="I168" s="18"/>
      <c r="J168" s="1"/>
      <c r="K168" s="16"/>
      <c r="L168" s="1" t="s">
        <v>19</v>
      </c>
      <c r="M168" s="86" t="s">
        <v>690</v>
      </c>
      <c r="N168" s="1" t="s">
        <v>13</v>
      </c>
      <c r="O168" s="1" t="s">
        <v>59</v>
      </c>
      <c r="P168" s="86" t="s">
        <v>36</v>
      </c>
      <c r="Q168" s="7" t="s">
        <v>290</v>
      </c>
    </row>
    <row r="169" spans="1:21" ht="126" customHeight="1" x14ac:dyDescent="0.25">
      <c r="A169" s="86" t="s">
        <v>530</v>
      </c>
      <c r="B169" s="15" t="s">
        <v>476</v>
      </c>
      <c r="C169" s="15" t="s">
        <v>476</v>
      </c>
      <c r="D169" s="15" t="s">
        <v>476</v>
      </c>
      <c r="E169" s="15" t="s">
        <v>476</v>
      </c>
      <c r="F169" s="66" t="str">
        <f>+"04-AUG-2014"</f>
        <v>04-AUG-2014</v>
      </c>
      <c r="G169" s="47">
        <f t="shared" si="2"/>
        <v>226</v>
      </c>
      <c r="H169" s="66"/>
      <c r="I169" s="18"/>
      <c r="J169" s="1"/>
      <c r="K169" s="16"/>
      <c r="L169" s="1" t="s">
        <v>10</v>
      </c>
      <c r="M169" s="86" t="s">
        <v>546</v>
      </c>
      <c r="N169" s="1" t="s">
        <v>13</v>
      </c>
      <c r="O169" s="1" t="s">
        <v>14</v>
      </c>
      <c r="P169" s="88" t="s">
        <v>21</v>
      </c>
      <c r="Q169" s="7" t="s">
        <v>16</v>
      </c>
    </row>
    <row r="170" spans="1:21" ht="155.65" customHeight="1" x14ac:dyDescent="0.25">
      <c r="A170" s="86" t="s">
        <v>503</v>
      </c>
      <c r="B170" s="15" t="s">
        <v>476</v>
      </c>
      <c r="C170" s="16" t="s">
        <v>476</v>
      </c>
      <c r="D170" s="15" t="s">
        <v>476</v>
      </c>
      <c r="E170" s="16" t="s">
        <v>476</v>
      </c>
      <c r="F170" s="66">
        <v>41857</v>
      </c>
      <c r="G170" s="47">
        <f t="shared" si="2"/>
        <v>224</v>
      </c>
      <c r="H170" s="66"/>
      <c r="I170" s="18"/>
      <c r="J170" s="1"/>
      <c r="K170" s="16"/>
      <c r="L170" s="1" t="s">
        <v>10</v>
      </c>
      <c r="M170" s="86" t="s">
        <v>692</v>
      </c>
      <c r="N170" s="1" t="s">
        <v>13</v>
      </c>
      <c r="O170" s="1" t="s">
        <v>12</v>
      </c>
      <c r="P170" s="86" t="s">
        <v>652</v>
      </c>
      <c r="Q170" s="7" t="s">
        <v>504</v>
      </c>
    </row>
    <row r="171" spans="1:21" ht="108" customHeight="1" x14ac:dyDescent="0.25">
      <c r="A171" s="86" t="s">
        <v>531</v>
      </c>
      <c r="B171" s="53">
        <v>42040</v>
      </c>
      <c r="C171" s="16" t="s">
        <v>476</v>
      </c>
      <c r="D171" s="15" t="s">
        <v>476</v>
      </c>
      <c r="E171" s="16" t="s">
        <v>476</v>
      </c>
      <c r="F171" s="66" t="str">
        <f>+"06-AUG-2014"</f>
        <v>06-AUG-2014</v>
      </c>
      <c r="G171" s="47">
        <f t="shared" si="2"/>
        <v>224</v>
      </c>
      <c r="H171" s="66"/>
      <c r="I171" s="18"/>
      <c r="J171" s="1"/>
      <c r="K171" s="16"/>
      <c r="L171" s="1" t="s">
        <v>10</v>
      </c>
      <c r="M171" s="86" t="s">
        <v>547</v>
      </c>
      <c r="N171" s="1" t="s">
        <v>13</v>
      </c>
      <c r="O171" s="1" t="s">
        <v>17</v>
      </c>
      <c r="P171" s="1" t="s">
        <v>21</v>
      </c>
      <c r="Q171" s="7" t="s">
        <v>71</v>
      </c>
    </row>
    <row r="172" spans="1:21" ht="110.85" customHeight="1" x14ac:dyDescent="0.25">
      <c r="A172" s="86" t="s">
        <v>489</v>
      </c>
      <c r="B172" s="15">
        <v>41946</v>
      </c>
      <c r="C172" s="16">
        <v>41960</v>
      </c>
      <c r="D172" s="15">
        <v>42068</v>
      </c>
      <c r="E172" s="16" t="s">
        <v>476</v>
      </c>
      <c r="F172" s="66">
        <v>41859</v>
      </c>
      <c r="G172" s="47">
        <f t="shared" si="2"/>
        <v>222</v>
      </c>
      <c r="H172" s="66"/>
      <c r="I172" s="18"/>
      <c r="J172" s="1"/>
      <c r="K172" s="16"/>
      <c r="L172" s="1" t="s">
        <v>10</v>
      </c>
      <c r="M172" s="86" t="s">
        <v>693</v>
      </c>
      <c r="N172" s="1" t="s">
        <v>13</v>
      </c>
      <c r="O172" s="1" t="s">
        <v>59</v>
      </c>
      <c r="P172" s="1" t="s">
        <v>36</v>
      </c>
      <c r="Q172" s="7" t="s">
        <v>243</v>
      </c>
    </row>
    <row r="173" spans="1:21" ht="126" customHeight="1" x14ac:dyDescent="0.25">
      <c r="A173" s="86" t="s">
        <v>532</v>
      </c>
      <c r="B173" s="15" t="s">
        <v>476</v>
      </c>
      <c r="C173" s="16" t="s">
        <v>476</v>
      </c>
      <c r="D173" s="15" t="s">
        <v>476</v>
      </c>
      <c r="E173" s="16" t="s">
        <v>476</v>
      </c>
      <c r="F173" s="66" t="str">
        <f>+"13-AUG-2014"</f>
        <v>13-AUG-2014</v>
      </c>
      <c r="G173" s="47">
        <f t="shared" si="2"/>
        <v>217</v>
      </c>
      <c r="H173" s="66"/>
      <c r="I173" s="18"/>
      <c r="J173" s="86"/>
      <c r="K173" s="16"/>
      <c r="L173" s="86"/>
      <c r="M173" s="86" t="s">
        <v>548</v>
      </c>
      <c r="N173" s="86" t="s">
        <v>13</v>
      </c>
      <c r="O173" s="86" t="s">
        <v>25</v>
      </c>
      <c r="P173" s="86" t="s">
        <v>41</v>
      </c>
      <c r="Q173" s="89" t="s">
        <v>108</v>
      </c>
    </row>
    <row r="174" spans="1:21" ht="126" customHeight="1" x14ac:dyDescent="0.25">
      <c r="A174" s="86" t="s">
        <v>535</v>
      </c>
      <c r="B174" s="15" t="s">
        <v>476</v>
      </c>
      <c r="C174" s="16" t="s">
        <v>476</v>
      </c>
      <c r="D174" s="15" t="s">
        <v>476</v>
      </c>
      <c r="E174" s="16" t="s">
        <v>476</v>
      </c>
      <c r="F174" s="66" t="str">
        <f>+"14-AUG-2014"</f>
        <v>14-AUG-2014</v>
      </c>
      <c r="G174" s="47">
        <f t="shared" si="2"/>
        <v>216</v>
      </c>
      <c r="H174" s="66"/>
      <c r="I174" s="18"/>
      <c r="J174" s="86"/>
      <c r="K174" s="16"/>
      <c r="L174" s="86" t="s">
        <v>10</v>
      </c>
      <c r="M174" s="86" t="s">
        <v>551</v>
      </c>
      <c r="N174" s="86" t="s">
        <v>13</v>
      </c>
      <c r="O174" s="86" t="s">
        <v>25</v>
      </c>
      <c r="P174" s="86" t="s">
        <v>21</v>
      </c>
      <c r="Q174" s="89" t="s">
        <v>149</v>
      </c>
    </row>
    <row r="175" spans="1:21" ht="126" customHeight="1" x14ac:dyDescent="0.25">
      <c r="A175" s="86" t="s">
        <v>538</v>
      </c>
      <c r="B175" s="16" t="s">
        <v>476</v>
      </c>
      <c r="C175" s="16" t="s">
        <v>476</v>
      </c>
      <c r="D175" s="16" t="s">
        <v>476</v>
      </c>
      <c r="E175" s="16" t="s">
        <v>476</v>
      </c>
      <c r="F175" s="66" t="str">
        <f>+"14-AUG-2014"</f>
        <v>14-AUG-2014</v>
      </c>
      <c r="G175" s="47">
        <f t="shared" si="2"/>
        <v>216</v>
      </c>
      <c r="H175" s="66"/>
      <c r="I175" s="18"/>
      <c r="J175" s="86"/>
      <c r="K175" s="16"/>
      <c r="L175" s="86" t="s">
        <v>19</v>
      </c>
      <c r="M175" s="86" t="s">
        <v>554</v>
      </c>
      <c r="N175" s="86" t="s">
        <v>13</v>
      </c>
      <c r="O175" s="86" t="s">
        <v>14</v>
      </c>
      <c r="P175" s="86" t="s">
        <v>41</v>
      </c>
      <c r="Q175" s="89" t="s">
        <v>263</v>
      </c>
    </row>
    <row r="176" spans="1:21" ht="126" customHeight="1" x14ac:dyDescent="0.25">
      <c r="A176" s="86" t="s">
        <v>529</v>
      </c>
      <c r="B176" s="16">
        <v>41948</v>
      </c>
      <c r="C176" s="16" t="s">
        <v>476</v>
      </c>
      <c r="D176" s="16" t="s">
        <v>476</v>
      </c>
      <c r="E176" s="16" t="s">
        <v>476</v>
      </c>
      <c r="F176" s="66" t="str">
        <f>+"25-AUG-2014"</f>
        <v>25-AUG-2014</v>
      </c>
      <c r="G176" s="47">
        <f t="shared" si="2"/>
        <v>205</v>
      </c>
      <c r="H176" s="66"/>
      <c r="I176" s="18"/>
      <c r="J176" s="86"/>
      <c r="K176" s="16"/>
      <c r="L176" s="86" t="s">
        <v>19</v>
      </c>
      <c r="M176" s="86" t="s">
        <v>545</v>
      </c>
      <c r="N176" s="86" t="s">
        <v>13</v>
      </c>
      <c r="O176" s="86" t="s">
        <v>25</v>
      </c>
      <c r="P176" s="1" t="s">
        <v>36</v>
      </c>
      <c r="Q176" s="7" t="s">
        <v>181</v>
      </c>
    </row>
    <row r="177" spans="1:18" ht="103.35" customHeight="1" x14ac:dyDescent="0.25">
      <c r="A177" s="86" t="s">
        <v>536</v>
      </c>
      <c r="B177" s="15">
        <v>42019</v>
      </c>
      <c r="C177" s="15" t="s">
        <v>476</v>
      </c>
      <c r="D177" s="15" t="s">
        <v>476</v>
      </c>
      <c r="E177" s="15" t="s">
        <v>476</v>
      </c>
      <c r="F177" s="24" t="str">
        <f>+"28-AUG-2014"</f>
        <v>28-AUG-2014</v>
      </c>
      <c r="G177" s="47">
        <f t="shared" si="2"/>
        <v>202</v>
      </c>
      <c r="I177" s="18"/>
      <c r="J177" s="86"/>
      <c r="K177" s="16"/>
      <c r="L177" s="88" t="s">
        <v>10</v>
      </c>
      <c r="M177" s="86" t="s">
        <v>552</v>
      </c>
      <c r="N177" s="1" t="s">
        <v>13</v>
      </c>
      <c r="O177" s="1" t="s">
        <v>48</v>
      </c>
      <c r="P177" s="1" t="s">
        <v>41</v>
      </c>
      <c r="Q177" s="89" t="s">
        <v>108</v>
      </c>
      <c r="R177" s="21"/>
    </row>
    <row r="178" spans="1:18" ht="126" customHeight="1" x14ac:dyDescent="0.25">
      <c r="A178" s="86" t="s">
        <v>518</v>
      </c>
      <c r="B178" s="15">
        <v>41906</v>
      </c>
      <c r="C178" s="24">
        <v>41962</v>
      </c>
      <c r="D178" s="15" t="s">
        <v>476</v>
      </c>
      <c r="E178" s="16" t="s">
        <v>476</v>
      </c>
      <c r="F178" s="66">
        <v>41879</v>
      </c>
      <c r="G178" s="47">
        <f t="shared" si="2"/>
        <v>202</v>
      </c>
      <c r="H178" s="66"/>
      <c r="I178" s="18"/>
      <c r="J178" s="86"/>
      <c r="K178" s="16"/>
      <c r="L178" s="86" t="s">
        <v>10</v>
      </c>
      <c r="M178" s="86" t="s">
        <v>519</v>
      </c>
      <c r="N178" s="86" t="s">
        <v>13</v>
      </c>
      <c r="O178" s="86" t="s">
        <v>14</v>
      </c>
      <c r="P178" s="86" t="s">
        <v>41</v>
      </c>
      <c r="Q178" s="7" t="s">
        <v>520</v>
      </c>
    </row>
    <row r="179" spans="1:18" ht="114.75" customHeight="1" x14ac:dyDescent="0.25">
      <c r="A179" s="86" t="s">
        <v>539</v>
      </c>
      <c r="B179" s="15">
        <v>41962</v>
      </c>
      <c r="C179" s="16" t="s">
        <v>476</v>
      </c>
      <c r="D179" s="15" t="s">
        <v>476</v>
      </c>
      <c r="E179" s="16">
        <v>42055</v>
      </c>
      <c r="F179" s="66" t="str">
        <f>+"28-AUG-2014"</f>
        <v>28-AUG-2014</v>
      </c>
      <c r="G179" s="47">
        <f t="shared" si="2"/>
        <v>202</v>
      </c>
      <c r="H179" s="66"/>
      <c r="I179" s="18"/>
      <c r="J179" s="86"/>
      <c r="K179" s="16"/>
      <c r="L179" s="86" t="s">
        <v>19</v>
      </c>
      <c r="M179" s="86" t="s">
        <v>555</v>
      </c>
      <c r="N179" s="86" t="s">
        <v>13</v>
      </c>
      <c r="O179" s="86" t="s">
        <v>42</v>
      </c>
      <c r="P179" s="1" t="s">
        <v>21</v>
      </c>
      <c r="Q179" s="7" t="s">
        <v>33</v>
      </c>
    </row>
    <row r="180" spans="1:18" ht="126" customHeight="1" x14ac:dyDescent="0.25">
      <c r="A180" s="86" t="s">
        <v>515</v>
      </c>
      <c r="B180" s="15">
        <v>41964</v>
      </c>
      <c r="C180" s="16">
        <v>42068</v>
      </c>
      <c r="D180" s="15" t="s">
        <v>476</v>
      </c>
      <c r="E180" s="16" t="s">
        <v>476</v>
      </c>
      <c r="F180" s="66">
        <v>41885</v>
      </c>
      <c r="G180" s="47">
        <f t="shared" si="2"/>
        <v>196</v>
      </c>
      <c r="H180" s="66"/>
      <c r="I180" s="18"/>
      <c r="J180" s="86"/>
      <c r="K180" s="16"/>
      <c r="L180" s="86" t="s">
        <v>19</v>
      </c>
      <c r="M180" s="86" t="s">
        <v>516</v>
      </c>
      <c r="N180" s="86" t="s">
        <v>13</v>
      </c>
      <c r="O180" s="86" t="s">
        <v>17</v>
      </c>
      <c r="P180" s="1" t="s">
        <v>41</v>
      </c>
      <c r="Q180" s="7" t="s">
        <v>633</v>
      </c>
    </row>
    <row r="181" spans="1:18" ht="126" customHeight="1" x14ac:dyDescent="0.25">
      <c r="A181" s="86" t="s">
        <v>505</v>
      </c>
      <c r="B181" s="15" t="s">
        <v>476</v>
      </c>
      <c r="C181" s="16" t="s">
        <v>476</v>
      </c>
      <c r="D181" s="15" t="s">
        <v>476</v>
      </c>
      <c r="E181" s="16" t="s">
        <v>476</v>
      </c>
      <c r="F181" s="66" t="str">
        <f>+"10-SEP-2014"</f>
        <v>10-SEP-2014</v>
      </c>
      <c r="G181" s="47">
        <f t="shared" si="2"/>
        <v>189</v>
      </c>
      <c r="H181" s="66"/>
      <c r="I181" s="18"/>
      <c r="J181" s="86"/>
      <c r="K181" s="16"/>
      <c r="L181" s="86" t="s">
        <v>19</v>
      </c>
      <c r="M181" s="86" t="s">
        <v>507</v>
      </c>
      <c r="N181" s="86" t="s">
        <v>13</v>
      </c>
      <c r="O181" s="86" t="s">
        <v>14</v>
      </c>
      <c r="P181" s="1" t="s">
        <v>21</v>
      </c>
      <c r="Q181" s="7" t="s">
        <v>509</v>
      </c>
    </row>
    <row r="182" spans="1:18" ht="118.15" customHeight="1" x14ac:dyDescent="0.25">
      <c r="A182" s="11" t="s">
        <v>521</v>
      </c>
      <c r="B182" s="15" t="s">
        <v>476</v>
      </c>
      <c r="C182" s="15" t="s">
        <v>476</v>
      </c>
      <c r="D182" s="15" t="s">
        <v>476</v>
      </c>
      <c r="E182" s="15" t="s">
        <v>476</v>
      </c>
      <c r="F182" s="64">
        <v>41907</v>
      </c>
      <c r="G182" s="47">
        <f t="shared" si="2"/>
        <v>174</v>
      </c>
      <c r="H182" s="64"/>
      <c r="I182" s="20"/>
      <c r="J182" s="11"/>
      <c r="K182" s="15"/>
      <c r="L182" s="11" t="s">
        <v>19</v>
      </c>
      <c r="M182" s="11" t="s">
        <v>522</v>
      </c>
      <c r="N182" s="11" t="s">
        <v>13</v>
      </c>
      <c r="O182" s="11" t="s">
        <v>25</v>
      </c>
      <c r="P182" s="11" t="s">
        <v>36</v>
      </c>
      <c r="Q182" s="12" t="s">
        <v>513</v>
      </c>
    </row>
    <row r="183" spans="1:18" ht="100.5" customHeight="1" x14ac:dyDescent="0.25">
      <c r="A183" s="11" t="s">
        <v>523</v>
      </c>
      <c r="B183" s="15">
        <v>41988</v>
      </c>
      <c r="C183" s="15" t="s">
        <v>476</v>
      </c>
      <c r="D183" s="15" t="s">
        <v>476</v>
      </c>
      <c r="E183" s="15" t="s">
        <v>476</v>
      </c>
      <c r="F183" s="64">
        <v>41913</v>
      </c>
      <c r="G183" s="47">
        <f t="shared" si="2"/>
        <v>168</v>
      </c>
      <c r="H183" s="64"/>
      <c r="I183" s="20"/>
      <c r="J183" s="11"/>
      <c r="K183" s="15"/>
      <c r="L183" s="11" t="s">
        <v>19</v>
      </c>
      <c r="M183" s="11" t="s">
        <v>524</v>
      </c>
      <c r="N183" s="11" t="s">
        <v>13</v>
      </c>
      <c r="O183" s="11" t="s">
        <v>25</v>
      </c>
      <c r="P183" s="11" t="s">
        <v>36</v>
      </c>
      <c r="Q183" s="12" t="s">
        <v>513</v>
      </c>
    </row>
    <row r="184" spans="1:18" ht="179.45" customHeight="1" x14ac:dyDescent="0.25">
      <c r="A184" s="11" t="s">
        <v>525</v>
      </c>
      <c r="B184" s="15" t="s">
        <v>476</v>
      </c>
      <c r="C184" s="15" t="s">
        <v>476</v>
      </c>
      <c r="D184" s="15" t="s">
        <v>476</v>
      </c>
      <c r="E184" s="15" t="s">
        <v>476</v>
      </c>
      <c r="F184" s="64">
        <v>41914</v>
      </c>
      <c r="G184" s="47">
        <f t="shared" si="2"/>
        <v>167</v>
      </c>
      <c r="H184" s="64"/>
      <c r="I184" s="20"/>
      <c r="J184" s="11"/>
      <c r="K184" s="15"/>
      <c r="L184" s="11" t="s">
        <v>19</v>
      </c>
      <c r="M184" s="11" t="s">
        <v>694</v>
      </c>
      <c r="N184" s="11" t="s">
        <v>13</v>
      </c>
      <c r="O184" s="11" t="s">
        <v>25</v>
      </c>
      <c r="P184" s="11" t="s">
        <v>36</v>
      </c>
      <c r="Q184" s="12" t="s">
        <v>513</v>
      </c>
    </row>
    <row r="185" spans="1:18" ht="126" customHeight="1" x14ac:dyDescent="0.25">
      <c r="A185" s="86" t="s">
        <v>540</v>
      </c>
      <c r="B185" s="15">
        <v>41978</v>
      </c>
      <c r="C185" s="15">
        <v>42009</v>
      </c>
      <c r="D185" s="15" t="s">
        <v>476</v>
      </c>
      <c r="E185" s="15" t="s">
        <v>476</v>
      </c>
      <c r="F185" s="66" t="str">
        <f>+"02-OCT-2014"</f>
        <v>02-OCT-2014</v>
      </c>
      <c r="G185" s="47">
        <f t="shared" si="2"/>
        <v>167</v>
      </c>
      <c r="H185" s="66"/>
      <c r="I185" s="18"/>
      <c r="J185" s="86"/>
      <c r="K185" s="16"/>
      <c r="L185" s="86" t="s">
        <v>19</v>
      </c>
      <c r="M185" s="86" t="s">
        <v>556</v>
      </c>
      <c r="N185" s="86" t="s">
        <v>13</v>
      </c>
      <c r="O185" s="86" t="s">
        <v>14</v>
      </c>
      <c r="P185" s="1" t="s">
        <v>21</v>
      </c>
      <c r="Q185" s="7" t="s">
        <v>65</v>
      </c>
    </row>
    <row r="186" spans="1:18" ht="146.85" customHeight="1" x14ac:dyDescent="0.25">
      <c r="A186" s="86" t="s">
        <v>537</v>
      </c>
      <c r="B186" s="15" t="s">
        <v>476</v>
      </c>
      <c r="C186" s="15" t="s">
        <v>476</v>
      </c>
      <c r="D186" s="15" t="s">
        <v>476</v>
      </c>
      <c r="E186" s="15" t="s">
        <v>476</v>
      </c>
      <c r="F186" s="66" t="str">
        <f>+"09-OCT-2014"</f>
        <v>09-OCT-2014</v>
      </c>
      <c r="G186" s="47">
        <f t="shared" si="2"/>
        <v>160</v>
      </c>
      <c r="H186" s="66"/>
      <c r="I186" s="18"/>
      <c r="J186" s="48"/>
      <c r="K186" s="16"/>
      <c r="L186" s="86"/>
      <c r="M186" s="86" t="s">
        <v>553</v>
      </c>
      <c r="N186" s="86" t="s">
        <v>13</v>
      </c>
      <c r="O186" s="86" t="s">
        <v>14</v>
      </c>
      <c r="P186" s="1" t="s">
        <v>21</v>
      </c>
      <c r="Q186" s="7" t="s">
        <v>16</v>
      </c>
    </row>
    <row r="187" spans="1:18" ht="98.45" customHeight="1" x14ac:dyDescent="0.25">
      <c r="A187" s="82" t="s">
        <v>564</v>
      </c>
      <c r="B187" s="15" t="s">
        <v>476</v>
      </c>
      <c r="C187" s="15" t="s">
        <v>476</v>
      </c>
      <c r="D187" s="15" t="s">
        <v>476</v>
      </c>
      <c r="E187" s="15" t="s">
        <v>476</v>
      </c>
      <c r="F187" s="77" t="str">
        <f>+"16-OCT-2014"</f>
        <v>16-OCT-2014</v>
      </c>
      <c r="G187" s="47">
        <f t="shared" si="2"/>
        <v>153</v>
      </c>
      <c r="H187" s="77"/>
      <c r="I187" s="18"/>
      <c r="J187" s="86"/>
      <c r="K187" s="87"/>
      <c r="L187" s="30"/>
      <c r="M187" s="86" t="s">
        <v>574</v>
      </c>
      <c r="N187" s="86" t="s">
        <v>13</v>
      </c>
      <c r="O187" s="82" t="s">
        <v>17</v>
      </c>
      <c r="P187" s="1" t="s">
        <v>36</v>
      </c>
      <c r="Q187" s="89" t="s">
        <v>54</v>
      </c>
    </row>
    <row r="188" spans="1:18" ht="197.1" customHeight="1" x14ac:dyDescent="0.25">
      <c r="A188" s="82" t="s">
        <v>565</v>
      </c>
      <c r="B188" s="15" t="s">
        <v>476</v>
      </c>
      <c r="C188" s="15" t="s">
        <v>476</v>
      </c>
      <c r="D188" s="15" t="s">
        <v>476</v>
      </c>
      <c r="E188" s="15" t="s">
        <v>476</v>
      </c>
      <c r="F188" s="77" t="str">
        <f>+"16-OCT-2014"</f>
        <v>16-OCT-2014</v>
      </c>
      <c r="G188" s="47">
        <f t="shared" si="2"/>
        <v>153</v>
      </c>
      <c r="H188" s="77"/>
      <c r="I188" s="18"/>
      <c r="J188" s="86"/>
      <c r="K188" s="87"/>
      <c r="L188" s="82" t="s">
        <v>19</v>
      </c>
      <c r="M188" s="86" t="s">
        <v>695</v>
      </c>
      <c r="N188" s="86" t="s">
        <v>13</v>
      </c>
      <c r="O188" s="82" t="s">
        <v>12</v>
      </c>
      <c r="P188" s="86" t="s">
        <v>41</v>
      </c>
      <c r="Q188" s="89" t="s">
        <v>72</v>
      </c>
    </row>
    <row r="189" spans="1:18" ht="171.95" customHeight="1" x14ac:dyDescent="0.25">
      <c r="A189" s="82" t="s">
        <v>566</v>
      </c>
      <c r="B189" s="15">
        <v>41990</v>
      </c>
      <c r="C189" s="15">
        <v>42010</v>
      </c>
      <c r="D189" s="15" t="s">
        <v>476</v>
      </c>
      <c r="E189" s="15" t="s">
        <v>476</v>
      </c>
      <c r="F189" s="77" t="str">
        <f>+"16-OCT-2014"</f>
        <v>16-OCT-2014</v>
      </c>
      <c r="G189" s="47">
        <f t="shared" si="2"/>
        <v>153</v>
      </c>
      <c r="H189" s="77"/>
      <c r="I189" s="18"/>
      <c r="J189" s="86"/>
      <c r="K189" s="87"/>
      <c r="L189" s="82" t="s">
        <v>19</v>
      </c>
      <c r="M189" s="86" t="s">
        <v>696</v>
      </c>
      <c r="N189" s="86" t="s">
        <v>13</v>
      </c>
      <c r="O189" s="82" t="s">
        <v>14</v>
      </c>
      <c r="P189" s="86" t="s">
        <v>21</v>
      </c>
      <c r="Q189" s="89" t="s">
        <v>263</v>
      </c>
    </row>
    <row r="190" spans="1:18" ht="74.849999999999994" customHeight="1" x14ac:dyDescent="0.25">
      <c r="A190" s="82" t="s">
        <v>590</v>
      </c>
      <c r="B190" s="15" t="s">
        <v>476</v>
      </c>
      <c r="C190" s="15" t="s">
        <v>476</v>
      </c>
      <c r="D190" s="15" t="s">
        <v>476</v>
      </c>
      <c r="E190" s="15" t="s">
        <v>476</v>
      </c>
      <c r="F190" s="77" t="str">
        <f>+"17-OCT-2014"</f>
        <v>17-OCT-2014</v>
      </c>
      <c r="G190" s="47">
        <f t="shared" si="2"/>
        <v>152</v>
      </c>
      <c r="H190" s="74"/>
      <c r="I190" s="18"/>
      <c r="J190" s="86"/>
      <c r="K190" s="16"/>
      <c r="L190" s="86"/>
      <c r="M190" s="86" t="s">
        <v>594</v>
      </c>
      <c r="N190" s="86" t="s">
        <v>13</v>
      </c>
      <c r="O190" s="86" t="s">
        <v>25</v>
      </c>
      <c r="P190" s="86" t="s">
        <v>36</v>
      </c>
      <c r="Q190" s="89" t="s">
        <v>209</v>
      </c>
    </row>
    <row r="191" spans="1:18" ht="126" customHeight="1" x14ac:dyDescent="0.25">
      <c r="A191" s="82" t="s">
        <v>654</v>
      </c>
      <c r="B191" s="15" t="s">
        <v>476</v>
      </c>
      <c r="C191" s="15" t="s">
        <v>476</v>
      </c>
      <c r="D191" s="15" t="s">
        <v>476</v>
      </c>
      <c r="E191" s="15" t="s">
        <v>476</v>
      </c>
      <c r="F191" s="77" t="str">
        <f>+"28-OCT-2014"</f>
        <v>28-OCT-2014</v>
      </c>
      <c r="G191" s="47">
        <f t="shared" si="2"/>
        <v>141</v>
      </c>
      <c r="H191" s="74"/>
      <c r="I191" s="20"/>
      <c r="J191" s="11"/>
      <c r="K191" s="15"/>
      <c r="L191" s="82" t="s">
        <v>19</v>
      </c>
      <c r="M191" s="86" t="s">
        <v>673</v>
      </c>
      <c r="N191" s="86" t="s">
        <v>13</v>
      </c>
      <c r="O191" s="86" t="s">
        <v>48</v>
      </c>
      <c r="P191" s="86" t="s">
        <v>652</v>
      </c>
      <c r="Q191" s="22" t="s">
        <v>108</v>
      </c>
    </row>
    <row r="192" spans="1:18" ht="84.95" customHeight="1" x14ac:dyDescent="0.25">
      <c r="A192" s="82" t="s">
        <v>586</v>
      </c>
      <c r="B192" s="15" t="s">
        <v>476</v>
      </c>
      <c r="C192" s="15">
        <v>42069</v>
      </c>
      <c r="D192" s="15" t="s">
        <v>476</v>
      </c>
      <c r="E192" s="15" t="s">
        <v>476</v>
      </c>
      <c r="F192" s="77" t="str">
        <f>+"30-OCT-2014"</f>
        <v>30-OCT-2014</v>
      </c>
      <c r="G192" s="47">
        <f t="shared" si="2"/>
        <v>139</v>
      </c>
      <c r="H192" s="74"/>
      <c r="I192" s="20"/>
      <c r="J192" s="11"/>
      <c r="K192" s="15"/>
      <c r="L192" s="11" t="s">
        <v>10</v>
      </c>
      <c r="M192" s="86" t="s">
        <v>697</v>
      </c>
      <c r="N192" s="11" t="s">
        <v>13</v>
      </c>
      <c r="O192" s="11" t="s">
        <v>14</v>
      </c>
      <c r="P192" s="86" t="s">
        <v>36</v>
      </c>
      <c r="Q192" s="89" t="s">
        <v>622</v>
      </c>
    </row>
    <row r="193" spans="1:17" ht="92.45" customHeight="1" x14ac:dyDescent="0.25">
      <c r="A193" s="82" t="s">
        <v>591</v>
      </c>
      <c r="B193" s="15" t="s">
        <v>476</v>
      </c>
      <c r="C193" s="15" t="s">
        <v>476</v>
      </c>
      <c r="D193" s="15" t="s">
        <v>476</v>
      </c>
      <c r="E193" s="15" t="s">
        <v>476</v>
      </c>
      <c r="F193" s="77" t="str">
        <f>+"06-NOV-2014"</f>
        <v>06-NOV-2014</v>
      </c>
      <c r="G193" s="47">
        <f t="shared" si="2"/>
        <v>132</v>
      </c>
      <c r="H193" s="74"/>
      <c r="I193" s="18"/>
      <c r="J193" s="86"/>
      <c r="K193" s="16"/>
      <c r="L193" s="86" t="s">
        <v>19</v>
      </c>
      <c r="M193" s="86" t="s">
        <v>595</v>
      </c>
      <c r="N193" s="86" t="s">
        <v>13</v>
      </c>
      <c r="O193" s="82" t="s">
        <v>12</v>
      </c>
      <c r="P193" s="86" t="s">
        <v>41</v>
      </c>
      <c r="Q193" s="89" t="s">
        <v>290</v>
      </c>
    </row>
    <row r="194" spans="1:17" ht="126" customHeight="1" x14ac:dyDescent="0.25">
      <c r="A194" s="82" t="s">
        <v>587</v>
      </c>
      <c r="B194" s="15">
        <v>42012</v>
      </c>
      <c r="C194" s="46">
        <v>42040</v>
      </c>
      <c r="D194" s="15" t="s">
        <v>476</v>
      </c>
      <c r="E194" s="15" t="s">
        <v>476</v>
      </c>
      <c r="F194" s="77" t="str">
        <f>+"14-NOV-2014"</f>
        <v>14-NOV-2014</v>
      </c>
      <c r="G194" s="47">
        <f t="shared" si="2"/>
        <v>124</v>
      </c>
      <c r="H194" s="74"/>
      <c r="I194" s="20"/>
      <c r="J194" s="11"/>
      <c r="K194" s="15"/>
      <c r="L194" s="11" t="s">
        <v>10</v>
      </c>
      <c r="M194" s="86" t="s">
        <v>716</v>
      </c>
      <c r="N194" s="11" t="s">
        <v>13</v>
      </c>
      <c r="O194" s="11" t="s">
        <v>14</v>
      </c>
      <c r="P194" s="86" t="s">
        <v>36</v>
      </c>
      <c r="Q194" s="89" t="s">
        <v>763</v>
      </c>
    </row>
    <row r="195" spans="1:17" ht="126" customHeight="1" x14ac:dyDescent="0.25">
      <c r="A195" s="82" t="s">
        <v>588</v>
      </c>
      <c r="B195" s="15">
        <v>42012</v>
      </c>
      <c r="C195" s="15" t="s">
        <v>476</v>
      </c>
      <c r="D195" s="15" t="s">
        <v>476</v>
      </c>
      <c r="E195" s="15" t="s">
        <v>476</v>
      </c>
      <c r="F195" s="77" t="str">
        <f>+"14-NOV-2014"</f>
        <v>14-NOV-2014</v>
      </c>
      <c r="G195" s="47">
        <f t="shared" ref="G195:G257" si="3">DATE(2015, 3, 18)- F195</f>
        <v>124</v>
      </c>
      <c r="H195" s="74"/>
      <c r="I195" s="20"/>
      <c r="J195" s="11"/>
      <c r="K195" s="15"/>
      <c r="L195" s="11" t="s">
        <v>10</v>
      </c>
      <c r="M195" s="86" t="s">
        <v>699</v>
      </c>
      <c r="N195" s="11" t="s">
        <v>13</v>
      </c>
      <c r="O195" s="11" t="s">
        <v>59</v>
      </c>
      <c r="P195" s="86" t="s">
        <v>36</v>
      </c>
      <c r="Q195" s="89" t="s">
        <v>763</v>
      </c>
    </row>
    <row r="196" spans="1:17" ht="169.15" customHeight="1" x14ac:dyDescent="0.25">
      <c r="A196" s="86" t="s">
        <v>597</v>
      </c>
      <c r="B196" s="15" t="s">
        <v>476</v>
      </c>
      <c r="C196" s="15" t="s">
        <v>476</v>
      </c>
      <c r="D196" s="15" t="s">
        <v>476</v>
      </c>
      <c r="E196" s="15" t="s">
        <v>476</v>
      </c>
      <c r="F196" s="77" t="str">
        <f>+"18-NOV-2014"</f>
        <v>18-NOV-2014</v>
      </c>
      <c r="G196" s="47">
        <f t="shared" si="3"/>
        <v>120</v>
      </c>
      <c r="H196" s="74"/>
      <c r="I196" s="20"/>
      <c r="J196" s="11"/>
      <c r="K196" s="15"/>
      <c r="L196" s="82" t="s">
        <v>10</v>
      </c>
      <c r="M196" s="86" t="s">
        <v>700</v>
      </c>
      <c r="N196" s="82" t="s">
        <v>13</v>
      </c>
      <c r="O196" s="82" t="s">
        <v>14</v>
      </c>
      <c r="P196" s="86" t="s">
        <v>15</v>
      </c>
      <c r="Q196" s="89" t="s">
        <v>88</v>
      </c>
    </row>
    <row r="197" spans="1:17" ht="126" customHeight="1" x14ac:dyDescent="0.25">
      <c r="A197" s="86" t="s">
        <v>598</v>
      </c>
      <c r="B197" s="15" t="s">
        <v>476</v>
      </c>
      <c r="C197" s="15" t="s">
        <v>476</v>
      </c>
      <c r="D197" s="15" t="s">
        <v>476</v>
      </c>
      <c r="E197" s="15" t="s">
        <v>476</v>
      </c>
      <c r="F197" s="77" t="str">
        <f>+"18-NOV-2014"</f>
        <v>18-NOV-2014</v>
      </c>
      <c r="G197" s="47">
        <f t="shared" si="3"/>
        <v>120</v>
      </c>
      <c r="H197" s="74"/>
      <c r="I197" s="20"/>
      <c r="J197" s="11"/>
      <c r="K197" s="15"/>
      <c r="L197" s="82" t="s">
        <v>10</v>
      </c>
      <c r="M197" s="86" t="s">
        <v>701</v>
      </c>
      <c r="N197" s="82" t="s">
        <v>13</v>
      </c>
      <c r="O197" s="82" t="s">
        <v>42</v>
      </c>
      <c r="P197" s="86" t="s">
        <v>15</v>
      </c>
      <c r="Q197" s="89" t="s">
        <v>88</v>
      </c>
    </row>
    <row r="198" spans="1:17" ht="152.85" customHeight="1" x14ac:dyDescent="0.25">
      <c r="A198" s="86" t="s">
        <v>599</v>
      </c>
      <c r="B198" s="15" t="s">
        <v>476</v>
      </c>
      <c r="C198" s="15" t="s">
        <v>476</v>
      </c>
      <c r="D198" s="15" t="s">
        <v>476</v>
      </c>
      <c r="E198" s="15" t="s">
        <v>476</v>
      </c>
      <c r="F198" s="77" t="str">
        <f>+"18-NOV-2014"</f>
        <v>18-NOV-2014</v>
      </c>
      <c r="G198" s="47">
        <f t="shared" si="3"/>
        <v>120</v>
      </c>
      <c r="H198" s="74"/>
      <c r="I198" s="20"/>
      <c r="J198" s="11"/>
      <c r="K198" s="15"/>
      <c r="L198" s="82" t="s">
        <v>10</v>
      </c>
      <c r="M198" s="86" t="s">
        <v>702</v>
      </c>
      <c r="N198" s="82" t="s">
        <v>13</v>
      </c>
      <c r="O198" s="82" t="s">
        <v>42</v>
      </c>
      <c r="P198" s="1" t="s">
        <v>15</v>
      </c>
      <c r="Q198" s="89" t="s">
        <v>88</v>
      </c>
    </row>
    <row r="199" spans="1:17" ht="126" customHeight="1" x14ac:dyDescent="0.25">
      <c r="A199" s="86" t="s">
        <v>600</v>
      </c>
      <c r="B199" s="15" t="s">
        <v>476</v>
      </c>
      <c r="C199" s="15" t="s">
        <v>476</v>
      </c>
      <c r="D199" s="15" t="s">
        <v>476</v>
      </c>
      <c r="E199" s="15" t="s">
        <v>476</v>
      </c>
      <c r="F199" s="77" t="str">
        <f>+"18-NOV-2014"</f>
        <v>18-NOV-2014</v>
      </c>
      <c r="G199" s="47">
        <f t="shared" si="3"/>
        <v>120</v>
      </c>
      <c r="H199" s="74"/>
      <c r="I199" s="20"/>
      <c r="J199" s="11"/>
      <c r="K199" s="15"/>
      <c r="L199" s="82" t="s">
        <v>10</v>
      </c>
      <c r="M199" s="86" t="s">
        <v>703</v>
      </c>
      <c r="N199" s="82" t="s">
        <v>13</v>
      </c>
      <c r="O199" s="82" t="s">
        <v>59</v>
      </c>
      <c r="P199" s="1" t="s">
        <v>15</v>
      </c>
      <c r="Q199" s="89" t="s">
        <v>88</v>
      </c>
    </row>
    <row r="200" spans="1:17" ht="178.7" customHeight="1" x14ac:dyDescent="0.25">
      <c r="A200" s="86" t="s">
        <v>606</v>
      </c>
      <c r="B200" s="15" t="s">
        <v>476</v>
      </c>
      <c r="C200" s="15" t="s">
        <v>476</v>
      </c>
      <c r="D200" s="15" t="s">
        <v>476</v>
      </c>
      <c r="E200" s="15" t="s">
        <v>476</v>
      </c>
      <c r="F200" s="77" t="str">
        <f>+"20-NOV-2014"</f>
        <v>20-NOV-2014</v>
      </c>
      <c r="G200" s="47">
        <f t="shared" si="3"/>
        <v>118</v>
      </c>
      <c r="H200" s="74"/>
      <c r="I200" s="18"/>
      <c r="J200" s="86"/>
      <c r="K200" s="16"/>
      <c r="L200" s="82" t="s">
        <v>10</v>
      </c>
      <c r="M200" s="86" t="s">
        <v>704</v>
      </c>
      <c r="N200" s="82" t="s">
        <v>13</v>
      </c>
      <c r="O200" s="82" t="s">
        <v>59</v>
      </c>
      <c r="P200" s="1" t="s">
        <v>36</v>
      </c>
      <c r="Q200" s="89" t="s">
        <v>209</v>
      </c>
    </row>
    <row r="201" spans="1:17" ht="156.19999999999999" customHeight="1" x14ac:dyDescent="0.25">
      <c r="A201" s="86" t="s">
        <v>601</v>
      </c>
      <c r="B201" s="15" t="s">
        <v>476</v>
      </c>
      <c r="C201" s="15">
        <v>42068</v>
      </c>
      <c r="D201" s="15" t="s">
        <v>476</v>
      </c>
      <c r="E201" s="15" t="s">
        <v>476</v>
      </c>
      <c r="F201" s="77" t="str">
        <f>+"21-NOV-2014"</f>
        <v>21-NOV-2014</v>
      </c>
      <c r="G201" s="47">
        <f t="shared" si="3"/>
        <v>117</v>
      </c>
      <c r="H201" s="74"/>
      <c r="I201" s="20"/>
      <c r="J201" s="11"/>
      <c r="K201" s="15"/>
      <c r="L201" s="82" t="s">
        <v>10</v>
      </c>
      <c r="M201" s="86" t="s">
        <v>705</v>
      </c>
      <c r="N201" s="82" t="s">
        <v>13</v>
      </c>
      <c r="O201" s="82" t="s">
        <v>14</v>
      </c>
      <c r="P201" s="1" t="s">
        <v>21</v>
      </c>
      <c r="Q201" s="89" t="s">
        <v>254</v>
      </c>
    </row>
    <row r="202" spans="1:17" ht="139.35" customHeight="1" x14ac:dyDescent="0.25">
      <c r="A202" s="86" t="s">
        <v>602</v>
      </c>
      <c r="B202" s="15" t="s">
        <v>476</v>
      </c>
      <c r="C202" s="15" t="s">
        <v>476</v>
      </c>
      <c r="D202" s="15" t="s">
        <v>476</v>
      </c>
      <c r="E202" s="15" t="s">
        <v>476</v>
      </c>
      <c r="F202" s="77" t="str">
        <f>+"24-NOV-2014"</f>
        <v>24-NOV-2014</v>
      </c>
      <c r="G202" s="47">
        <f t="shared" si="3"/>
        <v>114</v>
      </c>
      <c r="H202" s="74"/>
      <c r="I202" s="20"/>
      <c r="J202" s="11"/>
      <c r="K202" s="15"/>
      <c r="L202" s="82" t="s">
        <v>10</v>
      </c>
      <c r="M202" s="86" t="s">
        <v>706</v>
      </c>
      <c r="N202" s="82" t="s">
        <v>13</v>
      </c>
      <c r="O202" s="82" t="s">
        <v>17</v>
      </c>
      <c r="P202" s="1" t="s">
        <v>36</v>
      </c>
      <c r="Q202" s="89" t="s">
        <v>72</v>
      </c>
    </row>
    <row r="203" spans="1:17" ht="101.85" customHeight="1" x14ac:dyDescent="0.25">
      <c r="A203" s="86" t="s">
        <v>603</v>
      </c>
      <c r="B203" s="15">
        <v>42018</v>
      </c>
      <c r="C203" s="15" t="s">
        <v>476</v>
      </c>
      <c r="D203" s="15" t="s">
        <v>476</v>
      </c>
      <c r="E203" s="15" t="s">
        <v>476</v>
      </c>
      <c r="F203" s="77" t="str">
        <f>+"25-NOV-2014"</f>
        <v>25-NOV-2014</v>
      </c>
      <c r="G203" s="47">
        <f t="shared" si="3"/>
        <v>113</v>
      </c>
      <c r="H203" s="74"/>
      <c r="I203" s="20"/>
      <c r="J203" s="11"/>
      <c r="K203" s="15"/>
      <c r="L203" s="82" t="s">
        <v>10</v>
      </c>
      <c r="M203" s="86" t="s">
        <v>707</v>
      </c>
      <c r="N203" s="82" t="s">
        <v>13</v>
      </c>
      <c r="O203" s="82" t="s">
        <v>14</v>
      </c>
      <c r="P203" s="1" t="s">
        <v>21</v>
      </c>
      <c r="Q203" s="89" t="s">
        <v>243</v>
      </c>
    </row>
    <row r="204" spans="1:17" ht="126" customHeight="1" x14ac:dyDescent="0.25">
      <c r="A204" s="86" t="s">
        <v>604</v>
      </c>
      <c r="B204" s="15" t="s">
        <v>476</v>
      </c>
      <c r="C204" s="15">
        <v>42076</v>
      </c>
      <c r="D204" s="15" t="s">
        <v>476</v>
      </c>
      <c r="E204" s="15" t="s">
        <v>476</v>
      </c>
      <c r="F204" s="77" t="str">
        <f>+"26-NOV-2014"</f>
        <v>26-NOV-2014</v>
      </c>
      <c r="G204" s="47">
        <f t="shared" si="3"/>
        <v>112</v>
      </c>
      <c r="H204" s="74"/>
      <c r="I204" s="20"/>
      <c r="J204" s="11"/>
      <c r="K204" s="15"/>
      <c r="L204" s="82" t="s">
        <v>10</v>
      </c>
      <c r="M204" s="86" t="s">
        <v>708</v>
      </c>
      <c r="N204" s="82" t="s">
        <v>13</v>
      </c>
      <c r="O204" s="82" t="s">
        <v>14</v>
      </c>
      <c r="P204" s="1" t="s">
        <v>21</v>
      </c>
      <c r="Q204" s="89" t="s">
        <v>254</v>
      </c>
    </row>
    <row r="205" spans="1:17" ht="126" customHeight="1" x14ac:dyDescent="0.25">
      <c r="A205" s="82" t="s">
        <v>642</v>
      </c>
      <c r="B205" s="15">
        <v>42044</v>
      </c>
      <c r="C205" s="15">
        <v>42072</v>
      </c>
      <c r="D205" s="15" t="s">
        <v>476</v>
      </c>
      <c r="E205" s="15" t="s">
        <v>476</v>
      </c>
      <c r="F205" s="77" t="str">
        <f>+"26-NOV-2014"</f>
        <v>26-NOV-2014</v>
      </c>
      <c r="G205" s="47">
        <f t="shared" si="3"/>
        <v>112</v>
      </c>
      <c r="H205" s="74"/>
      <c r="I205" s="18"/>
      <c r="J205" s="86"/>
      <c r="K205" s="82"/>
      <c r="L205" s="82" t="s">
        <v>10</v>
      </c>
      <c r="M205" s="86" t="s">
        <v>648</v>
      </c>
      <c r="N205" s="82" t="s">
        <v>13</v>
      </c>
      <c r="O205" s="87" t="s">
        <v>25</v>
      </c>
      <c r="P205" s="86" t="s">
        <v>21</v>
      </c>
      <c r="Q205" s="83" t="s">
        <v>181</v>
      </c>
    </row>
    <row r="206" spans="1:17" ht="160.35" customHeight="1" x14ac:dyDescent="0.25">
      <c r="A206" s="86" t="s">
        <v>605</v>
      </c>
      <c r="B206" s="15" t="s">
        <v>476</v>
      </c>
      <c r="C206" s="15" t="s">
        <v>476</v>
      </c>
      <c r="D206" s="15" t="s">
        <v>476</v>
      </c>
      <c r="E206" s="15" t="s">
        <v>476</v>
      </c>
      <c r="F206" s="77" t="str">
        <f>+"01-DEC-2014"</f>
        <v>01-DEC-2014</v>
      </c>
      <c r="G206" s="47">
        <f t="shared" si="3"/>
        <v>107</v>
      </c>
      <c r="H206" s="74"/>
      <c r="I206" s="18"/>
      <c r="J206" s="86"/>
      <c r="K206" s="82"/>
      <c r="L206" s="82" t="s">
        <v>10</v>
      </c>
      <c r="M206" s="86" t="s">
        <v>709</v>
      </c>
      <c r="N206" s="82" t="s">
        <v>13</v>
      </c>
      <c r="O206" s="82" t="s">
        <v>608</v>
      </c>
      <c r="P206" s="86" t="s">
        <v>15</v>
      </c>
      <c r="Q206" s="89" t="s">
        <v>108</v>
      </c>
    </row>
    <row r="207" spans="1:17" ht="134.44999999999999" customHeight="1" x14ac:dyDescent="0.25">
      <c r="A207" s="82" t="s">
        <v>624</v>
      </c>
      <c r="B207" s="15" t="s">
        <v>476</v>
      </c>
      <c r="C207" s="15" t="s">
        <v>476</v>
      </c>
      <c r="D207" s="15" t="s">
        <v>476</v>
      </c>
      <c r="E207" s="15" t="s">
        <v>476</v>
      </c>
      <c r="F207" s="77" t="str">
        <f>+"03-DEC-2014"</f>
        <v>03-DEC-2014</v>
      </c>
      <c r="G207" s="47">
        <f t="shared" si="3"/>
        <v>105</v>
      </c>
      <c r="H207" s="74"/>
      <c r="I207" s="20"/>
      <c r="J207" s="11"/>
      <c r="K207" s="15"/>
      <c r="L207" s="82" t="s">
        <v>19</v>
      </c>
      <c r="M207" s="86" t="s">
        <v>710</v>
      </c>
      <c r="N207" s="82" t="s">
        <v>13</v>
      </c>
      <c r="O207" s="82" t="s">
        <v>25</v>
      </c>
      <c r="P207" s="86" t="s">
        <v>36</v>
      </c>
      <c r="Q207" s="83" t="s">
        <v>653</v>
      </c>
    </row>
    <row r="208" spans="1:17" ht="126" customHeight="1" x14ac:dyDescent="0.25">
      <c r="A208" s="82" t="s">
        <v>626</v>
      </c>
      <c r="B208" s="15" t="s">
        <v>476</v>
      </c>
      <c r="C208" s="15" t="s">
        <v>476</v>
      </c>
      <c r="D208" s="15" t="s">
        <v>476</v>
      </c>
      <c r="E208" s="15" t="s">
        <v>476</v>
      </c>
      <c r="F208" s="77" t="str">
        <f>+"03-DEC-2014"</f>
        <v>03-DEC-2014</v>
      </c>
      <c r="G208" s="47">
        <f t="shared" si="3"/>
        <v>105</v>
      </c>
      <c r="H208" s="74"/>
      <c r="I208" s="20"/>
      <c r="J208" s="11"/>
      <c r="K208" s="15"/>
      <c r="L208" s="82" t="s">
        <v>10</v>
      </c>
      <c r="M208" s="86" t="s">
        <v>717</v>
      </c>
      <c r="N208" s="82" t="s">
        <v>13</v>
      </c>
      <c r="O208" s="82" t="s">
        <v>14</v>
      </c>
      <c r="P208" s="86" t="s">
        <v>36</v>
      </c>
      <c r="Q208" s="83" t="s">
        <v>474</v>
      </c>
    </row>
    <row r="209" spans="1:18" ht="170.45" customHeight="1" x14ac:dyDescent="0.25">
      <c r="A209" s="82" t="s">
        <v>625</v>
      </c>
      <c r="B209" s="15" t="s">
        <v>476</v>
      </c>
      <c r="C209" s="15" t="s">
        <v>476</v>
      </c>
      <c r="D209" s="15" t="s">
        <v>476</v>
      </c>
      <c r="E209" s="15" t="s">
        <v>476</v>
      </c>
      <c r="F209" s="77" t="str">
        <f>+"05-DEC-2014"</f>
        <v>05-DEC-2014</v>
      </c>
      <c r="G209" s="47">
        <f t="shared" si="3"/>
        <v>103</v>
      </c>
      <c r="H209" s="74"/>
      <c r="I209" s="20"/>
      <c r="J209" s="11"/>
      <c r="K209" s="15"/>
      <c r="L209" s="82" t="s">
        <v>10</v>
      </c>
      <c r="M209" s="86" t="s">
        <v>711</v>
      </c>
      <c r="N209" s="82" t="s">
        <v>13</v>
      </c>
      <c r="O209" s="82" t="s">
        <v>14</v>
      </c>
      <c r="P209" s="86" t="s">
        <v>41</v>
      </c>
      <c r="Q209" s="83" t="s">
        <v>49</v>
      </c>
    </row>
    <row r="210" spans="1:18" ht="101.25" customHeight="1" x14ac:dyDescent="0.25">
      <c r="A210" s="71" t="s">
        <v>644</v>
      </c>
      <c r="B210" s="15">
        <v>42031</v>
      </c>
      <c r="C210" s="15" t="s">
        <v>476</v>
      </c>
      <c r="D210" s="15" t="s">
        <v>476</v>
      </c>
      <c r="E210" s="15" t="s">
        <v>476</v>
      </c>
      <c r="F210" s="3" t="str">
        <f>+"08-DEC-2014"</f>
        <v>08-DEC-2014</v>
      </c>
      <c r="G210" s="47">
        <f t="shared" si="3"/>
        <v>100</v>
      </c>
      <c r="H210" s="75"/>
      <c r="I210" s="54"/>
      <c r="J210" s="27"/>
      <c r="K210" s="72"/>
      <c r="L210" s="72" t="s">
        <v>10</v>
      </c>
      <c r="M210" s="27" t="s">
        <v>649</v>
      </c>
      <c r="N210" s="72" t="s">
        <v>13</v>
      </c>
      <c r="O210" s="65" t="s">
        <v>25</v>
      </c>
      <c r="P210" s="27" t="s">
        <v>15</v>
      </c>
      <c r="Q210" s="61" t="s">
        <v>764</v>
      </c>
    </row>
    <row r="211" spans="1:18" ht="165.2" customHeight="1" x14ac:dyDescent="0.25">
      <c r="A211" s="82" t="s">
        <v>627</v>
      </c>
      <c r="B211" s="15" t="s">
        <v>476</v>
      </c>
      <c r="C211" s="15" t="s">
        <v>476</v>
      </c>
      <c r="D211" s="15" t="s">
        <v>476</v>
      </c>
      <c r="E211" s="15" t="s">
        <v>476</v>
      </c>
      <c r="F211" s="77" t="str">
        <f>+"10-DEC-2014"</f>
        <v>10-DEC-2014</v>
      </c>
      <c r="G211" s="47">
        <f t="shared" si="3"/>
        <v>98</v>
      </c>
      <c r="H211" s="74"/>
      <c r="I211" s="20"/>
      <c r="J211" s="11"/>
      <c r="K211" s="15"/>
      <c r="L211" s="82" t="s">
        <v>10</v>
      </c>
      <c r="M211" s="86" t="s">
        <v>712</v>
      </c>
      <c r="N211" s="82" t="s">
        <v>13</v>
      </c>
      <c r="O211" s="82" t="s">
        <v>14</v>
      </c>
      <c r="P211" s="86" t="s">
        <v>21</v>
      </c>
      <c r="Q211" s="83" t="s">
        <v>137</v>
      </c>
    </row>
    <row r="212" spans="1:18" ht="97.15" customHeight="1" x14ac:dyDescent="0.25">
      <c r="A212" s="82" t="s">
        <v>657</v>
      </c>
      <c r="B212" s="15" t="s">
        <v>476</v>
      </c>
      <c r="C212" s="15" t="s">
        <v>476</v>
      </c>
      <c r="D212" s="15" t="s">
        <v>476</v>
      </c>
      <c r="E212" s="15" t="s">
        <v>476</v>
      </c>
      <c r="F212" s="77" t="str">
        <f>+"12-DEC-2014"</f>
        <v>12-DEC-2014</v>
      </c>
      <c r="G212" s="47">
        <f t="shared" si="3"/>
        <v>96</v>
      </c>
      <c r="H212" s="77"/>
      <c r="I212" s="20"/>
      <c r="J212" s="11"/>
      <c r="K212" s="15"/>
      <c r="L212" s="86" t="s">
        <v>10</v>
      </c>
      <c r="M212" s="86" t="s">
        <v>675</v>
      </c>
      <c r="N212" s="86" t="s">
        <v>13</v>
      </c>
      <c r="O212" s="86" t="s">
        <v>17</v>
      </c>
      <c r="P212" s="86" t="s">
        <v>652</v>
      </c>
      <c r="Q212" s="83" t="s">
        <v>592</v>
      </c>
    </row>
    <row r="213" spans="1:18" ht="87.6" customHeight="1" x14ac:dyDescent="0.25">
      <c r="A213" s="82" t="s">
        <v>643</v>
      </c>
      <c r="B213" s="15" t="s">
        <v>476</v>
      </c>
      <c r="C213" s="15" t="s">
        <v>476</v>
      </c>
      <c r="D213" s="15" t="s">
        <v>476</v>
      </c>
      <c r="E213" s="15" t="s">
        <v>476</v>
      </c>
      <c r="F213" s="77" t="str">
        <f>+"12-DEC-2014"</f>
        <v>12-DEC-2014</v>
      </c>
      <c r="G213" s="47">
        <f t="shared" si="3"/>
        <v>96</v>
      </c>
      <c r="H213" s="74"/>
      <c r="I213" s="18"/>
      <c r="J213" s="86"/>
      <c r="K213" s="82"/>
      <c r="L213" s="87"/>
      <c r="M213" s="86" t="s">
        <v>713</v>
      </c>
      <c r="N213" s="86" t="s">
        <v>13</v>
      </c>
      <c r="O213" s="86" t="s">
        <v>25</v>
      </c>
      <c r="P213" s="86" t="s">
        <v>36</v>
      </c>
      <c r="Q213" s="89" t="s">
        <v>54</v>
      </c>
    </row>
    <row r="214" spans="1:18" ht="126" customHeight="1" x14ac:dyDescent="0.25">
      <c r="A214" s="82" t="s">
        <v>628</v>
      </c>
      <c r="B214" s="15" t="s">
        <v>476</v>
      </c>
      <c r="C214" s="15" t="s">
        <v>476</v>
      </c>
      <c r="D214" s="15" t="s">
        <v>476</v>
      </c>
      <c r="E214" s="15" t="s">
        <v>476</v>
      </c>
      <c r="F214" s="77" t="str">
        <f>+"15-DEC-2014"</f>
        <v>15-DEC-2014</v>
      </c>
      <c r="G214" s="47">
        <f t="shared" si="3"/>
        <v>93</v>
      </c>
      <c r="H214" s="74"/>
      <c r="I214" s="20"/>
      <c r="J214" s="11"/>
      <c r="K214" s="15"/>
      <c r="L214" s="82" t="s">
        <v>19</v>
      </c>
      <c r="M214" s="86" t="s">
        <v>714</v>
      </c>
      <c r="N214" s="82" t="s">
        <v>13</v>
      </c>
      <c r="O214" s="82" t="s">
        <v>17</v>
      </c>
      <c r="P214" s="86" t="s">
        <v>41</v>
      </c>
      <c r="Q214" s="22" t="s">
        <v>71</v>
      </c>
    </row>
    <row r="215" spans="1:18" ht="126" customHeight="1" x14ac:dyDescent="0.25">
      <c r="A215" s="82" t="s">
        <v>656</v>
      </c>
      <c r="B215" s="15" t="s">
        <v>476</v>
      </c>
      <c r="C215" s="15" t="s">
        <v>476</v>
      </c>
      <c r="D215" s="15" t="s">
        <v>476</v>
      </c>
      <c r="E215" s="15" t="s">
        <v>476</v>
      </c>
      <c r="F215" s="77" t="str">
        <f>+"15-DEC-2014"</f>
        <v>15-DEC-2014</v>
      </c>
      <c r="G215" s="47">
        <f t="shared" si="3"/>
        <v>93</v>
      </c>
      <c r="H215" s="77"/>
      <c r="I215" s="20"/>
      <c r="J215" s="11"/>
      <c r="K215" s="15"/>
      <c r="L215" s="86" t="s">
        <v>10</v>
      </c>
      <c r="M215" s="86" t="s">
        <v>715</v>
      </c>
      <c r="N215" s="86" t="s">
        <v>13</v>
      </c>
      <c r="O215" s="86" t="s">
        <v>14</v>
      </c>
      <c r="P215" s="86" t="s">
        <v>15</v>
      </c>
      <c r="Q215" s="83" t="s">
        <v>653</v>
      </c>
    </row>
    <row r="216" spans="1:18" ht="101.85" customHeight="1" x14ac:dyDescent="0.25">
      <c r="A216" s="82" t="s">
        <v>655</v>
      </c>
      <c r="B216" s="15" t="s">
        <v>476</v>
      </c>
      <c r="C216" s="15" t="s">
        <v>476</v>
      </c>
      <c r="D216" s="15" t="s">
        <v>476</v>
      </c>
      <c r="E216" s="15" t="s">
        <v>476</v>
      </c>
      <c r="F216" s="77" t="str">
        <f>+"17-DEC-2014"</f>
        <v>17-DEC-2014</v>
      </c>
      <c r="G216" s="47">
        <f t="shared" si="3"/>
        <v>91</v>
      </c>
      <c r="H216" s="77"/>
      <c r="I216" s="20"/>
      <c r="J216" s="11"/>
      <c r="K216" s="15"/>
      <c r="L216" s="1" t="s">
        <v>19</v>
      </c>
      <c r="M216" s="86" t="s">
        <v>674</v>
      </c>
      <c r="N216" s="1" t="s">
        <v>13</v>
      </c>
      <c r="O216" s="1" t="s">
        <v>25</v>
      </c>
      <c r="P216" s="86" t="s">
        <v>652</v>
      </c>
      <c r="Q216" s="83" t="s">
        <v>653</v>
      </c>
    </row>
    <row r="217" spans="1:18" ht="99.95" customHeight="1" x14ac:dyDescent="0.25">
      <c r="A217" s="82" t="s">
        <v>658</v>
      </c>
      <c r="B217" s="15" t="s">
        <v>476</v>
      </c>
      <c r="C217" s="15" t="s">
        <v>476</v>
      </c>
      <c r="D217" s="15" t="s">
        <v>476</v>
      </c>
      <c r="E217" s="15" t="s">
        <v>476</v>
      </c>
      <c r="F217" s="77" t="str">
        <f>+"17-DEC-2014"</f>
        <v>17-DEC-2014</v>
      </c>
      <c r="G217" s="47">
        <f t="shared" si="3"/>
        <v>91</v>
      </c>
      <c r="H217" s="77"/>
      <c r="I217" s="20"/>
      <c r="J217" s="11"/>
      <c r="K217" s="15"/>
      <c r="L217" s="86" t="s">
        <v>10</v>
      </c>
      <c r="M217" s="86" t="s">
        <v>676</v>
      </c>
      <c r="N217" s="86" t="s">
        <v>13</v>
      </c>
      <c r="O217" s="86" t="s">
        <v>59</v>
      </c>
      <c r="P217" s="86" t="s">
        <v>36</v>
      </c>
      <c r="Q217" s="83" t="s">
        <v>16</v>
      </c>
    </row>
    <row r="218" spans="1:18" ht="110.85" customHeight="1" x14ac:dyDescent="0.25">
      <c r="A218" s="82" t="s">
        <v>663</v>
      </c>
      <c r="B218" s="15" t="s">
        <v>476</v>
      </c>
      <c r="C218" s="15" t="s">
        <v>476</v>
      </c>
      <c r="D218" s="15" t="s">
        <v>476</v>
      </c>
      <c r="E218" s="15" t="s">
        <v>476</v>
      </c>
      <c r="F218" s="77" t="str">
        <f>+"17-DEC-2014"</f>
        <v>17-DEC-2014</v>
      </c>
      <c r="G218" s="47">
        <f t="shared" si="3"/>
        <v>91</v>
      </c>
      <c r="H218" s="77"/>
      <c r="I218" s="20"/>
      <c r="J218" s="11"/>
      <c r="K218" s="15"/>
      <c r="L218" s="1" t="s">
        <v>19</v>
      </c>
      <c r="M218" s="86" t="s">
        <v>681</v>
      </c>
      <c r="N218" s="1" t="s">
        <v>13</v>
      </c>
      <c r="O218" s="1" t="s">
        <v>25</v>
      </c>
      <c r="P218" s="1" t="s">
        <v>36</v>
      </c>
      <c r="Q218" s="83" t="s">
        <v>662</v>
      </c>
    </row>
    <row r="219" spans="1:18" ht="87.6" customHeight="1" x14ac:dyDescent="0.25">
      <c r="A219" s="82" t="s">
        <v>659</v>
      </c>
      <c r="B219" s="15" t="s">
        <v>476</v>
      </c>
      <c r="C219" s="15">
        <v>42081</v>
      </c>
      <c r="D219" s="15" t="s">
        <v>476</v>
      </c>
      <c r="E219" s="15" t="s">
        <v>476</v>
      </c>
      <c r="F219" s="77" t="str">
        <f>+"18-DEC-2014"</f>
        <v>18-DEC-2014</v>
      </c>
      <c r="G219" s="47">
        <f t="shared" si="3"/>
        <v>90</v>
      </c>
      <c r="H219" s="77"/>
      <c r="I219" s="20"/>
      <c r="J219" s="11"/>
      <c r="K219" s="15"/>
      <c r="L219" s="1" t="s">
        <v>10</v>
      </c>
      <c r="M219" s="86" t="s">
        <v>677</v>
      </c>
      <c r="N219" s="1" t="s">
        <v>13</v>
      </c>
      <c r="O219" s="1" t="s">
        <v>59</v>
      </c>
      <c r="P219" s="86" t="s">
        <v>36</v>
      </c>
      <c r="Q219" s="83" t="s">
        <v>71</v>
      </c>
    </row>
    <row r="220" spans="1:18" ht="126" customHeight="1" x14ac:dyDescent="0.25">
      <c r="A220" s="82" t="s">
        <v>670</v>
      </c>
      <c r="B220" s="15" t="s">
        <v>476</v>
      </c>
      <c r="C220" s="15" t="s">
        <v>476</v>
      </c>
      <c r="D220" s="15" t="s">
        <v>476</v>
      </c>
      <c r="E220" s="15" t="s">
        <v>476</v>
      </c>
      <c r="F220" s="77" t="str">
        <f>+"18-DEC-2014"</f>
        <v>18-DEC-2014</v>
      </c>
      <c r="G220" s="47">
        <f t="shared" si="3"/>
        <v>90</v>
      </c>
      <c r="H220" s="77"/>
      <c r="I220" s="18"/>
      <c r="J220" s="86"/>
      <c r="K220" s="16"/>
      <c r="L220" s="1" t="s">
        <v>19</v>
      </c>
      <c r="M220" s="86" t="s">
        <v>686</v>
      </c>
      <c r="N220" s="1" t="s">
        <v>13</v>
      </c>
      <c r="O220" s="82" t="s">
        <v>14</v>
      </c>
      <c r="P220" s="1" t="s">
        <v>41</v>
      </c>
      <c r="Q220" s="83" t="s">
        <v>662</v>
      </c>
    </row>
    <row r="221" spans="1:18" ht="126" customHeight="1" x14ac:dyDescent="0.25">
      <c r="A221" s="82" t="s">
        <v>661</v>
      </c>
      <c r="B221" s="15" t="s">
        <v>476</v>
      </c>
      <c r="C221" s="15" t="s">
        <v>476</v>
      </c>
      <c r="D221" s="15" t="s">
        <v>476</v>
      </c>
      <c r="E221" s="15" t="s">
        <v>476</v>
      </c>
      <c r="F221" s="77" t="str">
        <f>+"19-DEC-2014"</f>
        <v>19-DEC-2014</v>
      </c>
      <c r="G221" s="47">
        <f t="shared" si="3"/>
        <v>89</v>
      </c>
      <c r="H221" s="77"/>
      <c r="I221" s="20"/>
      <c r="J221" s="11"/>
      <c r="K221" s="15"/>
      <c r="L221" s="1" t="s">
        <v>19</v>
      </c>
      <c r="M221" s="86" t="s">
        <v>680</v>
      </c>
      <c r="N221" s="1" t="s">
        <v>13</v>
      </c>
      <c r="O221" s="1" t="s">
        <v>25</v>
      </c>
      <c r="P221" s="88" t="s">
        <v>652</v>
      </c>
      <c r="Q221" s="83" t="s">
        <v>662</v>
      </c>
    </row>
    <row r="222" spans="1:18" ht="126" customHeight="1" x14ac:dyDescent="0.25">
      <c r="A222" s="82" t="s">
        <v>664</v>
      </c>
      <c r="B222" s="15" t="s">
        <v>476</v>
      </c>
      <c r="C222" s="15" t="s">
        <v>476</v>
      </c>
      <c r="D222" s="15" t="s">
        <v>476</v>
      </c>
      <c r="E222" s="15" t="s">
        <v>476</v>
      </c>
      <c r="F222" s="77" t="str">
        <f>+"19-DEC-2014"</f>
        <v>19-DEC-2014</v>
      </c>
      <c r="G222" s="47">
        <f t="shared" si="3"/>
        <v>89</v>
      </c>
      <c r="H222" s="77"/>
      <c r="I222" s="20"/>
      <c r="J222" s="11"/>
      <c r="K222" s="15"/>
      <c r="L222" s="1" t="s">
        <v>10</v>
      </c>
      <c r="M222" s="86" t="s">
        <v>679</v>
      </c>
      <c r="N222" s="1" t="s">
        <v>13</v>
      </c>
      <c r="O222" s="1" t="s">
        <v>14</v>
      </c>
      <c r="P222" s="88" t="s">
        <v>652</v>
      </c>
      <c r="Q222" s="83" t="s">
        <v>97</v>
      </c>
    </row>
    <row r="223" spans="1:18" ht="92.45" customHeight="1" x14ac:dyDescent="0.25">
      <c r="A223" s="82" t="s">
        <v>668</v>
      </c>
      <c r="B223" s="15" t="s">
        <v>476</v>
      </c>
      <c r="C223" s="15" t="s">
        <v>476</v>
      </c>
      <c r="D223" s="15">
        <v>42059</v>
      </c>
      <c r="E223" s="15" t="s">
        <v>476</v>
      </c>
      <c r="F223" s="77" t="str">
        <f>+"19-DEC-2014"</f>
        <v>19-DEC-2014</v>
      </c>
      <c r="G223" s="47">
        <f t="shared" si="3"/>
        <v>89</v>
      </c>
      <c r="H223" s="77"/>
      <c r="I223" s="18"/>
      <c r="J223" s="1"/>
      <c r="K223" s="82"/>
      <c r="L223" s="1" t="s">
        <v>10</v>
      </c>
      <c r="M223" s="86" t="s">
        <v>685</v>
      </c>
      <c r="N223" s="1" t="s">
        <v>13</v>
      </c>
      <c r="O223" s="1" t="s">
        <v>14</v>
      </c>
      <c r="P223" s="1" t="s">
        <v>652</v>
      </c>
      <c r="Q223" s="83" t="s">
        <v>108</v>
      </c>
      <c r="R223" s="21"/>
    </row>
    <row r="224" spans="1:18" ht="156.19999999999999" customHeight="1" x14ac:dyDescent="0.25">
      <c r="A224" s="82" t="s">
        <v>660</v>
      </c>
      <c r="B224" s="15" t="s">
        <v>476</v>
      </c>
      <c r="C224" s="15" t="s">
        <v>476</v>
      </c>
      <c r="D224" s="15" t="s">
        <v>476</v>
      </c>
      <c r="E224" s="15" t="s">
        <v>476</v>
      </c>
      <c r="F224" s="77" t="str">
        <f>+"22-DEC-2014"</f>
        <v>22-DEC-2014</v>
      </c>
      <c r="G224" s="47">
        <f t="shared" si="3"/>
        <v>86</v>
      </c>
      <c r="H224" s="77"/>
      <c r="I224" s="20"/>
      <c r="J224" s="11"/>
      <c r="K224" s="15"/>
      <c r="L224" s="1" t="s">
        <v>19</v>
      </c>
      <c r="M224" s="86" t="s">
        <v>678</v>
      </c>
      <c r="N224" s="1" t="s">
        <v>13</v>
      </c>
      <c r="O224" s="1" t="s">
        <v>25</v>
      </c>
      <c r="P224" s="1" t="s">
        <v>652</v>
      </c>
      <c r="Q224" s="83" t="s">
        <v>653</v>
      </c>
    </row>
    <row r="225" spans="1:17" ht="126" customHeight="1" x14ac:dyDescent="0.25">
      <c r="A225" s="82" t="s">
        <v>665</v>
      </c>
      <c r="B225" s="15" t="s">
        <v>476</v>
      </c>
      <c r="C225" s="15" t="s">
        <v>476</v>
      </c>
      <c r="D225" s="15" t="s">
        <v>476</v>
      </c>
      <c r="E225" s="15" t="s">
        <v>476</v>
      </c>
      <c r="F225" s="77" t="str">
        <f>+"24-DEC-2014"</f>
        <v>24-DEC-2014</v>
      </c>
      <c r="G225" s="47">
        <f t="shared" si="3"/>
        <v>84</v>
      </c>
      <c r="H225" s="77"/>
      <c r="I225" s="20"/>
      <c r="J225" s="11"/>
      <c r="K225" s="15"/>
      <c r="L225" s="1" t="s">
        <v>19</v>
      </c>
      <c r="M225" s="86" t="s">
        <v>682</v>
      </c>
      <c r="N225" s="1" t="s">
        <v>13</v>
      </c>
      <c r="O225" s="1" t="s">
        <v>25</v>
      </c>
      <c r="P225" s="1" t="s">
        <v>36</v>
      </c>
      <c r="Q225" s="83" t="s">
        <v>662</v>
      </c>
    </row>
    <row r="226" spans="1:17" ht="107.45" customHeight="1" x14ac:dyDescent="0.25">
      <c r="A226" s="82" t="s">
        <v>666</v>
      </c>
      <c r="B226" s="15" t="s">
        <v>476</v>
      </c>
      <c r="C226" s="15" t="s">
        <v>476</v>
      </c>
      <c r="D226" s="15" t="s">
        <v>476</v>
      </c>
      <c r="E226" s="15" t="s">
        <v>476</v>
      </c>
      <c r="F226" s="77" t="str">
        <f>+"02-JAN-2015"</f>
        <v>02-JAN-2015</v>
      </c>
      <c r="G226" s="47">
        <f t="shared" si="3"/>
        <v>75</v>
      </c>
      <c r="H226" s="77"/>
      <c r="I226" s="20"/>
      <c r="J226" s="11"/>
      <c r="K226" s="15"/>
      <c r="L226" s="1" t="s">
        <v>10</v>
      </c>
      <c r="M226" s="86" t="s">
        <v>683</v>
      </c>
      <c r="N226" s="1" t="s">
        <v>13</v>
      </c>
      <c r="O226" s="1" t="s">
        <v>17</v>
      </c>
      <c r="P226" s="1" t="s">
        <v>652</v>
      </c>
      <c r="Q226" s="83" t="s">
        <v>149</v>
      </c>
    </row>
    <row r="227" spans="1:17" ht="105.95" customHeight="1" x14ac:dyDescent="0.25">
      <c r="A227" s="82" t="s">
        <v>667</v>
      </c>
      <c r="B227" s="15" t="s">
        <v>476</v>
      </c>
      <c r="C227" s="15" t="s">
        <v>476</v>
      </c>
      <c r="D227" s="15" t="s">
        <v>476</v>
      </c>
      <c r="E227" s="15" t="s">
        <v>476</v>
      </c>
      <c r="F227" s="77" t="str">
        <f>+"05-JAN-2015"</f>
        <v>05-JAN-2015</v>
      </c>
      <c r="G227" s="47">
        <f t="shared" si="3"/>
        <v>72</v>
      </c>
      <c r="H227" s="77"/>
      <c r="I227" s="20"/>
      <c r="J227" s="11"/>
      <c r="K227" s="15"/>
      <c r="L227" s="1" t="s">
        <v>10</v>
      </c>
      <c r="M227" s="86" t="s">
        <v>684</v>
      </c>
      <c r="N227" s="1" t="s">
        <v>13</v>
      </c>
      <c r="O227" s="1" t="s">
        <v>17</v>
      </c>
      <c r="P227" s="88" t="s">
        <v>652</v>
      </c>
      <c r="Q227" s="83" t="s">
        <v>49</v>
      </c>
    </row>
    <row r="228" spans="1:17" ht="134.44999999999999" customHeight="1" x14ac:dyDescent="0.25">
      <c r="A228" s="82" t="s">
        <v>732</v>
      </c>
      <c r="B228" s="15" t="s">
        <v>476</v>
      </c>
      <c r="C228" s="15" t="s">
        <v>476</v>
      </c>
      <c r="D228" s="15" t="s">
        <v>476</v>
      </c>
      <c r="E228" s="15" t="s">
        <v>476</v>
      </c>
      <c r="F228" s="77">
        <v>42012</v>
      </c>
      <c r="G228" s="47">
        <f t="shared" si="3"/>
        <v>69</v>
      </c>
      <c r="H228" s="74"/>
      <c r="I228" s="20"/>
      <c r="J228" s="11"/>
      <c r="K228" s="15"/>
      <c r="L228" s="87" t="s">
        <v>10</v>
      </c>
      <c r="M228" s="86" t="s">
        <v>749</v>
      </c>
      <c r="N228" s="87" t="s">
        <v>13</v>
      </c>
      <c r="O228" s="87" t="s">
        <v>48</v>
      </c>
      <c r="P228" s="83" t="s">
        <v>652</v>
      </c>
      <c r="Q228" s="83" t="s">
        <v>108</v>
      </c>
    </row>
    <row r="229" spans="1:17" ht="126" customHeight="1" x14ac:dyDescent="0.25">
      <c r="A229" s="82" t="s">
        <v>733</v>
      </c>
      <c r="B229" s="15" t="s">
        <v>476</v>
      </c>
      <c r="C229" s="15" t="s">
        <v>476</v>
      </c>
      <c r="D229" s="15" t="s">
        <v>476</v>
      </c>
      <c r="E229" s="15" t="s">
        <v>476</v>
      </c>
      <c r="F229" s="77">
        <v>42017</v>
      </c>
      <c r="G229" s="47">
        <f t="shared" si="3"/>
        <v>64</v>
      </c>
      <c r="H229" s="74"/>
      <c r="I229" s="20"/>
      <c r="J229" s="11"/>
      <c r="K229" s="15"/>
      <c r="L229" s="1" t="s">
        <v>19</v>
      </c>
      <c r="M229" s="86" t="s">
        <v>750</v>
      </c>
      <c r="N229" s="87" t="s">
        <v>13</v>
      </c>
      <c r="O229" s="87" t="s">
        <v>25</v>
      </c>
      <c r="P229" s="83" t="s">
        <v>652</v>
      </c>
      <c r="Q229" s="83" t="s">
        <v>653</v>
      </c>
    </row>
    <row r="230" spans="1:17" ht="126" customHeight="1" x14ac:dyDescent="0.25">
      <c r="A230" s="82" t="s">
        <v>736</v>
      </c>
      <c r="B230" s="15" t="s">
        <v>476</v>
      </c>
      <c r="C230" s="15" t="s">
        <v>476</v>
      </c>
      <c r="D230" s="15" t="s">
        <v>476</v>
      </c>
      <c r="E230" s="15" t="s">
        <v>476</v>
      </c>
      <c r="F230" s="77">
        <v>42019</v>
      </c>
      <c r="G230" s="47">
        <f t="shared" si="3"/>
        <v>62</v>
      </c>
      <c r="H230" s="74"/>
      <c r="I230" s="18"/>
      <c r="J230" s="1"/>
      <c r="K230" s="16"/>
      <c r="L230" s="87" t="s">
        <v>19</v>
      </c>
      <c r="M230" s="86" t="s">
        <v>753</v>
      </c>
      <c r="N230" s="87" t="s">
        <v>13</v>
      </c>
      <c r="O230" s="87" t="s">
        <v>59</v>
      </c>
      <c r="P230" s="83" t="s">
        <v>41</v>
      </c>
      <c r="Q230" s="83" t="s">
        <v>243</v>
      </c>
    </row>
    <row r="231" spans="1:17" ht="126" customHeight="1" x14ac:dyDescent="0.25">
      <c r="A231" s="82" t="s">
        <v>734</v>
      </c>
      <c r="B231" s="15" t="s">
        <v>476</v>
      </c>
      <c r="C231" s="15" t="s">
        <v>476</v>
      </c>
      <c r="D231" s="15" t="s">
        <v>476</v>
      </c>
      <c r="E231" s="15" t="s">
        <v>476</v>
      </c>
      <c r="F231" s="77">
        <v>42020</v>
      </c>
      <c r="G231" s="47">
        <f t="shared" si="3"/>
        <v>61</v>
      </c>
      <c r="H231" s="74"/>
      <c r="I231" s="20"/>
      <c r="J231" s="11"/>
      <c r="K231" s="15"/>
      <c r="L231" s="87" t="s">
        <v>19</v>
      </c>
      <c r="M231" s="86" t="s">
        <v>751</v>
      </c>
      <c r="N231" s="87" t="s">
        <v>13</v>
      </c>
      <c r="O231" s="87" t="s">
        <v>25</v>
      </c>
      <c r="P231" s="83" t="s">
        <v>652</v>
      </c>
      <c r="Q231" s="83" t="s">
        <v>662</v>
      </c>
    </row>
    <row r="232" spans="1:17" ht="126" customHeight="1" x14ac:dyDescent="0.25">
      <c r="A232" s="82" t="s">
        <v>735</v>
      </c>
      <c r="B232" s="15" t="s">
        <v>476</v>
      </c>
      <c r="C232" s="15" t="s">
        <v>476</v>
      </c>
      <c r="D232" s="15" t="s">
        <v>476</v>
      </c>
      <c r="E232" s="15" t="s">
        <v>476</v>
      </c>
      <c r="F232" s="77">
        <v>42026</v>
      </c>
      <c r="G232" s="47">
        <f t="shared" si="3"/>
        <v>55</v>
      </c>
      <c r="H232" s="74"/>
      <c r="I232" s="20"/>
      <c r="J232" s="11"/>
      <c r="K232" s="15"/>
      <c r="L232" s="87" t="s">
        <v>19</v>
      </c>
      <c r="M232" s="86" t="s">
        <v>752</v>
      </c>
      <c r="N232" s="87" t="s">
        <v>13</v>
      </c>
      <c r="O232" s="87" t="s">
        <v>25</v>
      </c>
      <c r="P232" s="83" t="s">
        <v>652</v>
      </c>
      <c r="Q232" s="83" t="s">
        <v>49</v>
      </c>
    </row>
    <row r="233" spans="1:17" ht="126" customHeight="1" x14ac:dyDescent="0.25">
      <c r="A233" s="82" t="s">
        <v>761</v>
      </c>
      <c r="B233" s="15" t="s">
        <v>476</v>
      </c>
      <c r="C233" s="15" t="s">
        <v>476</v>
      </c>
      <c r="D233" s="15" t="s">
        <v>476</v>
      </c>
      <c r="E233" s="15" t="s">
        <v>476</v>
      </c>
      <c r="F233" s="77">
        <v>42032</v>
      </c>
      <c r="G233" s="47">
        <f t="shared" si="3"/>
        <v>49</v>
      </c>
      <c r="H233" s="74"/>
      <c r="I233" s="18"/>
      <c r="J233" s="1"/>
      <c r="K233" s="82"/>
      <c r="L233" s="87" t="s">
        <v>10</v>
      </c>
      <c r="M233" s="86" t="s">
        <v>776</v>
      </c>
      <c r="N233" s="87" t="s">
        <v>13</v>
      </c>
      <c r="O233" s="87" t="s">
        <v>17</v>
      </c>
      <c r="P233" s="49" t="s">
        <v>15</v>
      </c>
      <c r="Q233" s="83" t="s">
        <v>108</v>
      </c>
    </row>
    <row r="234" spans="1:17" ht="126" customHeight="1" x14ac:dyDescent="0.25">
      <c r="A234" s="82" t="s">
        <v>754</v>
      </c>
      <c r="B234" s="15" t="s">
        <v>476</v>
      </c>
      <c r="C234" s="15" t="s">
        <v>476</v>
      </c>
      <c r="D234" s="15" t="s">
        <v>476</v>
      </c>
      <c r="E234" s="15" t="s">
        <v>476</v>
      </c>
      <c r="F234" s="77">
        <v>42034</v>
      </c>
      <c r="G234" s="47">
        <f t="shared" si="3"/>
        <v>47</v>
      </c>
      <c r="H234" s="74"/>
      <c r="I234" s="20"/>
      <c r="J234" s="11"/>
      <c r="K234" s="15"/>
      <c r="L234" s="87" t="s">
        <v>10</v>
      </c>
      <c r="M234" s="86" t="s">
        <v>769</v>
      </c>
      <c r="N234" s="87" t="s">
        <v>13</v>
      </c>
      <c r="O234" s="87" t="s">
        <v>14</v>
      </c>
      <c r="P234" s="83" t="s">
        <v>652</v>
      </c>
      <c r="Q234" s="83" t="s">
        <v>134</v>
      </c>
    </row>
    <row r="235" spans="1:17" ht="126" customHeight="1" x14ac:dyDescent="0.25">
      <c r="A235" s="82" t="s">
        <v>759</v>
      </c>
      <c r="B235" s="15" t="s">
        <v>476</v>
      </c>
      <c r="C235" s="15" t="s">
        <v>476</v>
      </c>
      <c r="D235" s="15" t="s">
        <v>476</v>
      </c>
      <c r="E235" s="15" t="s">
        <v>476</v>
      </c>
      <c r="F235" s="77">
        <v>42034</v>
      </c>
      <c r="G235" s="47">
        <f t="shared" si="3"/>
        <v>47</v>
      </c>
      <c r="H235" s="74"/>
      <c r="I235" s="20"/>
      <c r="J235" s="11"/>
      <c r="K235" s="15"/>
      <c r="L235" s="87" t="s">
        <v>10</v>
      </c>
      <c r="M235" s="86" t="s">
        <v>774</v>
      </c>
      <c r="N235" s="87" t="s">
        <v>13</v>
      </c>
      <c r="O235" s="87" t="s">
        <v>14</v>
      </c>
      <c r="P235" s="83" t="s">
        <v>652</v>
      </c>
      <c r="Q235" s="83" t="s">
        <v>134</v>
      </c>
    </row>
    <row r="236" spans="1:17" ht="126" customHeight="1" x14ac:dyDescent="0.25">
      <c r="A236" s="82" t="s">
        <v>777</v>
      </c>
      <c r="B236" s="15" t="s">
        <v>476</v>
      </c>
      <c r="C236" s="73" t="s">
        <v>476</v>
      </c>
      <c r="D236" s="73" t="s">
        <v>476</v>
      </c>
      <c r="E236" s="73" t="s">
        <v>476</v>
      </c>
      <c r="F236" s="79">
        <v>42037</v>
      </c>
      <c r="G236" s="47">
        <f t="shared" si="3"/>
        <v>44</v>
      </c>
      <c r="H236" s="79"/>
      <c r="I236" s="73"/>
      <c r="J236" s="48"/>
      <c r="K236" s="73"/>
      <c r="L236" s="50"/>
      <c r="M236" s="50" t="s">
        <v>797</v>
      </c>
      <c r="N236" s="50" t="s">
        <v>13</v>
      </c>
      <c r="O236" s="50" t="s">
        <v>14</v>
      </c>
      <c r="P236" s="83" t="s">
        <v>15</v>
      </c>
      <c r="Q236" s="83" t="s">
        <v>88</v>
      </c>
    </row>
    <row r="237" spans="1:17" ht="126" customHeight="1" x14ac:dyDescent="0.25">
      <c r="A237" s="82" t="s">
        <v>755</v>
      </c>
      <c r="B237" s="15" t="s">
        <v>476</v>
      </c>
      <c r="C237" s="15" t="s">
        <v>476</v>
      </c>
      <c r="D237" s="15" t="s">
        <v>476</v>
      </c>
      <c r="E237" s="15" t="s">
        <v>476</v>
      </c>
      <c r="F237" s="77">
        <v>42037</v>
      </c>
      <c r="G237" s="47">
        <f t="shared" si="3"/>
        <v>44</v>
      </c>
      <c r="H237" s="74"/>
      <c r="I237" s="20"/>
      <c r="J237" s="11"/>
      <c r="K237" s="15"/>
      <c r="L237" s="87" t="s">
        <v>10</v>
      </c>
      <c r="M237" s="86" t="s">
        <v>770</v>
      </c>
      <c r="N237" s="87" t="s">
        <v>13</v>
      </c>
      <c r="O237" s="87" t="s">
        <v>59</v>
      </c>
      <c r="P237" s="83" t="s">
        <v>15</v>
      </c>
      <c r="Q237" s="83" t="s">
        <v>88</v>
      </c>
    </row>
    <row r="238" spans="1:17" ht="126" customHeight="1" x14ac:dyDescent="0.25">
      <c r="A238" s="82" t="s">
        <v>756</v>
      </c>
      <c r="B238" s="15" t="s">
        <v>476</v>
      </c>
      <c r="C238" s="15" t="s">
        <v>476</v>
      </c>
      <c r="D238" s="15" t="s">
        <v>476</v>
      </c>
      <c r="E238" s="15" t="s">
        <v>476</v>
      </c>
      <c r="F238" s="77">
        <v>42037</v>
      </c>
      <c r="G238" s="47">
        <f t="shared" si="3"/>
        <v>44</v>
      </c>
      <c r="H238" s="74"/>
      <c r="I238" s="20"/>
      <c r="J238" s="11"/>
      <c r="K238" s="15"/>
      <c r="L238" s="87" t="s">
        <v>10</v>
      </c>
      <c r="M238" s="86" t="s">
        <v>771</v>
      </c>
      <c r="N238" s="87" t="s">
        <v>13</v>
      </c>
      <c r="O238" s="87" t="s">
        <v>14</v>
      </c>
      <c r="P238" s="83" t="s">
        <v>15</v>
      </c>
      <c r="Q238" s="83" t="s">
        <v>88</v>
      </c>
    </row>
    <row r="239" spans="1:17" ht="126" customHeight="1" x14ac:dyDescent="0.25">
      <c r="A239" s="82" t="s">
        <v>757</v>
      </c>
      <c r="B239" s="15" t="s">
        <v>476</v>
      </c>
      <c r="C239" s="15" t="s">
        <v>476</v>
      </c>
      <c r="D239" s="15" t="s">
        <v>476</v>
      </c>
      <c r="E239" s="15" t="s">
        <v>476</v>
      </c>
      <c r="F239" s="77">
        <v>42037</v>
      </c>
      <c r="G239" s="47">
        <f t="shared" si="3"/>
        <v>44</v>
      </c>
      <c r="H239" s="74"/>
      <c r="I239" s="20"/>
      <c r="J239" s="11"/>
      <c r="K239" s="15"/>
      <c r="L239" s="87" t="s">
        <v>10</v>
      </c>
      <c r="M239" s="86" t="s">
        <v>772</v>
      </c>
      <c r="N239" s="87" t="s">
        <v>13</v>
      </c>
      <c r="O239" s="87" t="s">
        <v>14</v>
      </c>
      <c r="P239" s="83" t="s">
        <v>15</v>
      </c>
      <c r="Q239" s="83" t="s">
        <v>88</v>
      </c>
    </row>
    <row r="240" spans="1:17" ht="66.599999999999994" customHeight="1" x14ac:dyDescent="0.25">
      <c r="A240" s="82" t="s">
        <v>758</v>
      </c>
      <c r="B240" s="15" t="s">
        <v>476</v>
      </c>
      <c r="C240" s="15" t="s">
        <v>476</v>
      </c>
      <c r="D240" s="15">
        <v>42079</v>
      </c>
      <c r="E240" s="15" t="s">
        <v>476</v>
      </c>
      <c r="F240" s="77">
        <v>42038</v>
      </c>
      <c r="G240" s="47">
        <f t="shared" si="3"/>
        <v>43</v>
      </c>
      <c r="H240" s="74"/>
      <c r="I240" s="20"/>
      <c r="J240" s="11"/>
      <c r="K240" s="15"/>
      <c r="L240" s="87" t="s">
        <v>10</v>
      </c>
      <c r="M240" s="86" t="s">
        <v>773</v>
      </c>
      <c r="N240" s="87" t="s">
        <v>13</v>
      </c>
      <c r="O240" s="87" t="s">
        <v>25</v>
      </c>
      <c r="P240" s="83" t="s">
        <v>36</v>
      </c>
      <c r="Q240" s="83" t="s">
        <v>762</v>
      </c>
    </row>
    <row r="241" spans="1:18" ht="82.15" customHeight="1" x14ac:dyDescent="0.25">
      <c r="A241" s="82" t="s">
        <v>782</v>
      </c>
      <c r="B241" s="15" t="s">
        <v>476</v>
      </c>
      <c r="C241" s="73" t="s">
        <v>476</v>
      </c>
      <c r="D241" s="73" t="s">
        <v>476</v>
      </c>
      <c r="E241" s="73" t="s">
        <v>476</v>
      </c>
      <c r="F241" s="79">
        <v>42039</v>
      </c>
      <c r="G241" s="47">
        <f t="shared" si="3"/>
        <v>42</v>
      </c>
      <c r="H241" s="79"/>
      <c r="I241" s="73"/>
      <c r="J241" s="48"/>
      <c r="K241" s="73"/>
      <c r="L241" s="50"/>
      <c r="M241" s="50" t="s">
        <v>806</v>
      </c>
      <c r="N241" s="50" t="s">
        <v>13</v>
      </c>
      <c r="O241" s="50"/>
      <c r="P241" s="83" t="s">
        <v>21</v>
      </c>
      <c r="Q241" s="83" t="s">
        <v>209</v>
      </c>
    </row>
    <row r="242" spans="1:18" ht="84.95" customHeight="1" x14ac:dyDescent="0.25">
      <c r="A242" s="82" t="s">
        <v>787</v>
      </c>
      <c r="B242" s="15" t="s">
        <v>476</v>
      </c>
      <c r="C242" s="73" t="s">
        <v>476</v>
      </c>
      <c r="D242" s="73">
        <v>42100</v>
      </c>
      <c r="E242" s="73" t="s">
        <v>476</v>
      </c>
      <c r="F242" s="79">
        <v>42039</v>
      </c>
      <c r="G242" s="47">
        <f t="shared" si="3"/>
        <v>42</v>
      </c>
      <c r="H242" s="79"/>
      <c r="I242" s="73"/>
      <c r="J242" s="48"/>
      <c r="K242" s="73"/>
      <c r="L242" s="50"/>
      <c r="M242" s="50" t="s">
        <v>809</v>
      </c>
      <c r="N242" s="50" t="s">
        <v>13</v>
      </c>
      <c r="O242" s="50"/>
      <c r="P242" s="83" t="s">
        <v>652</v>
      </c>
      <c r="Q242" s="83" t="s">
        <v>88</v>
      </c>
    </row>
    <row r="243" spans="1:18" ht="126" customHeight="1" x14ac:dyDescent="0.25">
      <c r="A243" s="82" t="s">
        <v>778</v>
      </c>
      <c r="B243" s="23" t="s">
        <v>476</v>
      </c>
      <c r="C243" s="73" t="s">
        <v>476</v>
      </c>
      <c r="D243" s="73" t="s">
        <v>476</v>
      </c>
      <c r="E243" s="73" t="s">
        <v>476</v>
      </c>
      <c r="F243" s="79">
        <v>42041</v>
      </c>
      <c r="G243" s="47">
        <f t="shared" si="3"/>
        <v>40</v>
      </c>
      <c r="H243" s="79"/>
      <c r="I243" s="73"/>
      <c r="J243" s="48"/>
      <c r="K243" s="73"/>
      <c r="L243" s="50"/>
      <c r="M243" s="50" t="s">
        <v>799</v>
      </c>
      <c r="N243" s="50" t="s">
        <v>13</v>
      </c>
      <c r="O243" s="50" t="s">
        <v>17</v>
      </c>
      <c r="P243" s="83" t="s">
        <v>15</v>
      </c>
      <c r="Q243" s="83" t="s">
        <v>762</v>
      </c>
    </row>
    <row r="244" spans="1:18" ht="126" customHeight="1" x14ac:dyDescent="0.25">
      <c r="A244" s="82" t="s">
        <v>791</v>
      </c>
      <c r="B244" s="15">
        <v>42102</v>
      </c>
      <c r="C244" s="73" t="s">
        <v>476</v>
      </c>
      <c r="D244" s="73" t="s">
        <v>476</v>
      </c>
      <c r="E244" s="73" t="s">
        <v>476</v>
      </c>
      <c r="F244" s="79">
        <v>42041</v>
      </c>
      <c r="G244" s="47">
        <f t="shared" si="3"/>
        <v>40</v>
      </c>
      <c r="H244" s="79"/>
      <c r="I244" s="73"/>
      <c r="J244" s="48"/>
      <c r="K244" s="73"/>
      <c r="L244" s="50"/>
      <c r="M244" s="50" t="s">
        <v>813</v>
      </c>
      <c r="N244" s="50" t="s">
        <v>13</v>
      </c>
      <c r="O244" s="50"/>
      <c r="P244" s="83" t="s">
        <v>817</v>
      </c>
      <c r="Q244" s="83" t="s">
        <v>149</v>
      </c>
    </row>
    <row r="245" spans="1:18" ht="126" customHeight="1" x14ac:dyDescent="0.25">
      <c r="A245" s="82" t="s">
        <v>780</v>
      </c>
      <c r="B245" s="23" t="s">
        <v>476</v>
      </c>
      <c r="C245" s="73" t="s">
        <v>476</v>
      </c>
      <c r="D245" s="73" t="s">
        <v>476</v>
      </c>
      <c r="E245" s="73" t="s">
        <v>476</v>
      </c>
      <c r="F245" s="79">
        <v>42043</v>
      </c>
      <c r="G245" s="47">
        <f t="shared" si="3"/>
        <v>38</v>
      </c>
      <c r="H245" s="79"/>
      <c r="I245" s="73"/>
      <c r="J245" s="48"/>
      <c r="K245" s="73"/>
      <c r="L245" s="50"/>
      <c r="M245" s="50" t="s">
        <v>800</v>
      </c>
      <c r="N245" s="50" t="s">
        <v>13</v>
      </c>
      <c r="O245" s="50" t="s">
        <v>59</v>
      </c>
      <c r="P245" s="83" t="s">
        <v>15</v>
      </c>
      <c r="Q245" s="83" t="s">
        <v>88</v>
      </c>
    </row>
    <row r="246" spans="1:18" ht="126" customHeight="1" x14ac:dyDescent="0.25">
      <c r="A246" s="82" t="s">
        <v>783</v>
      </c>
      <c r="B246" s="15" t="s">
        <v>476</v>
      </c>
      <c r="C246" s="73" t="s">
        <v>476</v>
      </c>
      <c r="D246" s="73" t="s">
        <v>476</v>
      </c>
      <c r="E246" s="73" t="s">
        <v>476</v>
      </c>
      <c r="F246" s="79">
        <v>42044</v>
      </c>
      <c r="G246" s="47">
        <f t="shared" si="3"/>
        <v>37</v>
      </c>
      <c r="H246" s="79"/>
      <c r="I246" s="73"/>
      <c r="J246" s="48"/>
      <c r="K246" s="73"/>
      <c r="L246" s="50"/>
      <c r="M246" s="50" t="s">
        <v>805</v>
      </c>
      <c r="N246" s="50" t="s">
        <v>13</v>
      </c>
      <c r="O246" s="50"/>
      <c r="P246" s="83" t="s">
        <v>41</v>
      </c>
      <c r="Q246" s="83" t="s">
        <v>209</v>
      </c>
    </row>
    <row r="247" spans="1:18" ht="126" customHeight="1" x14ac:dyDescent="0.25">
      <c r="A247" s="82" t="s">
        <v>784</v>
      </c>
      <c r="B247" s="15" t="s">
        <v>476</v>
      </c>
      <c r="C247" s="73" t="s">
        <v>476</v>
      </c>
      <c r="D247" s="73" t="s">
        <v>476</v>
      </c>
      <c r="E247" s="73" t="s">
        <v>476</v>
      </c>
      <c r="F247" s="79">
        <v>42044</v>
      </c>
      <c r="G247" s="47">
        <f t="shared" si="3"/>
        <v>37</v>
      </c>
      <c r="H247" s="79"/>
      <c r="I247" s="73"/>
      <c r="J247" s="48"/>
      <c r="K247" s="73"/>
      <c r="L247" s="50"/>
      <c r="M247" s="50" t="s">
        <v>804</v>
      </c>
      <c r="N247" s="50" t="s">
        <v>13</v>
      </c>
      <c r="O247" s="50"/>
      <c r="P247" s="83" t="s">
        <v>21</v>
      </c>
      <c r="Q247" s="83" t="s">
        <v>111</v>
      </c>
    </row>
    <row r="248" spans="1:18" ht="126" customHeight="1" x14ac:dyDescent="0.25">
      <c r="A248" s="82" t="s">
        <v>790</v>
      </c>
      <c r="B248" s="15">
        <v>42068</v>
      </c>
      <c r="C248" s="73" t="s">
        <v>476</v>
      </c>
      <c r="D248" s="73" t="s">
        <v>476</v>
      </c>
      <c r="E248" s="73" t="s">
        <v>476</v>
      </c>
      <c r="F248" s="79">
        <v>42044</v>
      </c>
      <c r="G248" s="47">
        <f t="shared" si="3"/>
        <v>37</v>
      </c>
      <c r="H248" s="79"/>
      <c r="I248" s="73"/>
      <c r="J248" s="48"/>
      <c r="K248" s="73"/>
      <c r="L248" s="50"/>
      <c r="M248" s="50" t="s">
        <v>812</v>
      </c>
      <c r="N248" s="50" t="s">
        <v>13</v>
      </c>
      <c r="O248" s="50"/>
      <c r="P248" s="83" t="s">
        <v>817</v>
      </c>
      <c r="Q248" s="83" t="s">
        <v>181</v>
      </c>
    </row>
    <row r="249" spans="1:18" ht="126" customHeight="1" x14ac:dyDescent="0.25">
      <c r="A249" s="82" t="s">
        <v>760</v>
      </c>
      <c r="B249" s="15" t="s">
        <v>476</v>
      </c>
      <c r="C249" s="15" t="s">
        <v>476</v>
      </c>
      <c r="D249" s="15" t="s">
        <v>476</v>
      </c>
      <c r="E249" s="15" t="s">
        <v>476</v>
      </c>
      <c r="F249" s="77">
        <v>42044</v>
      </c>
      <c r="G249" s="47">
        <f t="shared" si="3"/>
        <v>37</v>
      </c>
      <c r="H249" s="74"/>
      <c r="I249" s="20"/>
      <c r="J249" s="11"/>
      <c r="K249" s="15"/>
      <c r="L249" s="87" t="s">
        <v>10</v>
      </c>
      <c r="M249" s="86" t="s">
        <v>775</v>
      </c>
      <c r="N249" s="87" t="s">
        <v>13</v>
      </c>
      <c r="O249" s="87" t="s">
        <v>14</v>
      </c>
      <c r="P249" s="83" t="s">
        <v>36</v>
      </c>
      <c r="Q249" s="83" t="s">
        <v>596</v>
      </c>
    </row>
    <row r="250" spans="1:18" ht="126" customHeight="1" x14ac:dyDescent="0.25">
      <c r="A250" s="82" t="s">
        <v>793</v>
      </c>
      <c r="B250" s="15" t="s">
        <v>476</v>
      </c>
      <c r="C250" s="73" t="s">
        <v>476</v>
      </c>
      <c r="D250" s="73" t="s">
        <v>476</v>
      </c>
      <c r="E250" s="73" t="s">
        <v>476</v>
      </c>
      <c r="F250" s="79">
        <v>42047</v>
      </c>
      <c r="G250" s="47">
        <f t="shared" si="3"/>
        <v>34</v>
      </c>
      <c r="H250" s="79"/>
      <c r="I250" s="73"/>
      <c r="J250" s="48"/>
      <c r="K250" s="73"/>
      <c r="L250" s="50"/>
      <c r="M250" s="50" t="s">
        <v>815</v>
      </c>
      <c r="N250" s="50" t="s">
        <v>13</v>
      </c>
      <c r="O250" s="50"/>
      <c r="P250" s="83" t="s">
        <v>21</v>
      </c>
      <c r="Q250" s="83" t="s">
        <v>71</v>
      </c>
    </row>
    <row r="251" spans="1:18" ht="126" customHeight="1" x14ac:dyDescent="0.25">
      <c r="A251" s="82" t="s">
        <v>785</v>
      </c>
      <c r="B251" s="15" t="s">
        <v>476</v>
      </c>
      <c r="C251" s="73" t="s">
        <v>476</v>
      </c>
      <c r="D251" s="73">
        <v>42100</v>
      </c>
      <c r="E251" s="73" t="s">
        <v>476</v>
      </c>
      <c r="F251" s="79">
        <v>42052</v>
      </c>
      <c r="G251" s="47">
        <f t="shared" si="3"/>
        <v>29</v>
      </c>
      <c r="H251" s="79"/>
      <c r="I251" s="73"/>
      <c r="J251" s="48"/>
      <c r="K251" s="73"/>
      <c r="L251" s="50"/>
      <c r="M251" s="50" t="s">
        <v>803</v>
      </c>
      <c r="N251" s="50" t="s">
        <v>13</v>
      </c>
      <c r="O251" s="50"/>
      <c r="P251" s="83" t="s">
        <v>15</v>
      </c>
      <c r="Q251" s="83" t="s">
        <v>88</v>
      </c>
    </row>
    <row r="252" spans="1:18" ht="126" customHeight="1" x14ac:dyDescent="0.25">
      <c r="A252" s="82" t="s">
        <v>788</v>
      </c>
      <c r="B252" s="15" t="s">
        <v>476</v>
      </c>
      <c r="C252" s="73" t="s">
        <v>476</v>
      </c>
      <c r="D252" s="73" t="s">
        <v>476</v>
      </c>
      <c r="E252" s="73" t="s">
        <v>476</v>
      </c>
      <c r="F252" s="79">
        <v>42059</v>
      </c>
      <c r="G252" s="47">
        <f t="shared" si="3"/>
        <v>22</v>
      </c>
      <c r="H252" s="79"/>
      <c r="I252" s="73"/>
      <c r="J252" s="48"/>
      <c r="K252" s="73"/>
      <c r="L252" s="50"/>
      <c r="M252" s="50" t="s">
        <v>811</v>
      </c>
      <c r="N252" s="50" t="s">
        <v>13</v>
      </c>
      <c r="O252" s="50"/>
      <c r="P252" s="83" t="s">
        <v>652</v>
      </c>
      <c r="Q252" s="83" t="s">
        <v>88</v>
      </c>
    </row>
    <row r="253" spans="1:18" ht="126" customHeight="1" x14ac:dyDescent="0.25">
      <c r="A253" s="82" t="s">
        <v>786</v>
      </c>
      <c r="B253" s="15" t="s">
        <v>476</v>
      </c>
      <c r="C253" s="73" t="s">
        <v>476</v>
      </c>
      <c r="D253" s="73" t="s">
        <v>476</v>
      </c>
      <c r="E253" s="73" t="s">
        <v>476</v>
      </c>
      <c r="F253" s="79">
        <v>42060</v>
      </c>
      <c r="G253" s="47">
        <f t="shared" si="3"/>
        <v>21</v>
      </c>
      <c r="H253" s="79"/>
      <c r="I253" s="73"/>
      <c r="J253" s="48"/>
      <c r="K253" s="73"/>
      <c r="L253" s="50"/>
      <c r="M253" s="50" t="s">
        <v>807</v>
      </c>
      <c r="N253" s="50" t="s">
        <v>13</v>
      </c>
      <c r="O253" s="50"/>
      <c r="P253" s="83" t="s">
        <v>652</v>
      </c>
      <c r="Q253" s="83" t="s">
        <v>181</v>
      </c>
      <c r="R253" s="88"/>
    </row>
    <row r="254" spans="1:18" ht="104.65" customHeight="1" x14ac:dyDescent="0.25">
      <c r="A254" s="82" t="s">
        <v>794</v>
      </c>
      <c r="B254" s="15" t="s">
        <v>476</v>
      </c>
      <c r="C254" s="73" t="s">
        <v>476</v>
      </c>
      <c r="D254" s="73" t="s">
        <v>476</v>
      </c>
      <c r="E254" s="73" t="s">
        <v>476</v>
      </c>
      <c r="F254" s="79">
        <v>42061</v>
      </c>
      <c r="G254" s="47">
        <f t="shared" si="3"/>
        <v>20</v>
      </c>
      <c r="H254" s="79"/>
      <c r="I254" s="73"/>
      <c r="J254" s="48"/>
      <c r="K254" s="73"/>
      <c r="L254" s="50"/>
      <c r="M254" s="50" t="s">
        <v>816</v>
      </c>
      <c r="N254" s="50" t="s">
        <v>13</v>
      </c>
      <c r="O254" s="50"/>
      <c r="P254" s="83" t="s">
        <v>36</v>
      </c>
      <c r="Q254" s="22" t="s">
        <v>796</v>
      </c>
    </row>
    <row r="255" spans="1:18" ht="210.6" customHeight="1" x14ac:dyDescent="0.25">
      <c r="A255" s="82" t="s">
        <v>779</v>
      </c>
      <c r="B255" s="15" t="s">
        <v>476</v>
      </c>
      <c r="C255" s="73" t="s">
        <v>476</v>
      </c>
      <c r="D255" s="73" t="s">
        <v>476</v>
      </c>
      <c r="E255" s="73" t="s">
        <v>476</v>
      </c>
      <c r="F255" s="79">
        <v>42062</v>
      </c>
      <c r="G255" s="47">
        <f t="shared" si="3"/>
        <v>19</v>
      </c>
      <c r="H255" s="79"/>
      <c r="I255" s="73"/>
      <c r="J255" s="48"/>
      <c r="K255" s="73"/>
      <c r="L255" s="50"/>
      <c r="M255" s="50" t="s">
        <v>798</v>
      </c>
      <c r="N255" s="50" t="s">
        <v>13</v>
      </c>
      <c r="O255" s="50" t="s">
        <v>14</v>
      </c>
      <c r="P255" s="83" t="s">
        <v>21</v>
      </c>
      <c r="Q255" s="83" t="s">
        <v>47</v>
      </c>
    </row>
    <row r="256" spans="1:18" ht="126" customHeight="1" x14ac:dyDescent="0.25">
      <c r="A256" s="82" t="s">
        <v>789</v>
      </c>
      <c r="B256" s="15" t="s">
        <v>476</v>
      </c>
      <c r="C256" s="73" t="s">
        <v>476</v>
      </c>
      <c r="D256" s="73" t="s">
        <v>476</v>
      </c>
      <c r="E256" s="73" t="s">
        <v>476</v>
      </c>
      <c r="F256" s="79">
        <v>42062</v>
      </c>
      <c r="G256" s="47">
        <f t="shared" si="3"/>
        <v>19</v>
      </c>
      <c r="H256" s="79"/>
      <c r="I256" s="73"/>
      <c r="J256" s="48"/>
      <c r="K256" s="73"/>
      <c r="L256" s="50"/>
      <c r="M256" s="50" t="s">
        <v>810</v>
      </c>
      <c r="N256" s="50" t="s">
        <v>13</v>
      </c>
      <c r="O256" s="50"/>
      <c r="P256" s="83" t="s">
        <v>652</v>
      </c>
      <c r="Q256" s="83" t="s">
        <v>88</v>
      </c>
    </row>
    <row r="257" spans="1:18" ht="126" customHeight="1" x14ac:dyDescent="0.25">
      <c r="A257" s="82" t="s">
        <v>781</v>
      </c>
      <c r="B257" s="15" t="s">
        <v>476</v>
      </c>
      <c r="C257" s="73" t="s">
        <v>476</v>
      </c>
      <c r="D257" s="73" t="s">
        <v>476</v>
      </c>
      <c r="E257" s="73" t="s">
        <v>476</v>
      </c>
      <c r="F257" s="79">
        <v>42065</v>
      </c>
      <c r="G257" s="47">
        <f t="shared" si="3"/>
        <v>16</v>
      </c>
      <c r="H257" s="79"/>
      <c r="I257" s="73"/>
      <c r="J257" s="48"/>
      <c r="K257" s="73"/>
      <c r="L257" s="50"/>
      <c r="M257" s="50" t="s">
        <v>808</v>
      </c>
      <c r="N257" s="50" t="s">
        <v>13</v>
      </c>
      <c r="O257" s="50" t="s">
        <v>801</v>
      </c>
      <c r="P257" s="83" t="s">
        <v>652</v>
      </c>
      <c r="Q257" s="83" t="s">
        <v>762</v>
      </c>
    </row>
    <row r="258" spans="1:18" ht="126" customHeight="1" x14ac:dyDescent="0.25">
      <c r="A258" s="86" t="s">
        <v>395</v>
      </c>
      <c r="B258" s="15">
        <v>40078</v>
      </c>
      <c r="C258" s="16">
        <v>37959</v>
      </c>
      <c r="D258" s="15">
        <v>40078</v>
      </c>
      <c r="E258" s="16" t="s">
        <v>476</v>
      </c>
      <c r="F258" s="66" t="str">
        <f>+"02-OCT-2003"</f>
        <v>02-OCT-2003</v>
      </c>
      <c r="G258" s="48"/>
      <c r="H258" s="66" t="str">
        <f>+"28-FEB-2008"</f>
        <v>28-FEB-2008</v>
      </c>
      <c r="I258" s="18">
        <v>39519</v>
      </c>
      <c r="J258" s="47">
        <f t="shared" ref="J258:J321" si="4">DATE(2015, 3, 18)- I258</f>
        <v>2562</v>
      </c>
      <c r="K258" s="16">
        <v>40095</v>
      </c>
      <c r="L258" s="86" t="s">
        <v>10</v>
      </c>
      <c r="M258" s="86" t="s">
        <v>396</v>
      </c>
      <c r="N258" s="86" t="s">
        <v>11</v>
      </c>
      <c r="O258" s="86" t="s">
        <v>14</v>
      </c>
      <c r="P258" s="86" t="s">
        <v>41</v>
      </c>
      <c r="Q258" s="89" t="s">
        <v>498</v>
      </c>
    </row>
    <row r="259" spans="1:18" ht="126" customHeight="1" x14ac:dyDescent="0.25">
      <c r="A259" s="86" t="s">
        <v>313</v>
      </c>
      <c r="B259" s="15">
        <v>41149</v>
      </c>
      <c r="C259" s="16">
        <v>41213</v>
      </c>
      <c r="D259" s="15">
        <v>41565</v>
      </c>
      <c r="E259" s="16">
        <v>41628</v>
      </c>
      <c r="F259" s="66" t="str">
        <f>+"01-AUG-2008"</f>
        <v>01-AUG-2008</v>
      </c>
      <c r="G259" s="48"/>
      <c r="H259" s="66" t="str">
        <f>+"29-JUL-2010"</f>
        <v>29-JUL-2010</v>
      </c>
      <c r="I259" s="18">
        <v>40422</v>
      </c>
      <c r="J259" s="47">
        <f t="shared" si="4"/>
        <v>1659</v>
      </c>
      <c r="K259" s="16"/>
      <c r="L259" s="86" t="s">
        <v>10</v>
      </c>
      <c r="M259" s="88" t="s">
        <v>314</v>
      </c>
      <c r="N259" s="86" t="s">
        <v>11</v>
      </c>
      <c r="O259" s="86" t="s">
        <v>25</v>
      </c>
      <c r="P259" s="86" t="s">
        <v>652</v>
      </c>
      <c r="Q259" s="89" t="s">
        <v>315</v>
      </c>
    </row>
    <row r="260" spans="1:18" ht="126" customHeight="1" x14ac:dyDescent="0.25">
      <c r="A260" s="86" t="s">
        <v>399</v>
      </c>
      <c r="B260" s="15" t="s">
        <v>476</v>
      </c>
      <c r="C260" s="16">
        <v>39556</v>
      </c>
      <c r="D260" s="15" t="s">
        <v>476</v>
      </c>
      <c r="E260" s="16" t="s">
        <v>476</v>
      </c>
      <c r="F260" s="66" t="str">
        <f>+"05-OCT-2006"</f>
        <v>05-OCT-2006</v>
      </c>
      <c r="G260" s="48"/>
      <c r="H260" s="66" t="str">
        <f>+"16-DEC-2010"</f>
        <v>16-DEC-2010</v>
      </c>
      <c r="I260" s="18">
        <v>40567</v>
      </c>
      <c r="J260" s="47">
        <f t="shared" si="4"/>
        <v>1514</v>
      </c>
      <c r="K260" s="16"/>
      <c r="L260" s="86" t="s">
        <v>19</v>
      </c>
      <c r="M260" s="86" t="s">
        <v>400</v>
      </c>
      <c r="N260" s="86" t="s">
        <v>11</v>
      </c>
      <c r="O260" s="86" t="s">
        <v>25</v>
      </c>
      <c r="P260" s="86" t="s">
        <v>15</v>
      </c>
      <c r="Q260" s="89" t="s">
        <v>499</v>
      </c>
    </row>
    <row r="261" spans="1:18" ht="98.45" customHeight="1" x14ac:dyDescent="0.25">
      <c r="A261" s="86" t="s">
        <v>26</v>
      </c>
      <c r="B261" s="15" t="s">
        <v>476</v>
      </c>
      <c r="C261" s="16">
        <v>39762</v>
      </c>
      <c r="D261" s="15" t="s">
        <v>476</v>
      </c>
      <c r="E261" s="16">
        <v>39855</v>
      </c>
      <c r="F261" s="66" t="str">
        <f>+"02-JUN-2008"</f>
        <v>02-JUN-2008</v>
      </c>
      <c r="G261" s="47"/>
      <c r="H261" s="66" t="str">
        <f>+"16-DEC-2010"</f>
        <v>16-DEC-2010</v>
      </c>
      <c r="I261" s="18">
        <v>40568</v>
      </c>
      <c r="J261" s="47">
        <f t="shared" si="4"/>
        <v>1513</v>
      </c>
      <c r="K261" s="16">
        <v>40000</v>
      </c>
      <c r="L261" s="86" t="s">
        <v>10</v>
      </c>
      <c r="M261" s="86" t="s">
        <v>27</v>
      </c>
      <c r="N261" s="86" t="s">
        <v>11</v>
      </c>
      <c r="O261" s="86" t="s">
        <v>14</v>
      </c>
      <c r="P261" s="86" t="s">
        <v>21</v>
      </c>
      <c r="Q261" s="89" t="s">
        <v>28</v>
      </c>
    </row>
    <row r="262" spans="1:18" ht="126" customHeight="1" x14ac:dyDescent="0.25">
      <c r="A262" s="86" t="s">
        <v>29</v>
      </c>
      <c r="B262" s="15" t="s">
        <v>476</v>
      </c>
      <c r="C262" s="16">
        <v>39762</v>
      </c>
      <c r="D262" s="15" t="s">
        <v>476</v>
      </c>
      <c r="E262" s="16">
        <v>39855</v>
      </c>
      <c r="F262" s="66" t="str">
        <f>+"02-JUN-2008"</f>
        <v>02-JUN-2008</v>
      </c>
      <c r="G262" s="47"/>
      <c r="H262" s="66" t="str">
        <f>+"16-DEC-2010"</f>
        <v>16-DEC-2010</v>
      </c>
      <c r="I262" s="18">
        <v>40568</v>
      </c>
      <c r="J262" s="47">
        <f t="shared" si="4"/>
        <v>1513</v>
      </c>
      <c r="K262" s="16">
        <v>40000</v>
      </c>
      <c r="L262" s="86" t="s">
        <v>10</v>
      </c>
      <c r="M262" s="86" t="s">
        <v>30</v>
      </c>
      <c r="N262" s="86" t="s">
        <v>11</v>
      </c>
      <c r="O262" s="86" t="s">
        <v>14</v>
      </c>
      <c r="P262" s="86" t="s">
        <v>21</v>
      </c>
      <c r="Q262" s="89" t="s">
        <v>28</v>
      </c>
    </row>
    <row r="263" spans="1:18" ht="126" customHeight="1" x14ac:dyDescent="0.25">
      <c r="A263" s="86" t="s">
        <v>31</v>
      </c>
      <c r="B263" s="15" t="s">
        <v>476</v>
      </c>
      <c r="C263" s="16">
        <v>39762</v>
      </c>
      <c r="D263" s="15" t="s">
        <v>476</v>
      </c>
      <c r="E263" s="16">
        <v>39855</v>
      </c>
      <c r="F263" s="66" t="str">
        <f>+"02-JUN-2008"</f>
        <v>02-JUN-2008</v>
      </c>
      <c r="G263" s="47"/>
      <c r="H263" s="66" t="str">
        <f>+"16-DEC-2010"</f>
        <v>16-DEC-2010</v>
      </c>
      <c r="I263" s="18">
        <v>40568</v>
      </c>
      <c r="J263" s="47">
        <f t="shared" si="4"/>
        <v>1513</v>
      </c>
      <c r="K263" s="16">
        <v>40000</v>
      </c>
      <c r="L263" s="86" t="s">
        <v>10</v>
      </c>
      <c r="M263" s="86" t="s">
        <v>32</v>
      </c>
      <c r="N263" s="86" t="s">
        <v>11</v>
      </c>
      <c r="O263" s="86" t="s">
        <v>14</v>
      </c>
      <c r="P263" s="86" t="s">
        <v>21</v>
      </c>
      <c r="Q263" s="89" t="s">
        <v>28</v>
      </c>
    </row>
    <row r="264" spans="1:18" ht="126" customHeight="1" x14ac:dyDescent="0.25">
      <c r="A264" s="86" t="s">
        <v>60</v>
      </c>
      <c r="B264" s="15" t="s">
        <v>476</v>
      </c>
      <c r="C264" s="16" t="s">
        <v>476</v>
      </c>
      <c r="D264" s="15" t="s">
        <v>476</v>
      </c>
      <c r="E264" s="16">
        <v>40781</v>
      </c>
      <c r="F264" s="66" t="str">
        <f>+"01-FEB-2011"</f>
        <v>01-FEB-2011</v>
      </c>
      <c r="G264" s="48"/>
      <c r="H264" s="66" t="str">
        <f>+"19-APR-2012"</f>
        <v>19-APR-2012</v>
      </c>
      <c r="I264" s="18">
        <v>41058</v>
      </c>
      <c r="J264" s="47">
        <f t="shared" si="4"/>
        <v>1023</v>
      </c>
      <c r="K264" s="16">
        <v>40781</v>
      </c>
      <c r="L264" s="86" t="s">
        <v>10</v>
      </c>
      <c r="M264" s="86" t="s">
        <v>61</v>
      </c>
      <c r="N264" s="86" t="s">
        <v>11</v>
      </c>
      <c r="O264" s="86" t="s">
        <v>17</v>
      </c>
      <c r="P264" s="86" t="s">
        <v>15</v>
      </c>
      <c r="Q264" s="89" t="s">
        <v>62</v>
      </c>
    </row>
    <row r="265" spans="1:18" ht="126" customHeight="1" x14ac:dyDescent="0.25">
      <c r="A265" s="86" t="s">
        <v>305</v>
      </c>
      <c r="B265" s="15" t="s">
        <v>476</v>
      </c>
      <c r="C265" s="16" t="s">
        <v>476</v>
      </c>
      <c r="D265" s="15" t="s">
        <v>476</v>
      </c>
      <c r="E265" s="16">
        <v>34247</v>
      </c>
      <c r="F265" s="66" t="str">
        <f>+"26-MAY-1987"</f>
        <v>26-MAY-1987</v>
      </c>
      <c r="G265" s="48"/>
      <c r="H265" s="66" t="str">
        <f>+"08-MAY-1996"</f>
        <v>08-MAY-1996</v>
      </c>
      <c r="I265" s="18">
        <v>41348</v>
      </c>
      <c r="J265" s="47">
        <f t="shared" si="4"/>
        <v>733</v>
      </c>
      <c r="K265" s="16"/>
      <c r="L265" s="1" t="s">
        <v>19</v>
      </c>
      <c r="M265" s="86" t="s">
        <v>306</v>
      </c>
      <c r="N265" s="1" t="s">
        <v>11</v>
      </c>
      <c r="O265" s="1" t="s">
        <v>25</v>
      </c>
      <c r="P265" s="1" t="s">
        <v>36</v>
      </c>
      <c r="Q265" s="89" t="s">
        <v>57</v>
      </c>
    </row>
    <row r="266" spans="1:18" ht="126" customHeight="1" x14ac:dyDescent="0.25">
      <c r="A266" s="86" t="s">
        <v>307</v>
      </c>
      <c r="B266" s="15" t="s">
        <v>476</v>
      </c>
      <c r="C266" s="16" t="s">
        <v>476</v>
      </c>
      <c r="D266" s="15" t="s">
        <v>476</v>
      </c>
      <c r="E266" s="16">
        <v>32965</v>
      </c>
      <c r="F266" s="66" t="str">
        <f>+"01-APR-1988"</f>
        <v>01-APR-1988</v>
      </c>
      <c r="G266" s="48"/>
      <c r="H266" s="66" t="str">
        <f>+"18-DEC-1991"</f>
        <v>18-DEC-1991</v>
      </c>
      <c r="I266" s="18">
        <v>41348</v>
      </c>
      <c r="J266" s="47">
        <f t="shared" si="4"/>
        <v>733</v>
      </c>
      <c r="K266" s="16"/>
      <c r="L266" s="86" t="s">
        <v>19</v>
      </c>
      <c r="M266" s="86" t="s">
        <v>308</v>
      </c>
      <c r="N266" s="86" t="s">
        <v>11</v>
      </c>
      <c r="O266" s="86" t="s">
        <v>25</v>
      </c>
      <c r="P266" s="1" t="s">
        <v>36</v>
      </c>
      <c r="Q266" s="89" t="s">
        <v>57</v>
      </c>
    </row>
    <row r="267" spans="1:18" ht="126" customHeight="1" x14ac:dyDescent="0.25">
      <c r="A267" s="86" t="s">
        <v>392</v>
      </c>
      <c r="B267" s="15" t="s">
        <v>476</v>
      </c>
      <c r="C267" s="16" t="s">
        <v>476</v>
      </c>
      <c r="D267" s="15" t="s">
        <v>476</v>
      </c>
      <c r="E267" s="16">
        <v>32965</v>
      </c>
      <c r="F267" s="66" t="str">
        <f>+"17-APR-1985"</f>
        <v>17-APR-1985</v>
      </c>
      <c r="G267" s="48"/>
      <c r="H267" s="66" t="str">
        <f>+"18-DEC-1991"</f>
        <v>18-DEC-1991</v>
      </c>
      <c r="I267" s="18">
        <v>41348</v>
      </c>
      <c r="J267" s="47">
        <f t="shared" si="4"/>
        <v>733</v>
      </c>
      <c r="K267" s="16"/>
      <c r="L267" s="86" t="s">
        <v>19</v>
      </c>
      <c r="M267" s="86" t="s">
        <v>393</v>
      </c>
      <c r="N267" s="86" t="s">
        <v>11</v>
      </c>
      <c r="O267" s="86" t="s">
        <v>25</v>
      </c>
      <c r="P267" s="86" t="s">
        <v>36</v>
      </c>
      <c r="Q267" s="89" t="s">
        <v>57</v>
      </c>
    </row>
    <row r="268" spans="1:18" ht="126" customHeight="1" x14ac:dyDescent="0.25">
      <c r="A268" s="86" t="s">
        <v>318</v>
      </c>
      <c r="B268" s="15" t="s">
        <v>476</v>
      </c>
      <c r="C268" s="16" t="s">
        <v>476</v>
      </c>
      <c r="D268" s="15" t="s">
        <v>476</v>
      </c>
      <c r="E268" s="16" t="s">
        <v>476</v>
      </c>
      <c r="F268" s="66" t="str">
        <f>+"25-FEB-2010"</f>
        <v>25-FEB-2010</v>
      </c>
      <c r="G268" s="48"/>
      <c r="H268" s="66" t="str">
        <f>+"28-FEB-2013"</f>
        <v>28-FEB-2013</v>
      </c>
      <c r="I268" s="18">
        <v>41359</v>
      </c>
      <c r="J268" s="47">
        <f t="shared" si="4"/>
        <v>722</v>
      </c>
      <c r="K268" s="16">
        <v>41182</v>
      </c>
      <c r="L268" s="86" t="s">
        <v>10</v>
      </c>
      <c r="M268" s="86" t="s">
        <v>319</v>
      </c>
      <c r="N268" s="86" t="s">
        <v>11</v>
      </c>
      <c r="O268" s="86" t="s">
        <v>14</v>
      </c>
      <c r="P268" s="86" t="s">
        <v>652</v>
      </c>
      <c r="Q268" s="89" t="s">
        <v>495</v>
      </c>
    </row>
    <row r="269" spans="1:18" ht="126" customHeight="1" x14ac:dyDescent="0.25">
      <c r="A269" s="86" t="s">
        <v>23</v>
      </c>
      <c r="B269" s="15" t="s">
        <v>476</v>
      </c>
      <c r="C269" s="16">
        <v>39976</v>
      </c>
      <c r="D269" s="15" t="s">
        <v>476</v>
      </c>
      <c r="E269" s="16">
        <v>40350</v>
      </c>
      <c r="F269" s="66" t="str">
        <f>+"30-APR-2007"</f>
        <v>30-APR-2007</v>
      </c>
      <c r="G269" s="47"/>
      <c r="H269" s="66" t="str">
        <f>+"12-AUG-2010"</f>
        <v>12-AUG-2010</v>
      </c>
      <c r="I269" s="18">
        <v>41366</v>
      </c>
      <c r="J269" s="47">
        <f t="shared" si="4"/>
        <v>715</v>
      </c>
      <c r="K269" s="16"/>
      <c r="L269" s="86" t="s">
        <v>19</v>
      </c>
      <c r="M269" s="86" t="s">
        <v>24</v>
      </c>
      <c r="N269" s="86" t="s">
        <v>11</v>
      </c>
      <c r="O269" s="86" t="s">
        <v>14</v>
      </c>
      <c r="P269" s="86" t="s">
        <v>21</v>
      </c>
      <c r="Q269" s="89" t="s">
        <v>22</v>
      </c>
    </row>
    <row r="270" spans="1:18" ht="103.35" customHeight="1" x14ac:dyDescent="0.25">
      <c r="A270" s="86" t="s">
        <v>18</v>
      </c>
      <c r="B270" s="15" t="s">
        <v>476</v>
      </c>
      <c r="C270" s="16">
        <v>39976</v>
      </c>
      <c r="D270" s="15" t="s">
        <v>476</v>
      </c>
      <c r="E270" s="16">
        <v>41407</v>
      </c>
      <c r="F270" s="24" t="str">
        <f>+"16-JAN-2007"</f>
        <v>16-JAN-2007</v>
      </c>
      <c r="G270" s="47"/>
      <c r="H270" s="24" t="str">
        <f>+"12-AUG-2010"</f>
        <v>12-AUG-2010</v>
      </c>
      <c r="I270" s="18">
        <v>41366</v>
      </c>
      <c r="J270" s="47">
        <f t="shared" si="4"/>
        <v>715</v>
      </c>
      <c r="K270" s="16"/>
      <c r="L270" s="86" t="s">
        <v>19</v>
      </c>
      <c r="M270" s="88" t="s">
        <v>20</v>
      </c>
      <c r="N270" s="86" t="s">
        <v>11</v>
      </c>
      <c r="O270" s="86" t="s">
        <v>14</v>
      </c>
      <c r="P270" s="86" t="s">
        <v>21</v>
      </c>
      <c r="Q270" s="89" t="s">
        <v>22</v>
      </c>
      <c r="R270" s="88"/>
    </row>
    <row r="271" spans="1:18" ht="136.5" customHeight="1" x14ac:dyDescent="0.25">
      <c r="A271" s="86" t="s">
        <v>73</v>
      </c>
      <c r="B271" s="15" t="s">
        <v>476</v>
      </c>
      <c r="C271" s="16">
        <v>40753</v>
      </c>
      <c r="D271" s="15" t="s">
        <v>476</v>
      </c>
      <c r="E271" s="16">
        <v>41135</v>
      </c>
      <c r="F271" s="66" t="str">
        <f>+"19-MAY-2011"</f>
        <v>19-MAY-2011</v>
      </c>
      <c r="G271" s="48"/>
      <c r="H271" s="66" t="str">
        <f>+"21-MAR-2013"</f>
        <v>21-MAR-2013</v>
      </c>
      <c r="I271" s="18">
        <v>41393</v>
      </c>
      <c r="J271" s="47">
        <f t="shared" si="4"/>
        <v>688</v>
      </c>
      <c r="K271" s="16">
        <v>41163</v>
      </c>
      <c r="L271" s="86" t="s">
        <v>10</v>
      </c>
      <c r="M271" s="86" t="s">
        <v>74</v>
      </c>
      <c r="N271" s="86" t="s">
        <v>11</v>
      </c>
      <c r="O271" s="86" t="s">
        <v>14</v>
      </c>
      <c r="P271" s="86" t="s">
        <v>21</v>
      </c>
      <c r="Q271" s="89" t="s">
        <v>176</v>
      </c>
    </row>
    <row r="272" spans="1:18" ht="97.15" customHeight="1" x14ac:dyDescent="0.25">
      <c r="A272" s="86" t="s">
        <v>328</v>
      </c>
      <c r="B272" s="15">
        <v>41226</v>
      </c>
      <c r="C272" s="16">
        <v>41311</v>
      </c>
      <c r="D272" s="15">
        <v>41869</v>
      </c>
      <c r="E272" s="16">
        <v>41904</v>
      </c>
      <c r="F272" s="66" t="str">
        <f>+"23-AUG-2012"</f>
        <v>23-AUG-2012</v>
      </c>
      <c r="G272" s="48"/>
      <c r="H272" s="66" t="str">
        <f>+"04-APR-2013"</f>
        <v>04-APR-2013</v>
      </c>
      <c r="I272" s="18">
        <v>41396</v>
      </c>
      <c r="J272" s="47">
        <f t="shared" si="4"/>
        <v>685</v>
      </c>
      <c r="K272" s="16"/>
      <c r="L272" s="86" t="s">
        <v>19</v>
      </c>
      <c r="M272" s="86" t="s">
        <v>329</v>
      </c>
      <c r="N272" s="86" t="s">
        <v>11</v>
      </c>
      <c r="O272" s="86" t="s">
        <v>14</v>
      </c>
      <c r="P272" s="86" t="s">
        <v>652</v>
      </c>
      <c r="Q272" s="7" t="s">
        <v>500</v>
      </c>
    </row>
    <row r="273" spans="1:21" ht="91.15" customHeight="1" x14ac:dyDescent="0.25">
      <c r="A273" s="28" t="s">
        <v>77</v>
      </c>
      <c r="B273" s="37" t="s">
        <v>476</v>
      </c>
      <c r="C273" s="38">
        <v>40819</v>
      </c>
      <c r="D273" s="37" t="s">
        <v>476</v>
      </c>
      <c r="E273" s="38" t="s">
        <v>476</v>
      </c>
      <c r="F273" s="24" t="str">
        <f>+"06-JUN-2011"</f>
        <v>06-JUN-2011</v>
      </c>
      <c r="G273" s="48"/>
      <c r="H273" s="24" t="str">
        <f>+"25-JUL-2013"</f>
        <v>25-JUL-2013</v>
      </c>
      <c r="I273" s="39">
        <v>41481</v>
      </c>
      <c r="J273" s="47">
        <f t="shared" si="4"/>
        <v>600</v>
      </c>
      <c r="K273" s="38"/>
      <c r="L273" s="28" t="s">
        <v>19</v>
      </c>
      <c r="M273" s="88" t="s">
        <v>78</v>
      </c>
      <c r="N273" s="28" t="s">
        <v>11</v>
      </c>
      <c r="O273" s="28" t="s">
        <v>14</v>
      </c>
      <c r="P273" s="28" t="s">
        <v>41</v>
      </c>
      <c r="Q273" s="40" t="s">
        <v>575</v>
      </c>
    </row>
    <row r="274" spans="1:21" ht="88.35" customHeight="1" x14ac:dyDescent="0.25">
      <c r="A274" s="86" t="s">
        <v>79</v>
      </c>
      <c r="B274" s="15" t="s">
        <v>476</v>
      </c>
      <c r="C274" s="16">
        <v>40819</v>
      </c>
      <c r="D274" s="15" t="s">
        <v>476</v>
      </c>
      <c r="E274" s="16" t="s">
        <v>476</v>
      </c>
      <c r="F274" s="66" t="str">
        <f>+"30-JUN-2011"</f>
        <v>30-JUN-2011</v>
      </c>
      <c r="G274" s="48"/>
      <c r="H274" s="66" t="str">
        <f>+"25-JUL-2013"</f>
        <v>25-JUL-2013</v>
      </c>
      <c r="I274" s="18">
        <v>41481</v>
      </c>
      <c r="J274" s="47">
        <f t="shared" si="4"/>
        <v>600</v>
      </c>
      <c r="K274" s="16"/>
      <c r="L274" s="86" t="s">
        <v>19</v>
      </c>
      <c r="M274" s="86" t="s">
        <v>80</v>
      </c>
      <c r="N274" s="86" t="s">
        <v>11</v>
      </c>
      <c r="O274" s="86" t="s">
        <v>14</v>
      </c>
      <c r="P274" s="1" t="s">
        <v>41</v>
      </c>
      <c r="Q274" s="7" t="s">
        <v>575</v>
      </c>
    </row>
    <row r="275" spans="1:21" ht="89.65" customHeight="1" x14ac:dyDescent="0.25">
      <c r="A275" s="86" t="s">
        <v>81</v>
      </c>
      <c r="B275" s="15" t="s">
        <v>476</v>
      </c>
      <c r="C275" s="16">
        <v>40819</v>
      </c>
      <c r="D275" s="15" t="s">
        <v>476</v>
      </c>
      <c r="E275" s="16" t="s">
        <v>476</v>
      </c>
      <c r="F275" s="66" t="str">
        <f>+"01-JUL-2011"</f>
        <v>01-JUL-2011</v>
      </c>
      <c r="G275" s="48"/>
      <c r="H275" s="66" t="str">
        <f>+"25-JUL-2013"</f>
        <v>25-JUL-2013</v>
      </c>
      <c r="I275" s="18">
        <v>41481</v>
      </c>
      <c r="J275" s="47">
        <f t="shared" si="4"/>
        <v>600</v>
      </c>
      <c r="K275" s="16"/>
      <c r="L275" s="86" t="s">
        <v>19</v>
      </c>
      <c r="M275" s="86" t="s">
        <v>82</v>
      </c>
      <c r="N275" s="86" t="s">
        <v>11</v>
      </c>
      <c r="O275" s="86" t="s">
        <v>14</v>
      </c>
      <c r="P275" s="86" t="s">
        <v>41</v>
      </c>
      <c r="Q275" s="89" t="s">
        <v>575</v>
      </c>
    </row>
    <row r="276" spans="1:21" ht="109.35" customHeight="1" x14ac:dyDescent="0.25">
      <c r="A276" s="86" t="s">
        <v>38</v>
      </c>
      <c r="B276" s="15" t="s">
        <v>476</v>
      </c>
      <c r="C276" s="16">
        <v>40003</v>
      </c>
      <c r="D276" s="15" t="s">
        <v>476</v>
      </c>
      <c r="E276" s="16">
        <v>40280</v>
      </c>
      <c r="F276" s="66" t="str">
        <f>+"03-MAR-2009"</f>
        <v>03-MAR-2009</v>
      </c>
      <c r="G276" s="47"/>
      <c r="H276" s="66" t="str">
        <f>+"13-JAN-2011"</f>
        <v>13-JAN-2011</v>
      </c>
      <c r="I276" s="18">
        <v>41549</v>
      </c>
      <c r="J276" s="47">
        <f t="shared" si="4"/>
        <v>532</v>
      </c>
      <c r="K276" s="16"/>
      <c r="L276" s="86" t="s">
        <v>19</v>
      </c>
      <c r="M276" s="86" t="s">
        <v>39</v>
      </c>
      <c r="N276" s="86" t="s">
        <v>11</v>
      </c>
      <c r="O276" s="86" t="s">
        <v>25</v>
      </c>
      <c r="P276" s="86" t="s">
        <v>652</v>
      </c>
      <c r="Q276" s="89" t="s">
        <v>40</v>
      </c>
    </row>
    <row r="277" spans="1:21" ht="152.85" customHeight="1" x14ac:dyDescent="0.25">
      <c r="A277" s="86" t="s">
        <v>311</v>
      </c>
      <c r="B277" s="15" t="s">
        <v>476</v>
      </c>
      <c r="C277" s="16">
        <v>40003</v>
      </c>
      <c r="D277" s="15" t="s">
        <v>476</v>
      </c>
      <c r="E277" s="16">
        <v>40280</v>
      </c>
      <c r="F277" s="66" t="str">
        <f>+"23-APR-2008"</f>
        <v>23-APR-2008</v>
      </c>
      <c r="G277" s="48"/>
      <c r="H277" s="66" t="str">
        <f>+"13-JAN-2011"</f>
        <v>13-JAN-2011</v>
      </c>
      <c r="I277" s="18">
        <v>41549</v>
      </c>
      <c r="J277" s="47">
        <f t="shared" si="4"/>
        <v>532</v>
      </c>
      <c r="K277" s="16"/>
      <c r="L277" s="86" t="s">
        <v>19</v>
      </c>
      <c r="M277" s="86" t="s">
        <v>312</v>
      </c>
      <c r="N277" s="86" t="s">
        <v>11</v>
      </c>
      <c r="O277" s="86" t="s">
        <v>25</v>
      </c>
      <c r="P277" s="86" t="s">
        <v>652</v>
      </c>
      <c r="Q277" s="89" t="s">
        <v>40</v>
      </c>
    </row>
    <row r="278" spans="1:21" ht="126" customHeight="1" x14ac:dyDescent="0.25">
      <c r="A278" s="86" t="s">
        <v>121</v>
      </c>
      <c r="B278" s="15" t="s">
        <v>476</v>
      </c>
      <c r="C278" s="16">
        <v>41281</v>
      </c>
      <c r="D278" s="15" t="s">
        <v>476</v>
      </c>
      <c r="E278" s="16">
        <v>41355</v>
      </c>
      <c r="F278" s="66" t="str">
        <f>+"01-NOV-2012"</f>
        <v>01-NOV-2012</v>
      </c>
      <c r="G278" s="48"/>
      <c r="H278" s="66" t="str">
        <f>+"14-NOV-2013"</f>
        <v>14-NOV-2013</v>
      </c>
      <c r="I278" s="18">
        <v>41653</v>
      </c>
      <c r="J278" s="47">
        <f t="shared" si="4"/>
        <v>428</v>
      </c>
      <c r="K278" s="16"/>
      <c r="L278" s="86" t="s">
        <v>19</v>
      </c>
      <c r="M278" s="86" t="s">
        <v>122</v>
      </c>
      <c r="N278" s="86" t="s">
        <v>11</v>
      </c>
      <c r="O278" s="86" t="s">
        <v>14</v>
      </c>
      <c r="P278" s="1" t="s">
        <v>652</v>
      </c>
      <c r="Q278" s="89" t="s">
        <v>16</v>
      </c>
      <c r="S278" s="88"/>
      <c r="T278" s="88"/>
      <c r="U278" s="88"/>
    </row>
    <row r="279" spans="1:21" ht="126" customHeight="1" x14ac:dyDescent="0.25">
      <c r="A279" s="86" t="s">
        <v>123</v>
      </c>
      <c r="B279" s="15" t="s">
        <v>476</v>
      </c>
      <c r="C279" s="16">
        <v>41281</v>
      </c>
      <c r="D279" s="15" t="s">
        <v>476</v>
      </c>
      <c r="E279" s="16">
        <v>41355</v>
      </c>
      <c r="F279" s="66" t="str">
        <f>+"01-NOV-2012"</f>
        <v>01-NOV-2012</v>
      </c>
      <c r="G279" s="48"/>
      <c r="H279" s="66" t="str">
        <f>+"14-NOV-2013"</f>
        <v>14-NOV-2013</v>
      </c>
      <c r="I279" s="18">
        <v>41653</v>
      </c>
      <c r="J279" s="47">
        <f t="shared" si="4"/>
        <v>428</v>
      </c>
      <c r="K279" s="16"/>
      <c r="L279" s="86" t="s">
        <v>19</v>
      </c>
      <c r="M279" s="86" t="s">
        <v>585</v>
      </c>
      <c r="N279" s="86" t="s">
        <v>11</v>
      </c>
      <c r="O279" s="86" t="s">
        <v>14</v>
      </c>
      <c r="P279" s="1" t="s">
        <v>652</v>
      </c>
      <c r="Q279" s="7" t="s">
        <v>16</v>
      </c>
    </row>
    <row r="280" spans="1:21" ht="87" customHeight="1" x14ac:dyDescent="0.25">
      <c r="A280" s="86" t="s">
        <v>125</v>
      </c>
      <c r="B280" s="15" t="s">
        <v>476</v>
      </c>
      <c r="C280" s="16">
        <v>41281</v>
      </c>
      <c r="D280" s="15" t="s">
        <v>476</v>
      </c>
      <c r="E280" s="16">
        <v>41355</v>
      </c>
      <c r="F280" s="66" t="str">
        <f>+"01-NOV-2012"</f>
        <v>01-NOV-2012</v>
      </c>
      <c r="G280" s="48"/>
      <c r="H280" s="66" t="str">
        <f>+"14-NOV-2013"</f>
        <v>14-NOV-2013</v>
      </c>
      <c r="I280" s="18">
        <v>41653</v>
      </c>
      <c r="J280" s="47">
        <f t="shared" si="4"/>
        <v>428</v>
      </c>
      <c r="K280" s="16"/>
      <c r="L280" s="86" t="s">
        <v>19</v>
      </c>
      <c r="M280" s="86" t="s">
        <v>126</v>
      </c>
      <c r="N280" s="86" t="s">
        <v>11</v>
      </c>
      <c r="O280" s="86" t="s">
        <v>14</v>
      </c>
      <c r="P280" s="86" t="s">
        <v>652</v>
      </c>
      <c r="Q280" s="89" t="s">
        <v>16</v>
      </c>
    </row>
    <row r="281" spans="1:21" ht="88.35" customHeight="1" x14ac:dyDescent="0.25">
      <c r="A281" s="86" t="s">
        <v>127</v>
      </c>
      <c r="B281" s="15" t="s">
        <v>476</v>
      </c>
      <c r="C281" s="16">
        <v>41281</v>
      </c>
      <c r="D281" s="15" t="s">
        <v>476</v>
      </c>
      <c r="E281" s="16">
        <v>41355</v>
      </c>
      <c r="F281" s="66" t="str">
        <f>+"01-NOV-2012"</f>
        <v>01-NOV-2012</v>
      </c>
      <c r="G281" s="48"/>
      <c r="H281" s="66" t="str">
        <f>+"14-NOV-2013"</f>
        <v>14-NOV-2013</v>
      </c>
      <c r="I281" s="18">
        <v>41653</v>
      </c>
      <c r="J281" s="47">
        <f t="shared" si="4"/>
        <v>428</v>
      </c>
      <c r="K281" s="16"/>
      <c r="L281" s="86" t="s">
        <v>19</v>
      </c>
      <c r="M281" s="86" t="s">
        <v>128</v>
      </c>
      <c r="N281" s="86" t="s">
        <v>11</v>
      </c>
      <c r="O281" s="86" t="s">
        <v>14</v>
      </c>
      <c r="P281" s="86" t="s">
        <v>652</v>
      </c>
      <c r="Q281" s="89" t="s">
        <v>16</v>
      </c>
    </row>
    <row r="282" spans="1:21" ht="76.150000000000006" customHeight="1" x14ac:dyDescent="0.25">
      <c r="A282" s="86" t="s">
        <v>109</v>
      </c>
      <c r="B282" s="15" t="s">
        <v>476</v>
      </c>
      <c r="C282" s="16">
        <v>41148</v>
      </c>
      <c r="D282" s="15" t="s">
        <v>476</v>
      </c>
      <c r="E282" s="16" t="s">
        <v>476</v>
      </c>
      <c r="F282" s="66" t="str">
        <f>+"02-JUL-2012"</f>
        <v>02-JUL-2012</v>
      </c>
      <c r="G282" s="48"/>
      <c r="H282" s="66" t="str">
        <f>+"19-SEP-2013"</f>
        <v>19-SEP-2013</v>
      </c>
      <c r="I282" s="18">
        <v>41663</v>
      </c>
      <c r="J282" s="47">
        <f t="shared" si="4"/>
        <v>418</v>
      </c>
      <c r="K282" s="16"/>
      <c r="L282" s="86" t="s">
        <v>19</v>
      </c>
      <c r="M282" s="86" t="s">
        <v>110</v>
      </c>
      <c r="N282" s="86" t="s">
        <v>11</v>
      </c>
      <c r="O282" s="86" t="s">
        <v>42</v>
      </c>
      <c r="P282" s="1" t="s">
        <v>36</v>
      </c>
      <c r="Q282" s="7" t="s">
        <v>111</v>
      </c>
    </row>
    <row r="283" spans="1:21" ht="126" customHeight="1" x14ac:dyDescent="0.25">
      <c r="A283" s="86" t="s">
        <v>112</v>
      </c>
      <c r="B283" s="15" t="s">
        <v>476</v>
      </c>
      <c r="C283" s="16">
        <v>41148</v>
      </c>
      <c r="D283" s="15" t="s">
        <v>476</v>
      </c>
      <c r="E283" s="16" t="s">
        <v>476</v>
      </c>
      <c r="F283" s="66" t="str">
        <f>+"02-JUL-2012"</f>
        <v>02-JUL-2012</v>
      </c>
      <c r="G283" s="48"/>
      <c r="H283" s="66" t="str">
        <f>+"19-SEP-2013"</f>
        <v>19-SEP-2013</v>
      </c>
      <c r="I283" s="18">
        <v>41663</v>
      </c>
      <c r="J283" s="47">
        <f t="shared" si="4"/>
        <v>418</v>
      </c>
      <c r="K283" s="16"/>
      <c r="L283" s="1" t="s">
        <v>19</v>
      </c>
      <c r="M283" s="86" t="s">
        <v>113</v>
      </c>
      <c r="N283" s="1" t="s">
        <v>11</v>
      </c>
      <c r="O283" s="1" t="s">
        <v>14</v>
      </c>
      <c r="P283" s="1" t="s">
        <v>36</v>
      </c>
      <c r="Q283" s="7" t="s">
        <v>111</v>
      </c>
      <c r="S283" s="88"/>
      <c r="T283" s="88"/>
      <c r="U283" s="88"/>
    </row>
    <row r="284" spans="1:21" ht="126" customHeight="1" x14ac:dyDescent="0.25">
      <c r="A284" s="86" t="s">
        <v>114</v>
      </c>
      <c r="B284" s="15" t="s">
        <v>476</v>
      </c>
      <c r="C284" s="16">
        <v>41148</v>
      </c>
      <c r="D284" s="15" t="s">
        <v>476</v>
      </c>
      <c r="E284" s="16" t="s">
        <v>476</v>
      </c>
      <c r="F284" s="66" t="str">
        <f>+"02-JUL-2012"</f>
        <v>02-JUL-2012</v>
      </c>
      <c r="G284" s="48"/>
      <c r="H284" s="66" t="str">
        <f>+"19-SEP-2013"</f>
        <v>19-SEP-2013</v>
      </c>
      <c r="I284" s="18">
        <v>41663</v>
      </c>
      <c r="J284" s="47">
        <f t="shared" si="4"/>
        <v>418</v>
      </c>
      <c r="K284" s="16"/>
      <c r="L284" s="86" t="s">
        <v>19</v>
      </c>
      <c r="M284" s="86" t="s">
        <v>115</v>
      </c>
      <c r="N284" s="86" t="s">
        <v>11</v>
      </c>
      <c r="O284" s="86" t="s">
        <v>59</v>
      </c>
      <c r="P284" s="86" t="s">
        <v>36</v>
      </c>
      <c r="Q284" s="89" t="s">
        <v>111</v>
      </c>
    </row>
    <row r="285" spans="1:21" ht="101.25" customHeight="1" x14ac:dyDescent="0.25">
      <c r="A285" s="86" t="s">
        <v>116</v>
      </c>
      <c r="B285" s="15" t="s">
        <v>476</v>
      </c>
      <c r="C285" s="16">
        <v>41148</v>
      </c>
      <c r="D285" s="15" t="s">
        <v>476</v>
      </c>
      <c r="E285" s="16" t="s">
        <v>476</v>
      </c>
      <c r="F285" s="66" t="str">
        <f>+"02-JUL-2012"</f>
        <v>02-JUL-2012</v>
      </c>
      <c r="G285" s="48"/>
      <c r="H285" s="66" t="str">
        <f>+"19-SEP-2013"</f>
        <v>19-SEP-2013</v>
      </c>
      <c r="I285" s="18">
        <v>41663</v>
      </c>
      <c r="J285" s="47">
        <f t="shared" si="4"/>
        <v>418</v>
      </c>
      <c r="K285" s="16"/>
      <c r="L285" s="86" t="s">
        <v>19</v>
      </c>
      <c r="M285" s="86" t="s">
        <v>117</v>
      </c>
      <c r="N285" s="86" t="s">
        <v>11</v>
      </c>
      <c r="O285" s="86" t="s">
        <v>14</v>
      </c>
      <c r="P285" s="86" t="s">
        <v>36</v>
      </c>
      <c r="Q285" s="89" t="s">
        <v>111</v>
      </c>
    </row>
    <row r="286" spans="1:21" ht="152.85" customHeight="1" x14ac:dyDescent="0.25">
      <c r="A286" s="86" t="s">
        <v>364</v>
      </c>
      <c r="B286" s="15" t="s">
        <v>476</v>
      </c>
      <c r="C286" s="16" t="s">
        <v>476</v>
      </c>
      <c r="D286" s="15" t="s">
        <v>476</v>
      </c>
      <c r="E286" s="16">
        <v>41411</v>
      </c>
      <c r="F286" s="66" t="str">
        <f>+"17-DEC-2009"</f>
        <v>17-DEC-2009</v>
      </c>
      <c r="G286" s="48"/>
      <c r="H286" s="66" t="str">
        <f>+"16-JAN-2014"</f>
        <v>16-JAN-2014</v>
      </c>
      <c r="I286" s="18">
        <v>41691</v>
      </c>
      <c r="J286" s="47">
        <f t="shared" si="4"/>
        <v>390</v>
      </c>
      <c r="K286" s="16">
        <v>41408</v>
      </c>
      <c r="L286" s="1" t="s">
        <v>10</v>
      </c>
      <c r="M286" s="86" t="s">
        <v>365</v>
      </c>
      <c r="N286" s="1" t="s">
        <v>11</v>
      </c>
      <c r="O286" s="1" t="s">
        <v>25</v>
      </c>
      <c r="P286" s="1" t="s">
        <v>21</v>
      </c>
      <c r="Q286" s="89" t="s">
        <v>500</v>
      </c>
    </row>
    <row r="287" spans="1:21" ht="104.65" customHeight="1" x14ac:dyDescent="0.25">
      <c r="A287" s="86" t="s">
        <v>138</v>
      </c>
      <c r="B287" s="15" t="s">
        <v>476</v>
      </c>
      <c r="C287" s="16" t="s">
        <v>476</v>
      </c>
      <c r="D287" s="15" t="s">
        <v>476</v>
      </c>
      <c r="E287" s="16">
        <v>41509</v>
      </c>
      <c r="F287" s="66" t="str">
        <f>+"02-JAN-2013"</f>
        <v>02-JAN-2013</v>
      </c>
      <c r="G287" s="48"/>
      <c r="H287" s="66" t="str">
        <f>+"27-FEB-2014"</f>
        <v>27-FEB-2014</v>
      </c>
      <c r="I287" s="18">
        <v>41705</v>
      </c>
      <c r="J287" s="47">
        <f t="shared" si="4"/>
        <v>376</v>
      </c>
      <c r="K287" s="16"/>
      <c r="L287" s="1" t="s">
        <v>19</v>
      </c>
      <c r="M287" s="86" t="s">
        <v>139</v>
      </c>
      <c r="N287" s="1" t="s">
        <v>11</v>
      </c>
      <c r="O287" s="1" t="s">
        <v>17</v>
      </c>
      <c r="P287" s="1" t="s">
        <v>15</v>
      </c>
      <c r="Q287" s="7" t="s">
        <v>140</v>
      </c>
    </row>
    <row r="288" spans="1:21" ht="126" customHeight="1" x14ac:dyDescent="0.25">
      <c r="A288" s="86" t="s">
        <v>141</v>
      </c>
      <c r="B288" s="15" t="s">
        <v>476</v>
      </c>
      <c r="C288" s="16" t="s">
        <v>476</v>
      </c>
      <c r="D288" s="15" t="s">
        <v>476</v>
      </c>
      <c r="E288" s="16">
        <v>41548</v>
      </c>
      <c r="F288" s="66" t="str">
        <f>+"02-JAN-2013"</f>
        <v>02-JAN-2013</v>
      </c>
      <c r="G288" s="48"/>
      <c r="H288" s="66" t="str">
        <f>+"27-FEB-2014"</f>
        <v>27-FEB-2014</v>
      </c>
      <c r="I288" s="18">
        <v>41705</v>
      </c>
      <c r="J288" s="47">
        <f t="shared" si="4"/>
        <v>376</v>
      </c>
      <c r="K288" s="16"/>
      <c r="L288" s="86" t="s">
        <v>19</v>
      </c>
      <c r="M288" s="86" t="s">
        <v>142</v>
      </c>
      <c r="N288" s="1" t="s">
        <v>11</v>
      </c>
      <c r="O288" s="86" t="s">
        <v>17</v>
      </c>
      <c r="P288" s="88" t="s">
        <v>15</v>
      </c>
      <c r="Q288" s="7" t="s">
        <v>140</v>
      </c>
    </row>
    <row r="289" spans="1:21" ht="155.65" customHeight="1" x14ac:dyDescent="0.25">
      <c r="A289" s="86" t="s">
        <v>330</v>
      </c>
      <c r="B289" s="15" t="s">
        <v>476</v>
      </c>
      <c r="C289" s="16" t="s">
        <v>476</v>
      </c>
      <c r="D289" s="15" t="s">
        <v>476</v>
      </c>
      <c r="E289" s="16">
        <v>41548</v>
      </c>
      <c r="F289" s="66" t="str">
        <f>+"04-JAN-2013"</f>
        <v>04-JAN-2013</v>
      </c>
      <c r="G289" s="48"/>
      <c r="H289" s="66" t="str">
        <f>+"27-FEB-2014"</f>
        <v>27-FEB-2014</v>
      </c>
      <c r="I289" s="18">
        <v>41705</v>
      </c>
      <c r="J289" s="47">
        <f t="shared" si="4"/>
        <v>376</v>
      </c>
      <c r="K289" s="16"/>
      <c r="L289" s="86" t="s">
        <v>19</v>
      </c>
      <c r="M289" s="86" t="s">
        <v>331</v>
      </c>
      <c r="N289" s="86" t="s">
        <v>11</v>
      </c>
      <c r="O289" s="86" t="s">
        <v>17</v>
      </c>
      <c r="P289" s="86" t="s">
        <v>15</v>
      </c>
      <c r="Q289" s="7" t="s">
        <v>140</v>
      </c>
    </row>
    <row r="290" spans="1:21" ht="126" customHeight="1" x14ac:dyDescent="0.25">
      <c r="A290" s="86" t="s">
        <v>379</v>
      </c>
      <c r="B290" s="15" t="s">
        <v>476</v>
      </c>
      <c r="C290" s="16" t="s">
        <v>476</v>
      </c>
      <c r="D290" s="15" t="s">
        <v>476</v>
      </c>
      <c r="E290" s="16">
        <v>41548</v>
      </c>
      <c r="F290" s="66" t="str">
        <f>+"04-APR-2013"</f>
        <v>04-APR-2013</v>
      </c>
      <c r="G290" s="48"/>
      <c r="H290" s="66" t="str">
        <f>+"27-FEB-2014"</f>
        <v>27-FEB-2014</v>
      </c>
      <c r="I290" s="18">
        <v>41705</v>
      </c>
      <c r="J290" s="47">
        <f t="shared" si="4"/>
        <v>376</v>
      </c>
      <c r="K290" s="16"/>
      <c r="L290" s="86" t="s">
        <v>19</v>
      </c>
      <c r="M290" s="86" t="s">
        <v>380</v>
      </c>
      <c r="N290" s="86" t="s">
        <v>11</v>
      </c>
      <c r="O290" s="86" t="s">
        <v>17</v>
      </c>
      <c r="P290" s="86" t="s">
        <v>15</v>
      </c>
      <c r="Q290" s="89" t="s">
        <v>381</v>
      </c>
    </row>
    <row r="291" spans="1:21" ht="93.75" customHeight="1" x14ac:dyDescent="0.25">
      <c r="A291" s="86" t="s">
        <v>174</v>
      </c>
      <c r="B291" s="15" t="s">
        <v>476</v>
      </c>
      <c r="C291" s="16">
        <v>41512</v>
      </c>
      <c r="D291" s="15" t="s">
        <v>476</v>
      </c>
      <c r="E291" s="16">
        <v>41598</v>
      </c>
      <c r="F291" s="66" t="str">
        <f>+"21-JUN-2013"</f>
        <v>21-JUN-2013</v>
      </c>
      <c r="G291" s="48"/>
      <c r="H291" s="66" t="str">
        <f>+"05-FEB-2014"</f>
        <v>05-FEB-2014</v>
      </c>
      <c r="I291" s="18">
        <v>41711</v>
      </c>
      <c r="J291" s="47">
        <f t="shared" si="4"/>
        <v>370</v>
      </c>
      <c r="K291" s="16">
        <v>41598</v>
      </c>
      <c r="L291" s="86" t="s">
        <v>10</v>
      </c>
      <c r="M291" s="86" t="s">
        <v>175</v>
      </c>
      <c r="N291" s="86" t="s">
        <v>11</v>
      </c>
      <c r="O291" s="86" t="s">
        <v>14</v>
      </c>
      <c r="P291" s="1" t="s">
        <v>21</v>
      </c>
      <c r="Q291" s="7" t="s">
        <v>176</v>
      </c>
    </row>
    <row r="292" spans="1:21" ht="126" customHeight="1" x14ac:dyDescent="0.25">
      <c r="A292" s="86" t="s">
        <v>407</v>
      </c>
      <c r="B292" s="15" t="s">
        <v>476</v>
      </c>
      <c r="C292" s="16">
        <v>40319</v>
      </c>
      <c r="D292" s="15" t="s">
        <v>476</v>
      </c>
      <c r="E292" s="16" t="s">
        <v>476</v>
      </c>
      <c r="F292" s="66" t="str">
        <f>+"20-NOV-2009"</f>
        <v>20-NOV-2009</v>
      </c>
      <c r="G292" s="48"/>
      <c r="H292" s="66" t="str">
        <f>+"16-JAN-2014"</f>
        <v>16-JAN-2014</v>
      </c>
      <c r="I292" s="18">
        <v>41719</v>
      </c>
      <c r="J292" s="47">
        <f t="shared" si="4"/>
        <v>362</v>
      </c>
      <c r="K292" s="16"/>
      <c r="L292" s="86" t="s">
        <v>19</v>
      </c>
      <c r="M292" s="86" t="s">
        <v>408</v>
      </c>
      <c r="N292" s="86" t="s">
        <v>11</v>
      </c>
      <c r="O292" s="86" t="s">
        <v>14</v>
      </c>
      <c r="P292" s="86" t="s">
        <v>36</v>
      </c>
      <c r="Q292" s="7" t="s">
        <v>111</v>
      </c>
    </row>
    <row r="293" spans="1:21" ht="126" customHeight="1" x14ac:dyDescent="0.25">
      <c r="A293" s="86" t="s">
        <v>165</v>
      </c>
      <c r="B293" s="15" t="s">
        <v>476</v>
      </c>
      <c r="C293" s="16" t="s">
        <v>476</v>
      </c>
      <c r="D293" s="15" t="s">
        <v>476</v>
      </c>
      <c r="E293" s="16">
        <v>41540</v>
      </c>
      <c r="F293" s="66" t="str">
        <f>+"17-MAY-2013"</f>
        <v>17-MAY-2013</v>
      </c>
      <c r="G293" s="48"/>
      <c r="H293" s="66" t="str">
        <f>+"14-NOV-2013"</f>
        <v>14-NOV-2013</v>
      </c>
      <c r="I293" s="18">
        <v>41737</v>
      </c>
      <c r="J293" s="47">
        <f t="shared" si="4"/>
        <v>344</v>
      </c>
      <c r="K293" s="16">
        <v>41540</v>
      </c>
      <c r="L293" s="1" t="s">
        <v>10</v>
      </c>
      <c r="M293" s="86" t="s">
        <v>166</v>
      </c>
      <c r="N293" s="1" t="s">
        <v>11</v>
      </c>
      <c r="O293" s="1" t="s">
        <v>14</v>
      </c>
      <c r="P293" s="1" t="s">
        <v>21</v>
      </c>
      <c r="Q293" s="7" t="s">
        <v>22</v>
      </c>
    </row>
    <row r="294" spans="1:21" ht="126" customHeight="1" x14ac:dyDescent="0.25">
      <c r="A294" s="86" t="s">
        <v>83</v>
      </c>
      <c r="B294" s="15" t="s">
        <v>476</v>
      </c>
      <c r="C294" s="16">
        <v>40820</v>
      </c>
      <c r="D294" s="15" t="s">
        <v>476</v>
      </c>
      <c r="E294" s="16">
        <v>41089</v>
      </c>
      <c r="F294" s="66" t="str">
        <f>+"11-JUL-2011"</f>
        <v>11-JUL-2011</v>
      </c>
      <c r="G294" s="48"/>
      <c r="H294" s="66" t="str">
        <f>+"01-MAY-2014"</f>
        <v>01-MAY-2014</v>
      </c>
      <c r="I294" s="18">
        <v>41799</v>
      </c>
      <c r="J294" s="47">
        <f t="shared" si="4"/>
        <v>282</v>
      </c>
      <c r="K294" s="16">
        <v>41180</v>
      </c>
      <c r="L294" s="1" t="s">
        <v>10</v>
      </c>
      <c r="M294" s="86" t="s">
        <v>84</v>
      </c>
      <c r="N294" s="1" t="s">
        <v>11</v>
      </c>
      <c r="O294" s="1" t="s">
        <v>17</v>
      </c>
      <c r="P294" s="86" t="s">
        <v>41</v>
      </c>
      <c r="Q294" s="7" t="s">
        <v>62</v>
      </c>
    </row>
    <row r="295" spans="1:21" ht="109.35" customHeight="1" x14ac:dyDescent="0.25">
      <c r="A295" s="86" t="s">
        <v>405</v>
      </c>
      <c r="B295" s="15" t="s">
        <v>476</v>
      </c>
      <c r="C295" s="16">
        <v>40543</v>
      </c>
      <c r="D295" s="15" t="s">
        <v>476</v>
      </c>
      <c r="E295" s="16" t="s">
        <v>476</v>
      </c>
      <c r="F295" s="66" t="str">
        <f>+"18-JUN-2009"</f>
        <v>18-JUN-2009</v>
      </c>
      <c r="G295" s="48"/>
      <c r="H295" s="66" t="str">
        <f>+"12-JUN-2014"</f>
        <v>12-JUN-2014</v>
      </c>
      <c r="I295" s="18">
        <v>41803</v>
      </c>
      <c r="J295" s="47">
        <f t="shared" si="4"/>
        <v>278</v>
      </c>
      <c r="K295" s="16"/>
      <c r="L295" s="1" t="s">
        <v>19</v>
      </c>
      <c r="M295" s="86" t="s">
        <v>406</v>
      </c>
      <c r="N295" s="1" t="s">
        <v>11</v>
      </c>
      <c r="O295" s="1" t="s">
        <v>25</v>
      </c>
      <c r="P295" s="1" t="s">
        <v>652</v>
      </c>
      <c r="Q295" s="7" t="s">
        <v>501</v>
      </c>
    </row>
    <row r="296" spans="1:21" ht="126" customHeight="1" x14ac:dyDescent="0.25">
      <c r="A296" s="86" t="s">
        <v>411</v>
      </c>
      <c r="B296" s="15" t="s">
        <v>476</v>
      </c>
      <c r="C296" s="16">
        <v>40772</v>
      </c>
      <c r="D296" s="15" t="s">
        <v>476</v>
      </c>
      <c r="E296" s="16" t="s">
        <v>476</v>
      </c>
      <c r="F296" s="66" t="str">
        <f>+"04-FEB-2010"</f>
        <v>04-FEB-2010</v>
      </c>
      <c r="G296" s="48"/>
      <c r="H296" s="66" t="str">
        <f>+"26-JUN-2014"</f>
        <v>26-JUN-2014</v>
      </c>
      <c r="I296" s="18">
        <v>41817</v>
      </c>
      <c r="J296" s="47">
        <f t="shared" si="4"/>
        <v>264</v>
      </c>
      <c r="K296" s="16"/>
      <c r="L296" s="86" t="s">
        <v>19</v>
      </c>
      <c r="M296" s="86" t="s">
        <v>412</v>
      </c>
      <c r="N296" s="86" t="s">
        <v>11</v>
      </c>
      <c r="O296" s="86" t="s">
        <v>14</v>
      </c>
      <c r="P296" s="86" t="s">
        <v>21</v>
      </c>
      <c r="Q296" s="89" t="s">
        <v>37</v>
      </c>
    </row>
    <row r="297" spans="1:21" ht="126" customHeight="1" x14ac:dyDescent="0.25">
      <c r="A297" s="86" t="s">
        <v>397</v>
      </c>
      <c r="B297" s="15" t="s">
        <v>476</v>
      </c>
      <c r="C297" s="16">
        <v>39209</v>
      </c>
      <c r="D297" s="15" t="s">
        <v>476</v>
      </c>
      <c r="E297" s="16" t="s">
        <v>476</v>
      </c>
      <c r="F297" s="66" t="str">
        <f>+"05-OCT-2006"</f>
        <v>05-OCT-2006</v>
      </c>
      <c r="G297" s="48"/>
      <c r="H297" s="66" t="str">
        <f>+"16-APR-2009"</f>
        <v>16-APR-2009</v>
      </c>
      <c r="I297" s="18">
        <v>41823</v>
      </c>
      <c r="J297" s="47">
        <f t="shared" si="4"/>
        <v>258</v>
      </c>
      <c r="K297" s="16"/>
      <c r="L297" s="86" t="s">
        <v>19</v>
      </c>
      <c r="M297" s="86" t="s">
        <v>398</v>
      </c>
      <c r="N297" s="86" t="s">
        <v>11</v>
      </c>
      <c r="O297" s="86" t="s">
        <v>25</v>
      </c>
      <c r="P297" s="86" t="s">
        <v>652</v>
      </c>
      <c r="Q297" s="89" t="s">
        <v>394</v>
      </c>
    </row>
    <row r="298" spans="1:21" ht="97.15" customHeight="1" x14ac:dyDescent="0.25">
      <c r="A298" s="86" t="s">
        <v>89</v>
      </c>
      <c r="B298" s="15" t="s">
        <v>476</v>
      </c>
      <c r="C298" s="16">
        <v>40963</v>
      </c>
      <c r="D298" s="15" t="s">
        <v>476</v>
      </c>
      <c r="E298" s="24">
        <v>41449</v>
      </c>
      <c r="F298" s="66" t="str">
        <f>+"01-NOV-2011"</f>
        <v>01-NOV-2011</v>
      </c>
      <c r="G298" s="48"/>
      <c r="H298" s="66" t="str">
        <f>+"12-JUN-2014"</f>
        <v>12-JUN-2014</v>
      </c>
      <c r="I298" s="18">
        <v>41841</v>
      </c>
      <c r="J298" s="47">
        <f t="shared" si="4"/>
        <v>240</v>
      </c>
      <c r="K298" s="16">
        <v>41225</v>
      </c>
      <c r="L298" s="86" t="s">
        <v>10</v>
      </c>
      <c r="M298" s="86" t="s">
        <v>90</v>
      </c>
      <c r="N298" s="86" t="s">
        <v>11</v>
      </c>
      <c r="O298" s="86" t="s">
        <v>59</v>
      </c>
      <c r="P298" s="86" t="s">
        <v>21</v>
      </c>
      <c r="Q298" s="89" t="s">
        <v>492</v>
      </c>
    </row>
    <row r="299" spans="1:21" ht="126" customHeight="1" x14ac:dyDescent="0.25">
      <c r="A299" s="86" t="s">
        <v>34</v>
      </c>
      <c r="B299" s="15" t="s">
        <v>476</v>
      </c>
      <c r="C299" s="16">
        <v>40003</v>
      </c>
      <c r="D299" s="15" t="s">
        <v>476</v>
      </c>
      <c r="E299" s="16">
        <v>40863</v>
      </c>
      <c r="F299" s="66" t="str">
        <f>+"29-AUG-2008"</f>
        <v>29-AUG-2008</v>
      </c>
      <c r="G299" s="47"/>
      <c r="H299" s="66" t="str">
        <f>+"26-JUN-2014"</f>
        <v>26-JUN-2014</v>
      </c>
      <c r="I299" s="18">
        <v>41851</v>
      </c>
      <c r="J299" s="47">
        <f t="shared" si="4"/>
        <v>230</v>
      </c>
      <c r="K299" s="16">
        <v>41054</v>
      </c>
      <c r="L299" s="1" t="s">
        <v>10</v>
      </c>
      <c r="M299" s="86" t="s">
        <v>35</v>
      </c>
      <c r="N299" s="1" t="s">
        <v>11</v>
      </c>
      <c r="O299" s="1" t="s">
        <v>17</v>
      </c>
      <c r="P299" s="1" t="s">
        <v>652</v>
      </c>
      <c r="Q299" s="7" t="s">
        <v>502</v>
      </c>
    </row>
    <row r="300" spans="1:21" ht="126" customHeight="1" x14ac:dyDescent="0.25">
      <c r="A300" s="82" t="s">
        <v>617</v>
      </c>
      <c r="B300" s="31">
        <v>40792</v>
      </c>
      <c r="C300" s="31">
        <v>40812</v>
      </c>
      <c r="D300" s="82" t="s">
        <v>476</v>
      </c>
      <c r="E300" s="31">
        <v>41036</v>
      </c>
      <c r="F300" s="77">
        <v>40679</v>
      </c>
      <c r="G300" s="82"/>
      <c r="H300" s="77">
        <v>41865</v>
      </c>
      <c r="I300" s="31">
        <v>41880</v>
      </c>
      <c r="J300" s="47">
        <f t="shared" si="4"/>
        <v>201</v>
      </c>
      <c r="K300" s="82"/>
      <c r="L300" s="82" t="s">
        <v>19</v>
      </c>
      <c r="M300" s="86" t="s">
        <v>618</v>
      </c>
      <c r="N300" s="82" t="s">
        <v>11</v>
      </c>
      <c r="O300" s="82" t="s">
        <v>42</v>
      </c>
      <c r="P300" s="1" t="s">
        <v>15</v>
      </c>
      <c r="Q300" s="7" t="s">
        <v>72</v>
      </c>
    </row>
    <row r="301" spans="1:21" ht="126" customHeight="1" x14ac:dyDescent="0.25">
      <c r="A301" s="82" t="s">
        <v>611</v>
      </c>
      <c r="B301" s="31">
        <v>40763</v>
      </c>
      <c r="C301" s="31">
        <v>40812</v>
      </c>
      <c r="D301" s="82" t="s">
        <v>476</v>
      </c>
      <c r="E301" s="31">
        <v>41036</v>
      </c>
      <c r="F301" s="77">
        <v>40679</v>
      </c>
      <c r="G301" s="82"/>
      <c r="H301" s="77">
        <v>41865</v>
      </c>
      <c r="I301" s="31">
        <v>41880</v>
      </c>
      <c r="J301" s="47">
        <f t="shared" si="4"/>
        <v>201</v>
      </c>
      <c r="K301" s="82"/>
      <c r="L301" s="82" t="s">
        <v>19</v>
      </c>
      <c r="M301" s="86" t="s">
        <v>612</v>
      </c>
      <c r="N301" s="82" t="s">
        <v>11</v>
      </c>
      <c r="O301" s="82" t="s">
        <v>42</v>
      </c>
      <c r="P301" s="86" t="s">
        <v>15</v>
      </c>
      <c r="Q301" s="7" t="s">
        <v>72</v>
      </c>
    </row>
    <row r="302" spans="1:21" ht="126" customHeight="1" x14ac:dyDescent="0.25">
      <c r="A302" s="82" t="s">
        <v>613</v>
      </c>
      <c r="B302" s="31">
        <v>40763</v>
      </c>
      <c r="C302" s="31">
        <v>40812</v>
      </c>
      <c r="D302" s="82" t="s">
        <v>476</v>
      </c>
      <c r="E302" s="31">
        <v>41036</v>
      </c>
      <c r="F302" s="77">
        <v>40679</v>
      </c>
      <c r="G302" s="82"/>
      <c r="H302" s="77">
        <v>41865</v>
      </c>
      <c r="I302" s="31">
        <v>41880</v>
      </c>
      <c r="J302" s="47">
        <f t="shared" si="4"/>
        <v>201</v>
      </c>
      <c r="K302" s="82"/>
      <c r="L302" s="82" t="s">
        <v>19</v>
      </c>
      <c r="M302" s="86" t="s">
        <v>614</v>
      </c>
      <c r="N302" s="82" t="s">
        <v>11</v>
      </c>
      <c r="O302" s="82" t="s">
        <v>42</v>
      </c>
      <c r="P302" s="1" t="s">
        <v>15</v>
      </c>
      <c r="Q302" s="7" t="s">
        <v>72</v>
      </c>
    </row>
    <row r="303" spans="1:21" ht="126" customHeight="1" x14ac:dyDescent="0.25">
      <c r="A303" s="82" t="s">
        <v>615</v>
      </c>
      <c r="B303" s="31">
        <v>40763</v>
      </c>
      <c r="C303" s="31">
        <v>40812</v>
      </c>
      <c r="D303" s="82" t="s">
        <v>476</v>
      </c>
      <c r="E303" s="31">
        <v>41036</v>
      </c>
      <c r="F303" s="77">
        <v>40679</v>
      </c>
      <c r="G303" s="82"/>
      <c r="H303" s="77">
        <v>41865</v>
      </c>
      <c r="I303" s="31">
        <v>41880</v>
      </c>
      <c r="J303" s="47">
        <f t="shared" si="4"/>
        <v>201</v>
      </c>
      <c r="K303" s="82"/>
      <c r="L303" s="82" t="s">
        <v>19</v>
      </c>
      <c r="M303" s="86" t="s">
        <v>616</v>
      </c>
      <c r="N303" s="82" t="s">
        <v>11</v>
      </c>
      <c r="O303" s="82" t="s">
        <v>42</v>
      </c>
      <c r="P303" s="88" t="s">
        <v>15</v>
      </c>
      <c r="Q303" s="7" t="s">
        <v>72</v>
      </c>
    </row>
    <row r="304" spans="1:21" ht="126" customHeight="1" x14ac:dyDescent="0.25">
      <c r="A304" s="86" t="s">
        <v>526</v>
      </c>
      <c r="B304" s="15">
        <v>40952</v>
      </c>
      <c r="C304" s="16">
        <v>40983</v>
      </c>
      <c r="D304" s="15">
        <v>41386</v>
      </c>
      <c r="E304" s="16" t="s">
        <v>476</v>
      </c>
      <c r="F304" s="66" t="str">
        <f>+"03-JAN-2012"</f>
        <v>03-JAN-2012</v>
      </c>
      <c r="G304" s="48"/>
      <c r="H304" s="66" t="str">
        <f>+"14-AUG-2014"</f>
        <v>14-AUG-2014</v>
      </c>
      <c r="I304" s="29">
        <v>41897</v>
      </c>
      <c r="J304" s="47">
        <f t="shared" si="4"/>
        <v>184</v>
      </c>
      <c r="K304" s="16"/>
      <c r="L304" s="86" t="s">
        <v>10</v>
      </c>
      <c r="M304" s="86" t="s">
        <v>543</v>
      </c>
      <c r="N304" s="1" t="s">
        <v>11</v>
      </c>
      <c r="O304" s="86" t="s">
        <v>17</v>
      </c>
      <c r="P304" s="1" t="s">
        <v>15</v>
      </c>
      <c r="Q304" s="7" t="s">
        <v>527</v>
      </c>
      <c r="S304" s="21"/>
      <c r="T304" s="21"/>
      <c r="U304" s="21"/>
    </row>
    <row r="305" spans="1:17" ht="126" customHeight="1" x14ac:dyDescent="0.25">
      <c r="A305" s="86" t="s">
        <v>534</v>
      </c>
      <c r="B305" s="15">
        <v>41085</v>
      </c>
      <c r="C305" s="16">
        <v>41115</v>
      </c>
      <c r="D305" s="15" t="s">
        <v>476</v>
      </c>
      <c r="E305" s="16" t="s">
        <v>476</v>
      </c>
      <c r="F305" s="66" t="str">
        <f>+"19-APR-2012"</f>
        <v>19-APR-2012</v>
      </c>
      <c r="G305" s="48"/>
      <c r="H305" s="66" t="str">
        <f>+"15-SEP-2014"</f>
        <v>15-SEP-2014</v>
      </c>
      <c r="I305" s="29">
        <v>41918</v>
      </c>
      <c r="J305" s="47">
        <f t="shared" si="4"/>
        <v>163</v>
      </c>
      <c r="K305" s="16"/>
      <c r="L305" s="1" t="s">
        <v>19</v>
      </c>
      <c r="M305" s="86" t="s">
        <v>550</v>
      </c>
      <c r="N305" s="1" t="s">
        <v>11</v>
      </c>
      <c r="O305" s="1" t="s">
        <v>14</v>
      </c>
      <c r="P305" s="88" t="s">
        <v>21</v>
      </c>
      <c r="Q305" s="7" t="s">
        <v>557</v>
      </c>
    </row>
    <row r="306" spans="1:17" ht="126" customHeight="1" x14ac:dyDescent="0.25">
      <c r="A306" s="82" t="s">
        <v>559</v>
      </c>
      <c r="B306" s="15" t="s">
        <v>476</v>
      </c>
      <c r="C306" s="15" t="s">
        <v>476</v>
      </c>
      <c r="D306" s="15" t="s">
        <v>476</v>
      </c>
      <c r="E306" s="15" t="s">
        <v>476</v>
      </c>
      <c r="F306" s="77" t="str">
        <f>+"20-SEP-2010"</f>
        <v>20-SEP-2010</v>
      </c>
      <c r="G306" s="48"/>
      <c r="H306" s="77" t="str">
        <f>+"27-FEB-2014"</f>
        <v>27-FEB-2014</v>
      </c>
      <c r="I306" s="31">
        <v>41935</v>
      </c>
      <c r="J306" s="47">
        <f t="shared" si="4"/>
        <v>146</v>
      </c>
      <c r="K306" s="87"/>
      <c r="L306" s="82" t="s">
        <v>19</v>
      </c>
      <c r="M306" s="86" t="s">
        <v>569</v>
      </c>
      <c r="N306" s="1" t="s">
        <v>11</v>
      </c>
      <c r="O306" s="82" t="s">
        <v>14</v>
      </c>
      <c r="P306" s="86" t="s">
        <v>21</v>
      </c>
      <c r="Q306" s="7" t="s">
        <v>575</v>
      </c>
    </row>
    <row r="307" spans="1:17" ht="126" customHeight="1" x14ac:dyDescent="0.25">
      <c r="A307" s="82" t="s">
        <v>560</v>
      </c>
      <c r="B307" s="15">
        <v>41239</v>
      </c>
      <c r="C307" s="16">
        <v>41292</v>
      </c>
      <c r="D307" s="15" t="s">
        <v>476</v>
      </c>
      <c r="E307" s="16" t="s">
        <v>476</v>
      </c>
      <c r="F307" s="77" t="str">
        <f>+"02-AUG-2012"</f>
        <v>02-AUG-2012</v>
      </c>
      <c r="G307" s="48"/>
      <c r="H307" s="77" t="str">
        <f>+"19-DEC-2013"</f>
        <v>19-DEC-2013</v>
      </c>
      <c r="I307" s="31">
        <v>41942</v>
      </c>
      <c r="J307" s="47">
        <f t="shared" si="4"/>
        <v>139</v>
      </c>
      <c r="K307" s="87"/>
      <c r="L307" s="82" t="s">
        <v>19</v>
      </c>
      <c r="M307" s="86" t="s">
        <v>570</v>
      </c>
      <c r="N307" s="86" t="s">
        <v>11</v>
      </c>
      <c r="O307" s="82" t="s">
        <v>42</v>
      </c>
      <c r="P307" s="86" t="s">
        <v>36</v>
      </c>
      <c r="Q307" s="89" t="s">
        <v>47</v>
      </c>
    </row>
    <row r="308" spans="1:17" ht="126" customHeight="1" x14ac:dyDescent="0.25">
      <c r="A308" s="82" t="s">
        <v>561</v>
      </c>
      <c r="B308" s="15">
        <v>41239</v>
      </c>
      <c r="C308" s="16">
        <v>41292</v>
      </c>
      <c r="D308" s="15" t="s">
        <v>476</v>
      </c>
      <c r="E308" s="16" t="s">
        <v>476</v>
      </c>
      <c r="F308" s="77" t="str">
        <f>+"03-AUG-2012"</f>
        <v>03-AUG-2012</v>
      </c>
      <c r="G308" s="48"/>
      <c r="H308" s="77" t="str">
        <f>+"19-DEC-2013"</f>
        <v>19-DEC-2013</v>
      </c>
      <c r="I308" s="31">
        <v>41942</v>
      </c>
      <c r="J308" s="47">
        <f t="shared" si="4"/>
        <v>139</v>
      </c>
      <c r="K308" s="87"/>
      <c r="L308" s="82" t="s">
        <v>19</v>
      </c>
      <c r="M308" s="86" t="s">
        <v>571</v>
      </c>
      <c r="N308" s="86" t="s">
        <v>11</v>
      </c>
      <c r="O308" s="82" t="s">
        <v>14</v>
      </c>
      <c r="P308" s="86" t="s">
        <v>36</v>
      </c>
      <c r="Q308" s="89" t="s">
        <v>47</v>
      </c>
    </row>
    <row r="309" spans="1:17" ht="126" customHeight="1" x14ac:dyDescent="0.25">
      <c r="A309" s="82" t="s">
        <v>562</v>
      </c>
      <c r="B309" s="15">
        <v>41239</v>
      </c>
      <c r="C309" s="16">
        <v>41292</v>
      </c>
      <c r="D309" s="15" t="s">
        <v>476</v>
      </c>
      <c r="E309" s="16" t="s">
        <v>476</v>
      </c>
      <c r="F309" s="77" t="str">
        <f>+"03-AUG-2012"</f>
        <v>03-AUG-2012</v>
      </c>
      <c r="G309" s="48"/>
      <c r="H309" s="77" t="str">
        <f>+"19-DEC-2013"</f>
        <v>19-DEC-2013</v>
      </c>
      <c r="I309" s="31">
        <v>41942</v>
      </c>
      <c r="J309" s="47">
        <f t="shared" si="4"/>
        <v>139</v>
      </c>
      <c r="K309" s="87"/>
      <c r="L309" s="82" t="s">
        <v>19</v>
      </c>
      <c r="M309" s="86" t="s">
        <v>572</v>
      </c>
      <c r="N309" s="1" t="s">
        <v>11</v>
      </c>
      <c r="O309" s="82" t="s">
        <v>42</v>
      </c>
      <c r="P309" s="1" t="s">
        <v>36</v>
      </c>
      <c r="Q309" s="7" t="s">
        <v>47</v>
      </c>
    </row>
    <row r="310" spans="1:17" ht="126" customHeight="1" x14ac:dyDescent="0.25">
      <c r="A310" s="82" t="s">
        <v>563</v>
      </c>
      <c r="B310" s="15">
        <v>41239</v>
      </c>
      <c r="C310" s="16">
        <v>41292</v>
      </c>
      <c r="D310" s="15" t="s">
        <v>476</v>
      </c>
      <c r="E310" s="16" t="s">
        <v>476</v>
      </c>
      <c r="F310" s="77" t="str">
        <f>+"03-AUG-2012"</f>
        <v>03-AUG-2012</v>
      </c>
      <c r="G310" s="48"/>
      <c r="H310" s="77" t="str">
        <f>+"19-DEC-2013"</f>
        <v>19-DEC-2013</v>
      </c>
      <c r="I310" s="31">
        <v>41942</v>
      </c>
      <c r="J310" s="47">
        <f t="shared" si="4"/>
        <v>139</v>
      </c>
      <c r="K310" s="87"/>
      <c r="L310" s="82" t="s">
        <v>19</v>
      </c>
      <c r="M310" s="86" t="s">
        <v>573</v>
      </c>
      <c r="N310" s="1" t="s">
        <v>11</v>
      </c>
      <c r="O310" s="82" t="s">
        <v>59</v>
      </c>
      <c r="P310" s="1" t="s">
        <v>36</v>
      </c>
      <c r="Q310" s="7" t="s">
        <v>47</v>
      </c>
    </row>
    <row r="311" spans="1:17" ht="126" customHeight="1" x14ac:dyDescent="0.25">
      <c r="A311" s="82" t="s">
        <v>558</v>
      </c>
      <c r="B311" s="15">
        <v>39321</v>
      </c>
      <c r="C311" s="16">
        <v>39889</v>
      </c>
      <c r="D311" s="15">
        <v>40002</v>
      </c>
      <c r="E311" s="16">
        <v>41407</v>
      </c>
      <c r="F311" s="77" t="str">
        <f>+"29-JUN-2007"</f>
        <v>29-JUN-2007</v>
      </c>
      <c r="G311" s="47"/>
      <c r="H311" s="77" t="str">
        <f>+"14-AUG-2014"</f>
        <v>14-AUG-2014</v>
      </c>
      <c r="I311" s="31">
        <v>41943</v>
      </c>
      <c r="J311" s="47">
        <f t="shared" si="4"/>
        <v>138</v>
      </c>
      <c r="K311" s="31">
        <v>41407</v>
      </c>
      <c r="L311" s="82" t="s">
        <v>10</v>
      </c>
      <c r="M311" s="86" t="s">
        <v>567</v>
      </c>
      <c r="N311" s="1" t="s">
        <v>11</v>
      </c>
      <c r="O311" s="82" t="s">
        <v>14</v>
      </c>
      <c r="P311" s="86" t="s">
        <v>15</v>
      </c>
      <c r="Q311" s="7" t="s">
        <v>568</v>
      </c>
    </row>
    <row r="312" spans="1:17" ht="126" customHeight="1" x14ac:dyDescent="0.25">
      <c r="A312" s="86" t="s">
        <v>607</v>
      </c>
      <c r="B312" s="15">
        <v>41007</v>
      </c>
      <c r="C312" s="16">
        <v>41046</v>
      </c>
      <c r="D312" s="15">
        <v>41575</v>
      </c>
      <c r="E312" s="41">
        <v>41624</v>
      </c>
      <c r="F312" s="77" t="str">
        <f>+"22-MAR-2012"</f>
        <v>22-MAR-2012</v>
      </c>
      <c r="G312" s="48"/>
      <c r="H312" s="74" t="str">
        <f>+"20-NOV-2014"</f>
        <v>20-NOV-2014</v>
      </c>
      <c r="I312" s="31">
        <v>41964</v>
      </c>
      <c r="J312" s="47">
        <f t="shared" si="4"/>
        <v>117</v>
      </c>
      <c r="K312" s="41">
        <v>41624</v>
      </c>
      <c r="L312" s="1" t="s">
        <v>10</v>
      </c>
      <c r="M312" s="86" t="s">
        <v>431</v>
      </c>
      <c r="N312" s="1" t="s">
        <v>11</v>
      </c>
      <c r="O312" s="1" t="s">
        <v>14</v>
      </c>
      <c r="P312" s="1" t="s">
        <v>21</v>
      </c>
      <c r="Q312" s="7" t="s">
        <v>765</v>
      </c>
    </row>
    <row r="313" spans="1:17" ht="126" customHeight="1" x14ac:dyDescent="0.25">
      <c r="A313" s="82" t="s">
        <v>623</v>
      </c>
      <c r="B313" s="15" t="s">
        <v>476</v>
      </c>
      <c r="C313" s="44">
        <v>40470</v>
      </c>
      <c r="D313" s="15" t="s">
        <v>476</v>
      </c>
      <c r="E313" s="15" t="s">
        <v>476</v>
      </c>
      <c r="F313" s="77" t="str">
        <f>+"04-NOV-2008"</f>
        <v>04-NOV-2008</v>
      </c>
      <c r="G313" s="47"/>
      <c r="H313" s="74" t="str">
        <f>+"02-OCT-2014"</f>
        <v>02-OCT-2014</v>
      </c>
      <c r="I313" s="31">
        <v>41989</v>
      </c>
      <c r="J313" s="47">
        <f t="shared" si="4"/>
        <v>92</v>
      </c>
      <c r="K313" s="16"/>
      <c r="L313" s="86" t="s">
        <v>19</v>
      </c>
      <c r="M313" s="86" t="s">
        <v>634</v>
      </c>
      <c r="N313" s="86" t="s">
        <v>11</v>
      </c>
      <c r="O313" s="86" t="s">
        <v>14</v>
      </c>
      <c r="P313" s="88" t="s">
        <v>21</v>
      </c>
      <c r="Q313" s="83" t="s">
        <v>22</v>
      </c>
    </row>
    <row r="314" spans="1:17" ht="126" customHeight="1" x14ac:dyDescent="0.25">
      <c r="A314" s="82" t="s">
        <v>629</v>
      </c>
      <c r="B314" s="15" t="s">
        <v>476</v>
      </c>
      <c r="C314" s="44">
        <v>38142</v>
      </c>
      <c r="D314" s="44" t="s">
        <v>476</v>
      </c>
      <c r="E314" s="44">
        <v>38796</v>
      </c>
      <c r="F314" s="77" t="str">
        <f>+"01-APR-2004"</f>
        <v>01-APR-2004</v>
      </c>
      <c r="G314" s="48"/>
      <c r="H314" s="77" t="str">
        <f>+"02-OCT-2014"</f>
        <v>02-OCT-2014</v>
      </c>
      <c r="I314" s="31">
        <v>41989</v>
      </c>
      <c r="J314" s="47">
        <f t="shared" si="4"/>
        <v>92</v>
      </c>
      <c r="K314" s="31">
        <v>38877</v>
      </c>
      <c r="L314" s="82" t="s">
        <v>10</v>
      </c>
      <c r="M314" s="86" t="s">
        <v>635</v>
      </c>
      <c r="N314" s="82" t="s">
        <v>11</v>
      </c>
      <c r="O314" s="82" t="s">
        <v>14</v>
      </c>
      <c r="P314" s="1" t="s">
        <v>21</v>
      </c>
      <c r="Q314" s="83" t="s">
        <v>22</v>
      </c>
    </row>
    <row r="315" spans="1:17" ht="126" customHeight="1" x14ac:dyDescent="0.25">
      <c r="A315" s="82" t="s">
        <v>630</v>
      </c>
      <c r="B315" s="15" t="s">
        <v>476</v>
      </c>
      <c r="C315" s="44">
        <v>38356</v>
      </c>
      <c r="D315" s="44" t="s">
        <v>476</v>
      </c>
      <c r="E315" s="44">
        <v>38796</v>
      </c>
      <c r="F315" s="77" t="str">
        <f>+"22-APR-2004"</f>
        <v>22-APR-2004</v>
      </c>
      <c r="G315" s="48"/>
      <c r="H315" s="77" t="str">
        <f>+"02-OCT-2014"</f>
        <v>02-OCT-2014</v>
      </c>
      <c r="I315" s="31">
        <v>41989</v>
      </c>
      <c r="J315" s="47">
        <f t="shared" si="4"/>
        <v>92</v>
      </c>
      <c r="K315" s="31">
        <v>38877</v>
      </c>
      <c r="L315" s="82" t="s">
        <v>10</v>
      </c>
      <c r="M315" s="86" t="s">
        <v>636</v>
      </c>
      <c r="N315" s="82" t="s">
        <v>11</v>
      </c>
      <c r="O315" s="82" t="s">
        <v>14</v>
      </c>
      <c r="P315" s="86" t="s">
        <v>21</v>
      </c>
      <c r="Q315" s="83" t="s">
        <v>22</v>
      </c>
    </row>
    <row r="316" spans="1:17" ht="126" customHeight="1" x14ac:dyDescent="0.25">
      <c r="A316" s="82" t="s">
        <v>631</v>
      </c>
      <c r="B316" s="15" t="s">
        <v>476</v>
      </c>
      <c r="C316" s="44">
        <v>38985</v>
      </c>
      <c r="D316" s="44" t="s">
        <v>476</v>
      </c>
      <c r="E316" s="44">
        <v>39647</v>
      </c>
      <c r="F316" s="77" t="str">
        <f>+"16-FEB-2006"</f>
        <v>16-FEB-2006</v>
      </c>
      <c r="G316" s="48"/>
      <c r="H316" s="77" t="str">
        <f>+"02-OCT-2014"</f>
        <v>02-OCT-2014</v>
      </c>
      <c r="I316" s="31">
        <v>41989</v>
      </c>
      <c r="J316" s="47">
        <f t="shared" si="4"/>
        <v>92</v>
      </c>
      <c r="K316" s="31">
        <v>39401</v>
      </c>
      <c r="L316" s="82" t="s">
        <v>10</v>
      </c>
      <c r="M316" s="86" t="s">
        <v>637</v>
      </c>
      <c r="N316" s="82" t="s">
        <v>11</v>
      </c>
      <c r="O316" s="82" t="s">
        <v>14</v>
      </c>
      <c r="P316" s="1" t="s">
        <v>41</v>
      </c>
      <c r="Q316" s="83" t="s">
        <v>22</v>
      </c>
    </row>
    <row r="317" spans="1:17" ht="126" customHeight="1" x14ac:dyDescent="0.25">
      <c r="A317" s="82" t="s">
        <v>632</v>
      </c>
      <c r="B317" s="44" t="s">
        <v>476</v>
      </c>
      <c r="C317" s="44">
        <v>36529</v>
      </c>
      <c r="D317" s="44" t="s">
        <v>476</v>
      </c>
      <c r="E317" s="44">
        <v>38943</v>
      </c>
      <c r="F317" s="77" t="str">
        <f>+"18-NOV-1999"</f>
        <v>18-NOV-1999</v>
      </c>
      <c r="G317" s="86"/>
      <c r="H317" s="77" t="str">
        <f>+"08-MAR-2012"</f>
        <v>08-MAR-2012</v>
      </c>
      <c r="I317" s="31">
        <v>41989</v>
      </c>
      <c r="J317" s="47">
        <f t="shared" si="4"/>
        <v>92</v>
      </c>
      <c r="K317" s="31">
        <v>38877</v>
      </c>
      <c r="L317" s="82" t="s">
        <v>10</v>
      </c>
      <c r="M317" s="86" t="s">
        <v>638</v>
      </c>
      <c r="N317" s="82" t="s">
        <v>11</v>
      </c>
      <c r="O317" s="82" t="s">
        <v>14</v>
      </c>
      <c r="P317" s="86" t="s">
        <v>21</v>
      </c>
      <c r="Q317" s="83" t="s">
        <v>22</v>
      </c>
    </row>
    <row r="318" spans="1:17" ht="126" customHeight="1" x14ac:dyDescent="0.25">
      <c r="A318" s="82" t="s">
        <v>725</v>
      </c>
      <c r="B318" s="15">
        <v>40574</v>
      </c>
      <c r="C318" s="16">
        <v>40603</v>
      </c>
      <c r="D318" s="15">
        <v>40850</v>
      </c>
      <c r="E318" s="16">
        <v>40869</v>
      </c>
      <c r="F318" s="77">
        <v>40505</v>
      </c>
      <c r="G318" s="47"/>
      <c r="H318" s="74" t="str">
        <f>+"12-JUN-2014"</f>
        <v>12-JUN-2014</v>
      </c>
      <c r="I318" s="46">
        <v>42016</v>
      </c>
      <c r="J318" s="47">
        <f t="shared" si="4"/>
        <v>65</v>
      </c>
      <c r="K318" s="46">
        <v>41053</v>
      </c>
      <c r="L318" s="87" t="s">
        <v>10</v>
      </c>
      <c r="M318" s="86" t="s">
        <v>742</v>
      </c>
      <c r="N318" s="87" t="s">
        <v>11</v>
      </c>
      <c r="O318" s="87" t="s">
        <v>14</v>
      </c>
      <c r="P318" s="83" t="s">
        <v>41</v>
      </c>
      <c r="Q318" s="83" t="s">
        <v>741</v>
      </c>
    </row>
    <row r="319" spans="1:17" ht="126" customHeight="1" x14ac:dyDescent="0.25">
      <c r="A319" s="82" t="s">
        <v>729</v>
      </c>
      <c r="B319" s="15">
        <v>41310</v>
      </c>
      <c r="C319" s="16">
        <v>41319</v>
      </c>
      <c r="D319" s="15">
        <v>41463</v>
      </c>
      <c r="E319" s="16">
        <v>41509</v>
      </c>
      <c r="F319" s="77">
        <v>41246</v>
      </c>
      <c r="G319" s="47"/>
      <c r="H319" s="74">
        <v>41991</v>
      </c>
      <c r="I319" s="46">
        <v>42024</v>
      </c>
      <c r="J319" s="47">
        <f t="shared" si="4"/>
        <v>57</v>
      </c>
      <c r="K319" s="46">
        <v>41509</v>
      </c>
      <c r="L319" s="87" t="s">
        <v>10</v>
      </c>
      <c r="M319" s="86" t="s">
        <v>746</v>
      </c>
      <c r="N319" s="87" t="s">
        <v>11</v>
      </c>
      <c r="O319" s="87" t="s">
        <v>14</v>
      </c>
      <c r="P319" s="83" t="s">
        <v>41</v>
      </c>
      <c r="Q319" s="83" t="s">
        <v>62</v>
      </c>
    </row>
    <row r="320" spans="1:17" ht="126" customHeight="1" x14ac:dyDescent="0.25">
      <c r="A320" s="82" t="s">
        <v>726</v>
      </c>
      <c r="B320" s="15">
        <v>41045</v>
      </c>
      <c r="C320" s="16">
        <v>40688</v>
      </c>
      <c r="D320" s="15">
        <v>41222</v>
      </c>
      <c r="E320" s="15">
        <v>41299</v>
      </c>
      <c r="F320" s="77">
        <v>40626</v>
      </c>
      <c r="G320" s="47"/>
      <c r="H320" s="74">
        <v>41991</v>
      </c>
      <c r="I320" s="46">
        <v>42025</v>
      </c>
      <c r="J320" s="47">
        <f t="shared" si="4"/>
        <v>56</v>
      </c>
      <c r="K320" s="46">
        <v>41299</v>
      </c>
      <c r="L320" s="46" t="s">
        <v>10</v>
      </c>
      <c r="M320" s="86" t="s">
        <v>743</v>
      </c>
      <c r="N320" s="87" t="s">
        <v>11</v>
      </c>
      <c r="O320" s="87" t="s">
        <v>42</v>
      </c>
      <c r="P320" s="83" t="s">
        <v>737</v>
      </c>
      <c r="Q320" s="83" t="s">
        <v>738</v>
      </c>
    </row>
    <row r="321" spans="1:17" ht="114.75" customHeight="1" x14ac:dyDescent="0.25">
      <c r="A321" s="82" t="s">
        <v>727</v>
      </c>
      <c r="B321" s="15">
        <v>41035</v>
      </c>
      <c r="C321" s="16">
        <v>40688</v>
      </c>
      <c r="D321" s="15">
        <v>41218</v>
      </c>
      <c r="E321" s="16">
        <v>41299</v>
      </c>
      <c r="F321" s="77">
        <v>40626</v>
      </c>
      <c r="G321" s="47"/>
      <c r="H321" s="74">
        <v>41991</v>
      </c>
      <c r="I321" s="46">
        <v>42025</v>
      </c>
      <c r="J321" s="47">
        <f t="shared" si="4"/>
        <v>56</v>
      </c>
      <c r="K321" s="46">
        <v>41299</v>
      </c>
      <c r="L321" s="87" t="s">
        <v>10</v>
      </c>
      <c r="M321" s="86" t="s">
        <v>744</v>
      </c>
      <c r="N321" s="87" t="s">
        <v>11</v>
      </c>
      <c r="O321" s="87" t="s">
        <v>14</v>
      </c>
      <c r="P321" s="83" t="s">
        <v>41</v>
      </c>
      <c r="Q321" s="83" t="s">
        <v>739</v>
      </c>
    </row>
    <row r="322" spans="1:17" ht="145.35" customHeight="1" x14ac:dyDescent="0.25">
      <c r="A322" s="62" t="s">
        <v>728</v>
      </c>
      <c r="B322" s="15">
        <v>41045</v>
      </c>
      <c r="C322" s="16">
        <v>40688</v>
      </c>
      <c r="D322" s="15">
        <v>41218</v>
      </c>
      <c r="E322" s="16">
        <v>41299</v>
      </c>
      <c r="F322" s="77">
        <v>40750</v>
      </c>
      <c r="G322" s="47"/>
      <c r="H322" s="74">
        <v>41991</v>
      </c>
      <c r="I322" s="46">
        <v>42025</v>
      </c>
      <c r="J322" s="47">
        <f t="shared" ref="J322:J324" si="5">DATE(2015, 3, 18)- I322</f>
        <v>56</v>
      </c>
      <c r="K322" s="46">
        <v>41299</v>
      </c>
      <c r="L322" s="87" t="s">
        <v>10</v>
      </c>
      <c r="M322" s="86" t="s">
        <v>745</v>
      </c>
      <c r="N322" s="87" t="s">
        <v>11</v>
      </c>
      <c r="O322" s="87" t="s">
        <v>14</v>
      </c>
      <c r="P322" s="84" t="s">
        <v>41</v>
      </c>
      <c r="Q322" s="84" t="s">
        <v>740</v>
      </c>
    </row>
    <row r="323" spans="1:17" ht="99.95" customHeight="1" x14ac:dyDescent="0.25">
      <c r="A323" s="82" t="s">
        <v>730</v>
      </c>
      <c r="B323" s="15">
        <v>41360</v>
      </c>
      <c r="C323" s="16">
        <v>41442</v>
      </c>
      <c r="D323" s="15">
        <v>41568</v>
      </c>
      <c r="E323" s="16">
        <v>41663</v>
      </c>
      <c r="F323" s="77">
        <v>41264</v>
      </c>
      <c r="G323" s="47"/>
      <c r="H323" s="74">
        <v>41991</v>
      </c>
      <c r="I323" s="46">
        <v>42025</v>
      </c>
      <c r="J323" s="47">
        <f t="shared" si="5"/>
        <v>56</v>
      </c>
      <c r="K323" s="46">
        <v>41758</v>
      </c>
      <c r="L323" s="87" t="s">
        <v>10</v>
      </c>
      <c r="M323" s="86" t="s">
        <v>747</v>
      </c>
      <c r="N323" s="87" t="s">
        <v>11</v>
      </c>
      <c r="O323" s="87" t="s">
        <v>14</v>
      </c>
      <c r="P323" s="83" t="s">
        <v>21</v>
      </c>
      <c r="Q323" s="83" t="s">
        <v>741</v>
      </c>
    </row>
    <row r="324" spans="1:17" ht="126" customHeight="1" x14ac:dyDescent="0.25">
      <c r="A324" s="82" t="s">
        <v>731</v>
      </c>
      <c r="B324" s="15">
        <v>41360</v>
      </c>
      <c r="C324" s="16">
        <v>41442</v>
      </c>
      <c r="D324" s="15">
        <v>41568</v>
      </c>
      <c r="E324" s="16">
        <v>41663</v>
      </c>
      <c r="F324" s="77">
        <v>41264</v>
      </c>
      <c r="G324" s="47"/>
      <c r="H324" s="74">
        <v>41991</v>
      </c>
      <c r="I324" s="46">
        <v>42025</v>
      </c>
      <c r="J324" s="47">
        <f t="shared" si="5"/>
        <v>56</v>
      </c>
      <c r="K324" s="46">
        <v>41758</v>
      </c>
      <c r="L324" s="87" t="s">
        <v>10</v>
      </c>
      <c r="M324" s="86" t="s">
        <v>748</v>
      </c>
      <c r="N324" s="87" t="s">
        <v>11</v>
      </c>
      <c r="O324" s="87" t="s">
        <v>14</v>
      </c>
      <c r="P324" s="83" t="s">
        <v>21</v>
      </c>
      <c r="Q324" s="83" t="s">
        <v>741</v>
      </c>
    </row>
    <row r="325" spans="1:17" ht="126" customHeight="1" x14ac:dyDescent="0.25">
      <c r="G325" s="6"/>
    </row>
    <row r="326" spans="1:17" ht="126" customHeight="1" x14ac:dyDescent="0.25">
      <c r="G326" s="6"/>
    </row>
    <row r="327" spans="1:17" ht="126" customHeight="1" x14ac:dyDescent="0.25">
      <c r="G327" s="6"/>
    </row>
    <row r="328" spans="1:17" ht="126" customHeight="1" x14ac:dyDescent="0.25">
      <c r="G328" s="6"/>
    </row>
    <row r="329" spans="1:17" ht="126" customHeight="1" x14ac:dyDescent="0.25">
      <c r="G329" s="6"/>
    </row>
    <row r="330" spans="1:17" ht="126" customHeight="1" x14ac:dyDescent="0.25">
      <c r="G330" s="6"/>
    </row>
    <row r="331" spans="1:17" ht="126" customHeight="1" x14ac:dyDescent="0.25">
      <c r="G331" s="6"/>
    </row>
    <row r="332" spans="1:17" ht="126" customHeight="1" x14ac:dyDescent="0.25">
      <c r="G332" s="6"/>
    </row>
    <row r="333" spans="1:17" ht="126" customHeight="1" x14ac:dyDescent="0.25">
      <c r="G333" s="6"/>
    </row>
    <row r="334" spans="1:17" ht="126" customHeight="1" x14ac:dyDescent="0.25">
      <c r="G334" s="6"/>
    </row>
    <row r="335" spans="1:17" ht="126" customHeight="1" x14ac:dyDescent="0.25">
      <c r="G335" s="6"/>
    </row>
    <row r="336" spans="1:17" ht="126" customHeight="1" x14ac:dyDescent="0.25">
      <c r="G336" s="6"/>
    </row>
    <row r="337" spans="7:7" ht="126" customHeight="1" x14ac:dyDescent="0.25">
      <c r="G337" s="6"/>
    </row>
    <row r="338" spans="7:7" ht="126" customHeight="1" x14ac:dyDescent="0.25">
      <c r="G338" s="6"/>
    </row>
    <row r="339" spans="7:7" ht="126" customHeight="1" x14ac:dyDescent="0.25">
      <c r="G339" s="6"/>
    </row>
    <row r="340" spans="7:7" ht="126" customHeight="1" x14ac:dyDescent="0.25">
      <c r="G340" s="6"/>
    </row>
    <row r="341" spans="7:7" ht="126" customHeight="1" x14ac:dyDescent="0.25">
      <c r="G341" s="6"/>
    </row>
    <row r="342" spans="7:7" ht="126" customHeight="1" x14ac:dyDescent="0.25">
      <c r="G342" s="6"/>
    </row>
    <row r="343" spans="7:7" ht="126" customHeight="1" x14ac:dyDescent="0.25">
      <c r="G343" s="6"/>
    </row>
    <row r="344" spans="7:7" ht="126" customHeight="1" x14ac:dyDescent="0.25">
      <c r="G344" s="6"/>
    </row>
    <row r="345" spans="7:7" ht="126" customHeight="1" x14ac:dyDescent="0.25">
      <c r="G345" s="6"/>
    </row>
    <row r="346" spans="7:7" ht="126" customHeight="1" x14ac:dyDescent="0.25">
      <c r="G346" s="6"/>
    </row>
    <row r="347" spans="7:7" ht="126" customHeight="1" x14ac:dyDescent="0.25">
      <c r="G347" s="6"/>
    </row>
    <row r="348" spans="7:7" ht="126" customHeight="1" x14ac:dyDescent="0.25">
      <c r="G348" s="6"/>
    </row>
    <row r="349" spans="7:7" ht="126" customHeight="1" x14ac:dyDescent="0.25">
      <c r="G349" s="6"/>
    </row>
    <row r="350" spans="7:7" ht="126" customHeight="1" x14ac:dyDescent="0.25">
      <c r="G350" s="6"/>
    </row>
    <row r="351" spans="7:7" ht="126" customHeight="1" x14ac:dyDescent="0.25">
      <c r="G351" s="6"/>
    </row>
    <row r="352" spans="7:7" ht="126" customHeight="1" x14ac:dyDescent="0.25">
      <c r="G352" s="6"/>
    </row>
    <row r="353" spans="7:7" ht="126" customHeight="1" x14ac:dyDescent="0.25">
      <c r="G353" s="6"/>
    </row>
    <row r="354" spans="7:7" ht="126" customHeight="1" x14ac:dyDescent="0.25">
      <c r="G354" s="6"/>
    </row>
    <row r="355" spans="7:7" ht="126" customHeight="1" x14ac:dyDescent="0.25">
      <c r="G355" s="6"/>
    </row>
    <row r="356" spans="7:7" ht="126" customHeight="1" x14ac:dyDescent="0.25">
      <c r="G356" s="6"/>
    </row>
    <row r="357" spans="7:7" ht="126" customHeight="1" x14ac:dyDescent="0.25">
      <c r="G357" s="6"/>
    </row>
    <row r="358" spans="7:7" ht="126" customHeight="1" x14ac:dyDescent="0.25">
      <c r="G358" s="6"/>
    </row>
    <row r="359" spans="7:7" ht="126" customHeight="1" x14ac:dyDescent="0.25">
      <c r="G359" s="6"/>
    </row>
    <row r="360" spans="7:7" ht="126" customHeight="1" x14ac:dyDescent="0.25">
      <c r="G360" s="6"/>
    </row>
    <row r="361" spans="7:7" ht="126" customHeight="1" x14ac:dyDescent="0.25">
      <c r="G361" s="6"/>
    </row>
    <row r="362" spans="7:7" ht="126" customHeight="1" x14ac:dyDescent="0.25">
      <c r="G362" s="6"/>
    </row>
    <row r="363" spans="7:7" ht="126" customHeight="1" x14ac:dyDescent="0.25">
      <c r="G363" s="6"/>
    </row>
    <row r="364" spans="7:7" ht="126" customHeight="1" x14ac:dyDescent="0.25">
      <c r="G364" s="6"/>
    </row>
    <row r="365" spans="7:7" ht="126" customHeight="1" x14ac:dyDescent="0.25">
      <c r="G365" s="6"/>
    </row>
    <row r="366" spans="7:7" ht="126" customHeight="1" x14ac:dyDescent="0.25">
      <c r="G366" s="6"/>
    </row>
    <row r="367" spans="7:7" ht="126" customHeight="1" x14ac:dyDescent="0.25">
      <c r="G367" s="6"/>
    </row>
    <row r="368" spans="7:7" ht="126" customHeight="1" x14ac:dyDescent="0.25">
      <c r="G368" s="6"/>
    </row>
    <row r="369" spans="7:7" ht="126" customHeight="1" x14ac:dyDescent="0.25">
      <c r="G369" s="6"/>
    </row>
    <row r="370" spans="7:7" ht="126" customHeight="1" x14ac:dyDescent="0.25">
      <c r="G370" s="6"/>
    </row>
    <row r="371" spans="7:7" ht="126" customHeight="1" x14ac:dyDescent="0.25">
      <c r="G371" s="6"/>
    </row>
    <row r="372" spans="7:7" ht="126" customHeight="1" x14ac:dyDescent="0.25">
      <c r="G372" s="6"/>
    </row>
    <row r="373" spans="7:7" ht="126" customHeight="1" x14ac:dyDescent="0.25">
      <c r="G373" s="6"/>
    </row>
    <row r="374" spans="7:7" ht="126" customHeight="1" x14ac:dyDescent="0.25">
      <c r="G374" s="6"/>
    </row>
    <row r="375" spans="7:7" ht="126" customHeight="1" x14ac:dyDescent="0.25">
      <c r="G375" s="6"/>
    </row>
    <row r="376" spans="7:7" ht="126" customHeight="1" x14ac:dyDescent="0.25">
      <c r="G376" s="6"/>
    </row>
    <row r="377" spans="7:7" ht="126" customHeight="1" x14ac:dyDescent="0.25">
      <c r="G377" s="6"/>
    </row>
    <row r="378" spans="7:7" ht="126" customHeight="1" x14ac:dyDescent="0.25">
      <c r="G378" s="6"/>
    </row>
    <row r="379" spans="7:7" ht="126" customHeight="1" x14ac:dyDescent="0.25">
      <c r="G379" s="6"/>
    </row>
    <row r="380" spans="7:7" ht="126" customHeight="1" x14ac:dyDescent="0.25">
      <c r="G380" s="6"/>
    </row>
    <row r="381" spans="7:7" ht="126" customHeight="1" x14ac:dyDescent="0.25">
      <c r="G381" s="6"/>
    </row>
    <row r="382" spans="7:7" ht="126" customHeight="1" x14ac:dyDescent="0.25">
      <c r="G382" s="6"/>
    </row>
    <row r="383" spans="7:7" ht="126" customHeight="1" x14ac:dyDescent="0.25">
      <c r="G383" s="6"/>
    </row>
    <row r="384" spans="7:7" ht="126" customHeight="1" x14ac:dyDescent="0.25">
      <c r="G384" s="6"/>
    </row>
    <row r="385" spans="7:7" ht="126" customHeight="1" x14ac:dyDescent="0.25">
      <c r="G385" s="6"/>
    </row>
    <row r="386" spans="7:7" ht="126" customHeight="1" x14ac:dyDescent="0.25">
      <c r="G386" s="6"/>
    </row>
    <row r="387" spans="7:7" ht="126" customHeight="1" x14ac:dyDescent="0.25">
      <c r="G387" s="6"/>
    </row>
    <row r="388" spans="7:7" ht="126" customHeight="1" x14ac:dyDescent="0.25">
      <c r="G388" s="6"/>
    </row>
    <row r="389" spans="7:7" ht="126" customHeight="1" x14ac:dyDescent="0.25">
      <c r="G389" s="6"/>
    </row>
    <row r="390" spans="7:7" ht="126" customHeight="1" x14ac:dyDescent="0.25">
      <c r="G390" s="6"/>
    </row>
    <row r="391" spans="7:7" ht="126" customHeight="1" x14ac:dyDescent="0.25">
      <c r="G391" s="6"/>
    </row>
    <row r="392" spans="7:7" ht="126" customHeight="1" x14ac:dyDescent="0.25">
      <c r="G392" s="6"/>
    </row>
    <row r="393" spans="7:7" ht="126" customHeight="1" x14ac:dyDescent="0.25">
      <c r="G393" s="6"/>
    </row>
    <row r="394" spans="7:7" ht="126" customHeight="1" x14ac:dyDescent="0.25">
      <c r="G394" s="6"/>
    </row>
    <row r="395" spans="7:7" ht="126" customHeight="1" x14ac:dyDescent="0.25">
      <c r="G395" s="6"/>
    </row>
    <row r="396" spans="7:7" ht="126" customHeight="1" x14ac:dyDescent="0.25">
      <c r="G396" s="6"/>
    </row>
    <row r="397" spans="7:7" ht="126" customHeight="1" x14ac:dyDescent="0.25">
      <c r="G397" s="6"/>
    </row>
    <row r="398" spans="7:7" ht="126" customHeight="1" x14ac:dyDescent="0.25">
      <c r="G398" s="6"/>
    </row>
    <row r="399" spans="7:7" ht="126" customHeight="1" x14ac:dyDescent="0.25">
      <c r="G399" s="6"/>
    </row>
    <row r="400" spans="7:7" ht="126" customHeight="1" x14ac:dyDescent="0.25">
      <c r="G400" s="6"/>
    </row>
    <row r="401" spans="7:7" ht="126" customHeight="1" x14ac:dyDescent="0.25">
      <c r="G401" s="6"/>
    </row>
    <row r="402" spans="7:7" ht="126" customHeight="1" x14ac:dyDescent="0.25">
      <c r="G402" s="6"/>
    </row>
    <row r="403" spans="7:7" ht="126" customHeight="1" x14ac:dyDescent="0.25">
      <c r="G403" s="6"/>
    </row>
    <row r="404" spans="7:7" ht="126" customHeight="1" x14ac:dyDescent="0.25">
      <c r="G404" s="6"/>
    </row>
    <row r="405" spans="7:7" ht="126" customHeight="1" x14ac:dyDescent="0.25">
      <c r="G405" s="6"/>
    </row>
    <row r="406" spans="7:7" ht="126" customHeight="1" x14ac:dyDescent="0.25">
      <c r="G406" s="6"/>
    </row>
    <row r="407" spans="7:7" ht="126" customHeight="1" x14ac:dyDescent="0.25">
      <c r="G407" s="6"/>
    </row>
    <row r="408" spans="7:7" ht="126" customHeight="1" x14ac:dyDescent="0.25">
      <c r="G408" s="6"/>
    </row>
    <row r="409" spans="7:7" ht="126" customHeight="1" x14ac:dyDescent="0.25">
      <c r="G409" s="6"/>
    </row>
    <row r="410" spans="7:7" ht="126" customHeight="1" x14ac:dyDescent="0.25">
      <c r="G410" s="6"/>
    </row>
    <row r="411" spans="7:7" ht="126" customHeight="1" x14ac:dyDescent="0.25">
      <c r="G411" s="6"/>
    </row>
    <row r="412" spans="7:7" ht="126" customHeight="1" x14ac:dyDescent="0.25">
      <c r="G412" s="6"/>
    </row>
    <row r="413" spans="7:7" ht="126" customHeight="1" x14ac:dyDescent="0.25">
      <c r="G413" s="6"/>
    </row>
    <row r="414" spans="7:7" ht="126" customHeight="1" x14ac:dyDescent="0.25">
      <c r="G414" s="6"/>
    </row>
    <row r="415" spans="7:7" ht="126" customHeight="1" x14ac:dyDescent="0.25">
      <c r="G415" s="6"/>
    </row>
    <row r="416" spans="7:7" ht="126" customHeight="1" x14ac:dyDescent="0.25">
      <c r="G416" s="6"/>
    </row>
    <row r="417" spans="7:7" ht="126" customHeight="1" x14ac:dyDescent="0.25">
      <c r="G417" s="6"/>
    </row>
    <row r="418" spans="7:7" ht="126" customHeight="1" x14ac:dyDescent="0.25">
      <c r="G418" s="6"/>
    </row>
    <row r="419" spans="7:7" ht="126" customHeight="1" x14ac:dyDescent="0.25">
      <c r="G419" s="6"/>
    </row>
    <row r="420" spans="7:7" ht="126" customHeight="1" x14ac:dyDescent="0.25">
      <c r="G420" s="6"/>
    </row>
    <row r="421" spans="7:7" ht="126" customHeight="1" x14ac:dyDescent="0.25">
      <c r="G421" s="6"/>
    </row>
    <row r="422" spans="7:7" ht="126" customHeight="1" x14ac:dyDescent="0.25">
      <c r="G422" s="6"/>
    </row>
    <row r="423" spans="7:7" ht="126" customHeight="1" x14ac:dyDescent="0.25">
      <c r="G423" s="6"/>
    </row>
    <row r="424" spans="7:7" ht="126" customHeight="1" x14ac:dyDescent="0.25">
      <c r="G424" s="6"/>
    </row>
    <row r="425" spans="7:7" ht="126" customHeight="1" x14ac:dyDescent="0.25">
      <c r="G425" s="6"/>
    </row>
    <row r="426" spans="7:7" ht="126" customHeight="1" x14ac:dyDescent="0.25">
      <c r="G426" s="6"/>
    </row>
    <row r="427" spans="7:7" ht="126" customHeight="1" x14ac:dyDescent="0.25">
      <c r="G427" s="6"/>
    </row>
    <row r="428" spans="7:7" ht="126" customHeight="1" x14ac:dyDescent="0.25">
      <c r="G428" s="6"/>
    </row>
    <row r="429" spans="7:7" ht="126" customHeight="1" x14ac:dyDescent="0.25">
      <c r="G429" s="6"/>
    </row>
    <row r="430" spans="7:7" ht="126" customHeight="1" x14ac:dyDescent="0.25">
      <c r="G430" s="6"/>
    </row>
    <row r="431" spans="7:7" ht="126" customHeight="1" x14ac:dyDescent="0.25">
      <c r="G431" s="6"/>
    </row>
    <row r="432" spans="7:7" ht="126" customHeight="1" x14ac:dyDescent="0.25">
      <c r="G432" s="6"/>
    </row>
    <row r="433" spans="7:7" ht="126" customHeight="1" x14ac:dyDescent="0.25">
      <c r="G433" s="6"/>
    </row>
    <row r="434" spans="7:7" ht="126" customHeight="1" x14ac:dyDescent="0.25">
      <c r="G434" s="6"/>
    </row>
    <row r="435" spans="7:7" ht="126" customHeight="1" x14ac:dyDescent="0.25">
      <c r="G435" s="6"/>
    </row>
    <row r="436" spans="7:7" ht="126" customHeight="1" x14ac:dyDescent="0.25">
      <c r="G436" s="6"/>
    </row>
    <row r="437" spans="7:7" ht="126" customHeight="1" x14ac:dyDescent="0.25">
      <c r="G437" s="6"/>
    </row>
    <row r="438" spans="7:7" ht="126" customHeight="1" x14ac:dyDescent="0.25">
      <c r="G438" s="6"/>
    </row>
    <row r="439" spans="7:7" ht="126" customHeight="1" x14ac:dyDescent="0.25">
      <c r="G439" s="6"/>
    </row>
    <row r="440" spans="7:7" ht="126" customHeight="1" x14ac:dyDescent="0.25">
      <c r="G440" s="6"/>
    </row>
    <row r="441" spans="7:7" ht="126" customHeight="1" x14ac:dyDescent="0.25">
      <c r="G441" s="6"/>
    </row>
    <row r="442" spans="7:7" ht="126" customHeight="1" x14ac:dyDescent="0.25">
      <c r="G442" s="6"/>
    </row>
    <row r="443" spans="7:7" ht="126" customHeight="1" x14ac:dyDescent="0.25">
      <c r="G443" s="6"/>
    </row>
    <row r="444" spans="7:7" ht="126" customHeight="1" x14ac:dyDescent="0.25">
      <c r="G444" s="6"/>
    </row>
    <row r="445" spans="7:7" ht="126" customHeight="1" x14ac:dyDescent="0.25">
      <c r="G445" s="6"/>
    </row>
    <row r="446" spans="7:7" ht="126" customHeight="1" x14ac:dyDescent="0.25">
      <c r="G446" s="6"/>
    </row>
    <row r="447" spans="7:7" ht="126" customHeight="1" x14ac:dyDescent="0.25">
      <c r="G447" s="6"/>
    </row>
    <row r="448" spans="7:7" ht="126" customHeight="1" x14ac:dyDescent="0.25">
      <c r="G448" s="6"/>
    </row>
    <row r="449" spans="7:7" ht="126" customHeight="1" x14ac:dyDescent="0.25">
      <c r="G449" s="6"/>
    </row>
    <row r="450" spans="7:7" ht="126" customHeight="1" x14ac:dyDescent="0.25">
      <c r="G450" s="6"/>
    </row>
    <row r="451" spans="7:7" ht="126" customHeight="1" x14ac:dyDescent="0.25">
      <c r="G451" s="6"/>
    </row>
    <row r="452" spans="7:7" ht="126" customHeight="1" x14ac:dyDescent="0.25">
      <c r="G452" s="6"/>
    </row>
    <row r="453" spans="7:7" ht="126" customHeight="1" x14ac:dyDescent="0.25">
      <c r="G453" s="6"/>
    </row>
    <row r="454" spans="7:7" ht="126" customHeight="1" x14ac:dyDescent="0.25">
      <c r="G454" s="6"/>
    </row>
    <row r="455" spans="7:7" ht="126" customHeight="1" x14ac:dyDescent="0.25">
      <c r="G455" s="6"/>
    </row>
    <row r="456" spans="7:7" ht="126" customHeight="1" x14ac:dyDescent="0.25">
      <c r="G456" s="6"/>
    </row>
    <row r="457" spans="7:7" ht="126" customHeight="1" x14ac:dyDescent="0.25">
      <c r="G457" s="6"/>
    </row>
    <row r="458" spans="7:7" ht="126" customHeight="1" x14ac:dyDescent="0.25">
      <c r="G458" s="6"/>
    </row>
    <row r="459" spans="7:7" ht="126" customHeight="1" x14ac:dyDescent="0.25">
      <c r="G459" s="6"/>
    </row>
    <row r="460" spans="7:7" ht="126" customHeight="1" x14ac:dyDescent="0.25">
      <c r="G460" s="6"/>
    </row>
    <row r="461" spans="7:7" ht="126" customHeight="1" x14ac:dyDescent="0.25">
      <c r="G461" s="6"/>
    </row>
    <row r="462" spans="7:7" ht="126" customHeight="1" x14ac:dyDescent="0.25">
      <c r="G462" s="6"/>
    </row>
    <row r="463" spans="7:7" ht="126" customHeight="1" x14ac:dyDescent="0.25">
      <c r="G463" s="6"/>
    </row>
    <row r="464" spans="7:7" ht="126" customHeight="1" x14ac:dyDescent="0.25">
      <c r="G464" s="6"/>
    </row>
    <row r="465" spans="7:7" ht="126" customHeight="1" x14ac:dyDescent="0.25">
      <c r="G465" s="6"/>
    </row>
    <row r="466" spans="7:7" ht="126" customHeight="1" x14ac:dyDescent="0.25">
      <c r="G466" s="6"/>
    </row>
    <row r="467" spans="7:7" ht="126" customHeight="1" x14ac:dyDescent="0.25">
      <c r="G467" s="6"/>
    </row>
    <row r="468" spans="7:7" ht="126" customHeight="1" x14ac:dyDescent="0.25">
      <c r="G468" s="6"/>
    </row>
    <row r="469" spans="7:7" ht="126" customHeight="1" x14ac:dyDescent="0.25">
      <c r="G469" s="6"/>
    </row>
    <row r="470" spans="7:7" ht="126" customHeight="1" x14ac:dyDescent="0.25">
      <c r="G470" s="6"/>
    </row>
    <row r="471" spans="7:7" ht="126" customHeight="1" x14ac:dyDescent="0.25">
      <c r="G471" s="6"/>
    </row>
    <row r="472" spans="7:7" ht="126" customHeight="1" x14ac:dyDescent="0.25">
      <c r="G472" s="6"/>
    </row>
    <row r="473" spans="7:7" ht="126" customHeight="1" x14ac:dyDescent="0.25">
      <c r="G473" s="6"/>
    </row>
    <row r="474" spans="7:7" ht="126" customHeight="1" x14ac:dyDescent="0.25">
      <c r="G474" s="6"/>
    </row>
    <row r="475" spans="7:7" ht="126" customHeight="1" x14ac:dyDescent="0.25">
      <c r="G475" s="6"/>
    </row>
    <row r="476" spans="7:7" ht="126" customHeight="1" x14ac:dyDescent="0.25">
      <c r="G476" s="6"/>
    </row>
    <row r="477" spans="7:7" ht="126" customHeight="1" x14ac:dyDescent="0.25">
      <c r="G477" s="6"/>
    </row>
    <row r="478" spans="7:7" ht="126" customHeight="1" x14ac:dyDescent="0.25">
      <c r="G478" s="6"/>
    </row>
    <row r="479" spans="7:7" ht="126" customHeight="1" x14ac:dyDescent="0.25">
      <c r="G479" s="6"/>
    </row>
    <row r="480" spans="7:7" ht="126" customHeight="1" x14ac:dyDescent="0.25">
      <c r="G480" s="6"/>
    </row>
    <row r="481" spans="7:7" ht="126" customHeight="1" x14ac:dyDescent="0.25">
      <c r="G481" s="6"/>
    </row>
    <row r="482" spans="7:7" ht="126" customHeight="1" x14ac:dyDescent="0.25">
      <c r="G482" s="6"/>
    </row>
    <row r="483" spans="7:7" ht="126" customHeight="1" x14ac:dyDescent="0.25">
      <c r="G483" s="6"/>
    </row>
    <row r="484" spans="7:7" ht="126" customHeight="1" x14ac:dyDescent="0.25">
      <c r="G484" s="6"/>
    </row>
    <row r="485" spans="7:7" ht="126" customHeight="1" x14ac:dyDescent="0.25">
      <c r="G485" s="6"/>
    </row>
    <row r="486" spans="7:7" ht="126" customHeight="1" x14ac:dyDescent="0.25">
      <c r="G486" s="6"/>
    </row>
    <row r="487" spans="7:7" ht="126" customHeight="1" x14ac:dyDescent="0.25">
      <c r="G487" s="6"/>
    </row>
    <row r="488" spans="7:7" ht="126" customHeight="1" x14ac:dyDescent="0.25">
      <c r="G488" s="6"/>
    </row>
    <row r="489" spans="7:7" ht="126" customHeight="1" x14ac:dyDescent="0.25">
      <c r="G489" s="6"/>
    </row>
    <row r="490" spans="7:7" ht="126" customHeight="1" x14ac:dyDescent="0.25">
      <c r="G490" s="6"/>
    </row>
    <row r="491" spans="7:7" ht="126" customHeight="1" x14ac:dyDescent="0.25">
      <c r="G491" s="6"/>
    </row>
    <row r="492" spans="7:7" ht="126" customHeight="1" x14ac:dyDescent="0.25">
      <c r="G492" s="6"/>
    </row>
    <row r="493" spans="7:7" ht="126" customHeight="1" x14ac:dyDescent="0.25">
      <c r="G493" s="6"/>
    </row>
    <row r="494" spans="7:7" ht="126" customHeight="1" x14ac:dyDescent="0.25">
      <c r="G494" s="6"/>
    </row>
    <row r="495" spans="7:7" ht="126" customHeight="1" x14ac:dyDescent="0.25">
      <c r="G495" s="6"/>
    </row>
    <row r="496" spans="7:7" ht="126" customHeight="1" x14ac:dyDescent="0.25">
      <c r="G496" s="6"/>
    </row>
    <row r="497" spans="7:7" ht="126" customHeight="1" x14ac:dyDescent="0.25">
      <c r="G497" s="6"/>
    </row>
    <row r="498" spans="7:7" ht="126" customHeight="1" x14ac:dyDescent="0.25">
      <c r="G498" s="6"/>
    </row>
    <row r="499" spans="7:7" ht="126" customHeight="1" x14ac:dyDescent="0.25">
      <c r="G499" s="6"/>
    </row>
    <row r="500" spans="7:7" ht="126" customHeight="1" x14ac:dyDescent="0.25">
      <c r="G500" s="6"/>
    </row>
    <row r="501" spans="7:7" ht="126" customHeight="1" x14ac:dyDescent="0.25">
      <c r="G501" s="6"/>
    </row>
    <row r="502" spans="7:7" ht="126" customHeight="1" x14ac:dyDescent="0.25">
      <c r="G502" s="6"/>
    </row>
    <row r="503" spans="7:7" ht="126" customHeight="1" x14ac:dyDescent="0.25">
      <c r="G503" s="6"/>
    </row>
    <row r="504" spans="7:7" ht="126" customHeight="1" x14ac:dyDescent="0.25">
      <c r="G504" s="6"/>
    </row>
    <row r="505" spans="7:7" ht="126" customHeight="1" x14ac:dyDescent="0.25">
      <c r="G505" s="6"/>
    </row>
    <row r="506" spans="7:7" ht="126" customHeight="1" x14ac:dyDescent="0.25">
      <c r="G506" s="6"/>
    </row>
    <row r="507" spans="7:7" ht="126" customHeight="1" x14ac:dyDescent="0.25">
      <c r="G507" s="6"/>
    </row>
    <row r="508" spans="7:7" ht="126" customHeight="1" x14ac:dyDescent="0.25">
      <c r="G508" s="6"/>
    </row>
    <row r="509" spans="7:7" ht="126" customHeight="1" x14ac:dyDescent="0.25">
      <c r="G509" s="6"/>
    </row>
    <row r="510" spans="7:7" ht="126" customHeight="1" x14ac:dyDescent="0.25">
      <c r="G510" s="6"/>
    </row>
    <row r="511" spans="7:7" ht="126" customHeight="1" x14ac:dyDescent="0.25">
      <c r="G511" s="6"/>
    </row>
    <row r="512" spans="7:7" ht="126" customHeight="1" x14ac:dyDescent="0.25">
      <c r="G512" s="6"/>
    </row>
    <row r="513" spans="7:7" ht="126" customHeight="1" x14ac:dyDescent="0.25">
      <c r="G513" s="6"/>
    </row>
    <row r="514" spans="7:7" ht="126" customHeight="1" x14ac:dyDescent="0.25">
      <c r="G514" s="6"/>
    </row>
    <row r="515" spans="7:7" ht="126" customHeight="1" x14ac:dyDescent="0.25">
      <c r="G515" s="6"/>
    </row>
    <row r="516" spans="7:7" ht="126" customHeight="1" x14ac:dyDescent="0.25">
      <c r="G516" s="6"/>
    </row>
    <row r="517" spans="7:7" ht="126" customHeight="1" x14ac:dyDescent="0.25">
      <c r="G517" s="6"/>
    </row>
    <row r="518" spans="7:7" ht="126" customHeight="1" x14ac:dyDescent="0.25">
      <c r="G518" s="6"/>
    </row>
    <row r="519" spans="7:7" ht="126" customHeight="1" x14ac:dyDescent="0.25">
      <c r="G519" s="6"/>
    </row>
    <row r="520" spans="7:7" ht="126" customHeight="1" x14ac:dyDescent="0.25">
      <c r="G520" s="6"/>
    </row>
    <row r="521" spans="7:7" ht="126" customHeight="1" x14ac:dyDescent="0.25">
      <c r="G521" s="6"/>
    </row>
    <row r="522" spans="7:7" ht="126" customHeight="1" x14ac:dyDescent="0.25">
      <c r="G522" s="6"/>
    </row>
    <row r="523" spans="7:7" ht="126" customHeight="1" x14ac:dyDescent="0.25">
      <c r="G523" s="6"/>
    </row>
    <row r="524" spans="7:7" ht="126" customHeight="1" x14ac:dyDescent="0.25">
      <c r="G524" s="6"/>
    </row>
    <row r="525" spans="7:7" ht="126" customHeight="1" x14ac:dyDescent="0.25">
      <c r="G525" s="6"/>
    </row>
    <row r="526" spans="7:7" ht="126" customHeight="1" x14ac:dyDescent="0.25">
      <c r="G526" s="6"/>
    </row>
    <row r="527" spans="7:7" ht="126" customHeight="1" x14ac:dyDescent="0.25">
      <c r="G527" s="6"/>
    </row>
    <row r="528" spans="7:7" ht="126" customHeight="1" x14ac:dyDescent="0.25">
      <c r="G528" s="6"/>
    </row>
    <row r="529" spans="7:7" ht="126" customHeight="1" x14ac:dyDescent="0.25">
      <c r="G529" s="6"/>
    </row>
    <row r="530" spans="7:7" ht="126" customHeight="1" x14ac:dyDescent="0.25">
      <c r="G530" s="6"/>
    </row>
    <row r="531" spans="7:7" ht="126" customHeight="1" x14ac:dyDescent="0.25">
      <c r="G531" s="6"/>
    </row>
    <row r="532" spans="7:7" ht="126" customHeight="1" x14ac:dyDescent="0.25">
      <c r="G532" s="6"/>
    </row>
    <row r="533" spans="7:7" ht="126" customHeight="1" x14ac:dyDescent="0.25">
      <c r="G533" s="6"/>
    </row>
    <row r="534" spans="7:7" ht="126" customHeight="1" x14ac:dyDescent="0.25">
      <c r="G534" s="6"/>
    </row>
    <row r="535" spans="7:7" ht="126" customHeight="1" x14ac:dyDescent="0.25">
      <c r="G535" s="6"/>
    </row>
    <row r="536" spans="7:7" ht="126" customHeight="1" x14ac:dyDescent="0.25">
      <c r="G536" s="6"/>
    </row>
    <row r="537" spans="7:7" ht="126" customHeight="1" x14ac:dyDescent="0.25">
      <c r="G537" s="6"/>
    </row>
    <row r="538" spans="7:7" ht="126" customHeight="1" x14ac:dyDescent="0.25">
      <c r="G538" s="6"/>
    </row>
    <row r="539" spans="7:7" ht="126" customHeight="1" x14ac:dyDescent="0.25">
      <c r="G539" s="6"/>
    </row>
    <row r="540" spans="7:7" ht="126" customHeight="1" x14ac:dyDescent="0.25">
      <c r="G540" s="6"/>
    </row>
    <row r="541" spans="7:7" ht="126" customHeight="1" x14ac:dyDescent="0.25">
      <c r="G541" s="6"/>
    </row>
    <row r="542" spans="7:7" ht="126" customHeight="1" x14ac:dyDescent="0.25">
      <c r="G542" s="6"/>
    </row>
    <row r="543" spans="7:7" ht="126" customHeight="1" x14ac:dyDescent="0.25">
      <c r="G543" s="6"/>
    </row>
    <row r="544" spans="7:7" ht="126" customHeight="1" x14ac:dyDescent="0.25">
      <c r="G544" s="6"/>
    </row>
    <row r="545" spans="7:7" ht="126" customHeight="1" x14ac:dyDescent="0.25">
      <c r="G545" s="6"/>
    </row>
    <row r="546" spans="7:7" ht="126" customHeight="1" x14ac:dyDescent="0.25">
      <c r="G546" s="6"/>
    </row>
    <row r="547" spans="7:7" ht="126" customHeight="1" x14ac:dyDescent="0.25">
      <c r="G547" s="6"/>
    </row>
    <row r="548" spans="7:7" ht="126" customHeight="1" x14ac:dyDescent="0.25">
      <c r="G548" s="6"/>
    </row>
    <row r="549" spans="7:7" ht="126" customHeight="1" x14ac:dyDescent="0.25">
      <c r="G549" s="6"/>
    </row>
    <row r="550" spans="7:7" ht="126" customHeight="1" x14ac:dyDescent="0.25">
      <c r="G550" s="6"/>
    </row>
    <row r="551" spans="7:7" ht="126" customHeight="1" x14ac:dyDescent="0.25">
      <c r="G551" s="6"/>
    </row>
    <row r="552" spans="7:7" ht="126" customHeight="1" x14ac:dyDescent="0.25">
      <c r="G552" s="6"/>
    </row>
    <row r="553" spans="7:7" ht="126" customHeight="1" x14ac:dyDescent="0.25">
      <c r="G553" s="6"/>
    </row>
    <row r="554" spans="7:7" ht="126" customHeight="1" x14ac:dyDescent="0.25">
      <c r="G554" s="6"/>
    </row>
    <row r="555" spans="7:7" ht="126" customHeight="1" x14ac:dyDescent="0.25">
      <c r="G555" s="6"/>
    </row>
    <row r="556" spans="7:7" ht="126" customHeight="1" x14ac:dyDescent="0.25">
      <c r="G556" s="6"/>
    </row>
    <row r="557" spans="7:7" ht="126" customHeight="1" x14ac:dyDescent="0.25">
      <c r="G557" s="6"/>
    </row>
    <row r="558" spans="7:7" ht="126" customHeight="1" x14ac:dyDescent="0.25">
      <c r="G558" s="6"/>
    </row>
    <row r="559" spans="7:7" ht="126" customHeight="1" x14ac:dyDescent="0.25">
      <c r="G559" s="6"/>
    </row>
    <row r="560" spans="7:7" ht="126" customHeight="1" x14ac:dyDescent="0.25">
      <c r="G560" s="6"/>
    </row>
    <row r="561" spans="7:7" ht="126" customHeight="1" x14ac:dyDescent="0.25">
      <c r="G561" s="6"/>
    </row>
    <row r="562" spans="7:7" ht="126" customHeight="1" x14ac:dyDescent="0.25">
      <c r="G562" s="6"/>
    </row>
    <row r="563" spans="7:7" ht="126" customHeight="1" x14ac:dyDescent="0.25">
      <c r="G563" s="6"/>
    </row>
    <row r="564" spans="7:7" ht="126" customHeight="1" x14ac:dyDescent="0.25">
      <c r="G564" s="6"/>
    </row>
    <row r="565" spans="7:7" ht="126" customHeight="1" x14ac:dyDescent="0.25">
      <c r="G565" s="6"/>
    </row>
    <row r="566" spans="7:7" ht="126" customHeight="1" x14ac:dyDescent="0.25">
      <c r="G566" s="6"/>
    </row>
    <row r="567" spans="7:7" ht="126" customHeight="1" x14ac:dyDescent="0.25">
      <c r="G567" s="6"/>
    </row>
    <row r="568" spans="7:7" ht="126" customHeight="1" x14ac:dyDescent="0.25">
      <c r="G568" s="6"/>
    </row>
    <row r="569" spans="7:7" ht="126" customHeight="1" x14ac:dyDescent="0.25">
      <c r="G569" s="6"/>
    </row>
    <row r="570" spans="7:7" ht="126" customHeight="1" x14ac:dyDescent="0.25">
      <c r="G570" s="6"/>
    </row>
    <row r="571" spans="7:7" ht="126" customHeight="1" x14ac:dyDescent="0.25">
      <c r="G571" s="6"/>
    </row>
    <row r="572" spans="7:7" ht="126" customHeight="1" x14ac:dyDescent="0.25">
      <c r="G572" s="6"/>
    </row>
    <row r="573" spans="7:7" ht="126" customHeight="1" x14ac:dyDescent="0.25">
      <c r="G573" s="6"/>
    </row>
    <row r="574" spans="7:7" ht="126" customHeight="1" x14ac:dyDescent="0.25">
      <c r="G574" s="6"/>
    </row>
    <row r="575" spans="7:7" ht="126" customHeight="1" x14ac:dyDescent="0.25">
      <c r="G575" s="6"/>
    </row>
    <row r="576" spans="7:7" ht="126" customHeight="1" x14ac:dyDescent="0.25">
      <c r="G576" s="6"/>
    </row>
    <row r="577" spans="7:7" ht="126" customHeight="1" x14ac:dyDescent="0.25">
      <c r="G577" s="6"/>
    </row>
    <row r="578" spans="7:7" ht="126" customHeight="1" x14ac:dyDescent="0.25">
      <c r="G578" s="6"/>
    </row>
    <row r="579" spans="7:7" ht="126" customHeight="1" x14ac:dyDescent="0.25">
      <c r="G579" s="6"/>
    </row>
    <row r="580" spans="7:7" ht="126" customHeight="1" x14ac:dyDescent="0.25">
      <c r="G580" s="6"/>
    </row>
    <row r="581" spans="7:7" ht="126" customHeight="1" x14ac:dyDescent="0.25">
      <c r="G581" s="6"/>
    </row>
    <row r="582" spans="7:7" ht="126" customHeight="1" x14ac:dyDescent="0.25">
      <c r="G582" s="6"/>
    </row>
    <row r="583" spans="7:7" ht="126" customHeight="1" x14ac:dyDescent="0.25">
      <c r="G583" s="6"/>
    </row>
    <row r="584" spans="7:7" ht="126" customHeight="1" x14ac:dyDescent="0.25">
      <c r="G584" s="6"/>
    </row>
    <row r="585" spans="7:7" ht="126" customHeight="1" x14ac:dyDescent="0.25">
      <c r="G585" s="6"/>
    </row>
    <row r="586" spans="7:7" ht="126" customHeight="1" x14ac:dyDescent="0.25">
      <c r="G586" s="6"/>
    </row>
    <row r="587" spans="7:7" ht="126" customHeight="1" x14ac:dyDescent="0.25">
      <c r="G587" s="6"/>
    </row>
    <row r="588" spans="7:7" ht="126" customHeight="1" x14ac:dyDescent="0.25">
      <c r="G588" s="6"/>
    </row>
    <row r="589" spans="7:7" ht="126" customHeight="1" x14ac:dyDescent="0.25">
      <c r="G589" s="6"/>
    </row>
    <row r="590" spans="7:7" ht="126" customHeight="1" x14ac:dyDescent="0.25">
      <c r="G590" s="6"/>
    </row>
    <row r="591" spans="7:7" ht="126" customHeight="1" x14ac:dyDescent="0.25">
      <c r="G591" s="6"/>
    </row>
    <row r="592" spans="7:7" ht="126" customHeight="1" x14ac:dyDescent="0.25">
      <c r="G592" s="6"/>
    </row>
    <row r="593" spans="7:7" ht="126" customHeight="1" x14ac:dyDescent="0.25">
      <c r="G593" s="6"/>
    </row>
    <row r="594" spans="7:7" ht="126" customHeight="1" x14ac:dyDescent="0.25">
      <c r="G594" s="6"/>
    </row>
    <row r="595" spans="7:7" ht="126" customHeight="1" x14ac:dyDescent="0.25">
      <c r="G595" s="6"/>
    </row>
    <row r="596" spans="7:7" ht="126" customHeight="1" x14ac:dyDescent="0.25">
      <c r="G596" s="6"/>
    </row>
    <row r="597" spans="7:7" ht="126" customHeight="1" x14ac:dyDescent="0.25">
      <c r="G597" s="6"/>
    </row>
    <row r="598" spans="7:7" ht="126" customHeight="1" x14ac:dyDescent="0.25">
      <c r="G598" s="6"/>
    </row>
    <row r="599" spans="7:7" ht="126" customHeight="1" x14ac:dyDescent="0.25">
      <c r="G599" s="6"/>
    </row>
    <row r="600" spans="7:7" ht="126" customHeight="1" x14ac:dyDescent="0.25">
      <c r="G600" s="6"/>
    </row>
    <row r="601" spans="7:7" ht="126" customHeight="1" x14ac:dyDescent="0.25">
      <c r="G601" s="6"/>
    </row>
    <row r="602" spans="7:7" ht="126" customHeight="1" x14ac:dyDescent="0.25">
      <c r="G602" s="6"/>
    </row>
    <row r="603" spans="7:7" ht="126" customHeight="1" x14ac:dyDescent="0.25">
      <c r="G603" s="6"/>
    </row>
    <row r="604" spans="7:7" ht="126" customHeight="1" x14ac:dyDescent="0.25">
      <c r="G604" s="6"/>
    </row>
    <row r="605" spans="7:7" ht="126" customHeight="1" x14ac:dyDescent="0.25">
      <c r="G605" s="6"/>
    </row>
    <row r="606" spans="7:7" ht="126" customHeight="1" x14ac:dyDescent="0.25">
      <c r="G606" s="6"/>
    </row>
    <row r="607" spans="7:7" ht="126" customHeight="1" x14ac:dyDescent="0.25">
      <c r="G607" s="6"/>
    </row>
    <row r="608" spans="7:7" ht="126" customHeight="1" x14ac:dyDescent="0.25">
      <c r="G608" s="6"/>
    </row>
    <row r="609" spans="7:7" ht="126" customHeight="1" x14ac:dyDescent="0.25">
      <c r="G609" s="6"/>
    </row>
    <row r="610" spans="7:7" ht="126" customHeight="1" x14ac:dyDescent="0.25">
      <c r="G610" s="6"/>
    </row>
    <row r="611" spans="7:7" ht="126" customHeight="1" x14ac:dyDescent="0.25">
      <c r="G611" s="6"/>
    </row>
    <row r="612" spans="7:7" ht="126" customHeight="1" x14ac:dyDescent="0.25">
      <c r="G612" s="6"/>
    </row>
    <row r="613" spans="7:7" ht="126" customHeight="1" x14ac:dyDescent="0.25">
      <c r="G613" s="6"/>
    </row>
    <row r="614" spans="7:7" ht="126" customHeight="1" x14ac:dyDescent="0.25">
      <c r="G614" s="6"/>
    </row>
    <row r="615" spans="7:7" ht="126" customHeight="1" x14ac:dyDescent="0.25">
      <c r="G615" s="6"/>
    </row>
    <row r="616" spans="7:7" ht="126" customHeight="1" x14ac:dyDescent="0.25">
      <c r="G616" s="6"/>
    </row>
    <row r="617" spans="7:7" ht="126" customHeight="1" x14ac:dyDescent="0.25">
      <c r="G617" s="6"/>
    </row>
    <row r="618" spans="7:7" ht="126" customHeight="1" x14ac:dyDescent="0.25">
      <c r="G618" s="6"/>
    </row>
    <row r="619" spans="7:7" ht="126" customHeight="1" x14ac:dyDescent="0.25">
      <c r="G619" s="6"/>
    </row>
    <row r="620" spans="7:7" ht="126" customHeight="1" x14ac:dyDescent="0.25">
      <c r="G620" s="6"/>
    </row>
    <row r="621" spans="7:7" ht="126" customHeight="1" x14ac:dyDescent="0.25">
      <c r="G621" s="6"/>
    </row>
    <row r="622" spans="7:7" ht="126" customHeight="1" x14ac:dyDescent="0.25">
      <c r="G622" s="6"/>
    </row>
    <row r="623" spans="7:7" ht="126" customHeight="1" x14ac:dyDescent="0.25">
      <c r="G623" s="6"/>
    </row>
    <row r="624" spans="7:7" ht="126" customHeight="1" x14ac:dyDescent="0.25">
      <c r="G624" s="6"/>
    </row>
    <row r="625" spans="7:7" ht="126" customHeight="1" x14ac:dyDescent="0.25">
      <c r="G625" s="6"/>
    </row>
    <row r="626" spans="7:7" ht="126" customHeight="1" x14ac:dyDescent="0.25">
      <c r="G626" s="6"/>
    </row>
    <row r="627" spans="7:7" ht="126" customHeight="1" x14ac:dyDescent="0.25">
      <c r="G627" s="6"/>
    </row>
    <row r="628" spans="7:7" ht="126" customHeight="1" x14ac:dyDescent="0.25">
      <c r="G628" s="6"/>
    </row>
    <row r="629" spans="7:7" ht="126" customHeight="1" x14ac:dyDescent="0.25">
      <c r="G629" s="6"/>
    </row>
    <row r="630" spans="7:7" ht="126" customHeight="1" x14ac:dyDescent="0.25">
      <c r="G630" s="6"/>
    </row>
    <row r="631" spans="7:7" ht="126" customHeight="1" x14ac:dyDescent="0.25">
      <c r="G631" s="6"/>
    </row>
    <row r="632" spans="7:7" ht="126" customHeight="1" x14ac:dyDescent="0.25">
      <c r="G632" s="6"/>
    </row>
    <row r="633" spans="7:7" ht="126" customHeight="1" x14ac:dyDescent="0.25">
      <c r="G633" s="6"/>
    </row>
    <row r="634" spans="7:7" ht="126" customHeight="1" x14ac:dyDescent="0.25">
      <c r="G634" s="6"/>
    </row>
    <row r="635" spans="7:7" ht="126" customHeight="1" x14ac:dyDescent="0.25">
      <c r="G635" s="6"/>
    </row>
    <row r="636" spans="7:7" ht="126" customHeight="1" x14ac:dyDescent="0.25">
      <c r="G636" s="6"/>
    </row>
    <row r="637" spans="7:7" ht="126" customHeight="1" x14ac:dyDescent="0.25">
      <c r="G637" s="6"/>
    </row>
    <row r="638" spans="7:7" ht="126" customHeight="1" x14ac:dyDescent="0.25">
      <c r="G638" s="6"/>
    </row>
    <row r="639" spans="7:7" ht="126" customHeight="1" x14ac:dyDescent="0.25">
      <c r="G639" s="6"/>
    </row>
    <row r="640" spans="7:7" ht="126" customHeight="1" x14ac:dyDescent="0.25">
      <c r="G640" s="6"/>
    </row>
    <row r="641" spans="7:7" ht="126" customHeight="1" x14ac:dyDescent="0.25">
      <c r="G641" s="6"/>
    </row>
    <row r="642" spans="7:7" ht="126" customHeight="1" x14ac:dyDescent="0.25">
      <c r="G642" s="6"/>
    </row>
    <row r="643" spans="7:7" ht="126" customHeight="1" x14ac:dyDescent="0.25">
      <c r="G643" s="6"/>
    </row>
    <row r="644" spans="7:7" ht="126" customHeight="1" x14ac:dyDescent="0.25">
      <c r="G644" s="6"/>
    </row>
    <row r="645" spans="7:7" ht="126" customHeight="1" x14ac:dyDescent="0.25">
      <c r="G645" s="6"/>
    </row>
    <row r="646" spans="7:7" ht="126" customHeight="1" x14ac:dyDescent="0.25">
      <c r="G646" s="6"/>
    </row>
    <row r="647" spans="7:7" ht="126" customHeight="1" x14ac:dyDescent="0.25">
      <c r="G647" s="6"/>
    </row>
    <row r="648" spans="7:7" ht="126" customHeight="1" x14ac:dyDescent="0.25">
      <c r="G648" s="6"/>
    </row>
    <row r="649" spans="7:7" ht="126" customHeight="1" x14ac:dyDescent="0.25">
      <c r="G649" s="6"/>
    </row>
    <row r="650" spans="7:7" ht="126" customHeight="1" x14ac:dyDescent="0.25">
      <c r="G650" s="6"/>
    </row>
    <row r="651" spans="7:7" ht="126" customHeight="1" x14ac:dyDescent="0.25">
      <c r="G651" s="6"/>
    </row>
    <row r="652" spans="7:7" ht="126" customHeight="1" x14ac:dyDescent="0.25">
      <c r="G652" s="6"/>
    </row>
    <row r="653" spans="7:7" ht="126" customHeight="1" x14ac:dyDescent="0.25">
      <c r="G653" s="6"/>
    </row>
    <row r="654" spans="7:7" ht="126" customHeight="1" x14ac:dyDescent="0.25">
      <c r="G654" s="6"/>
    </row>
    <row r="655" spans="7:7" ht="126" customHeight="1" x14ac:dyDescent="0.25">
      <c r="G655" s="6"/>
    </row>
    <row r="656" spans="7:7" ht="126" customHeight="1" x14ac:dyDescent="0.25">
      <c r="G656" s="6"/>
    </row>
    <row r="657" spans="7:7" ht="126" customHeight="1" x14ac:dyDescent="0.25">
      <c r="G657" s="6"/>
    </row>
    <row r="658" spans="7:7" ht="126" customHeight="1" x14ac:dyDescent="0.25">
      <c r="G658" s="6"/>
    </row>
    <row r="659" spans="7:7" ht="126" customHeight="1" x14ac:dyDescent="0.25">
      <c r="G659" s="6"/>
    </row>
    <row r="660" spans="7:7" ht="126" customHeight="1" x14ac:dyDescent="0.25">
      <c r="G660" s="6"/>
    </row>
    <row r="661" spans="7:7" ht="126" customHeight="1" x14ac:dyDescent="0.25">
      <c r="G661" s="6"/>
    </row>
    <row r="662" spans="7:7" ht="126" customHeight="1" x14ac:dyDescent="0.25">
      <c r="G662" s="6"/>
    </row>
    <row r="663" spans="7:7" ht="126" customHeight="1" x14ac:dyDescent="0.25">
      <c r="G663" s="6"/>
    </row>
    <row r="664" spans="7:7" ht="126" customHeight="1" x14ac:dyDescent="0.25">
      <c r="G664" s="6"/>
    </row>
    <row r="665" spans="7:7" ht="126" customHeight="1" x14ac:dyDescent="0.25">
      <c r="G665" s="6"/>
    </row>
    <row r="666" spans="7:7" ht="126" customHeight="1" x14ac:dyDescent="0.25">
      <c r="G666" s="6"/>
    </row>
    <row r="667" spans="7:7" ht="126" customHeight="1" x14ac:dyDescent="0.25">
      <c r="G667" s="6"/>
    </row>
    <row r="668" spans="7:7" ht="126" customHeight="1" x14ac:dyDescent="0.25">
      <c r="G668" s="6"/>
    </row>
    <row r="669" spans="7:7" ht="126" customHeight="1" x14ac:dyDescent="0.25">
      <c r="G669" s="6"/>
    </row>
    <row r="670" spans="7:7" ht="126" customHeight="1" x14ac:dyDescent="0.25">
      <c r="G670" s="6"/>
    </row>
    <row r="671" spans="7:7" ht="126" customHeight="1" x14ac:dyDescent="0.25">
      <c r="G671" s="6"/>
    </row>
    <row r="672" spans="7:7" ht="126" customHeight="1" x14ac:dyDescent="0.25">
      <c r="G672" s="6"/>
    </row>
    <row r="673" spans="7:7" ht="126" customHeight="1" x14ac:dyDescent="0.25">
      <c r="G673" s="6"/>
    </row>
    <row r="674" spans="7:7" ht="126" customHeight="1" x14ac:dyDescent="0.25">
      <c r="G674" s="6"/>
    </row>
    <row r="675" spans="7:7" ht="126" customHeight="1" x14ac:dyDescent="0.25">
      <c r="G675" s="6"/>
    </row>
    <row r="676" spans="7:7" ht="126" customHeight="1" x14ac:dyDescent="0.25">
      <c r="G676" s="6"/>
    </row>
    <row r="677" spans="7:7" ht="126" customHeight="1" x14ac:dyDescent="0.25">
      <c r="G677" s="6"/>
    </row>
    <row r="678" spans="7:7" ht="126" customHeight="1" x14ac:dyDescent="0.25">
      <c r="G678" s="6"/>
    </row>
    <row r="679" spans="7:7" ht="126" customHeight="1" x14ac:dyDescent="0.25">
      <c r="G679" s="6"/>
    </row>
    <row r="680" spans="7:7" ht="126" customHeight="1" x14ac:dyDescent="0.25">
      <c r="G680" s="6"/>
    </row>
    <row r="681" spans="7:7" ht="126" customHeight="1" x14ac:dyDescent="0.25">
      <c r="G681" s="6"/>
    </row>
    <row r="682" spans="7:7" ht="126" customHeight="1" x14ac:dyDescent="0.25">
      <c r="G682" s="6"/>
    </row>
    <row r="683" spans="7:7" ht="126" customHeight="1" x14ac:dyDescent="0.25">
      <c r="G683" s="6"/>
    </row>
    <row r="684" spans="7:7" ht="126" customHeight="1" x14ac:dyDescent="0.25">
      <c r="G684" s="6"/>
    </row>
    <row r="685" spans="7:7" ht="126" customHeight="1" x14ac:dyDescent="0.25">
      <c r="G685" s="6"/>
    </row>
    <row r="686" spans="7:7" ht="126" customHeight="1" x14ac:dyDescent="0.25">
      <c r="G686" s="6"/>
    </row>
    <row r="687" spans="7:7" ht="126" customHeight="1" x14ac:dyDescent="0.25">
      <c r="G687" s="6"/>
    </row>
    <row r="688" spans="7:7" ht="126" customHeight="1" x14ac:dyDescent="0.25">
      <c r="G688" s="6"/>
    </row>
    <row r="689" spans="7:7" ht="126" customHeight="1" x14ac:dyDescent="0.25">
      <c r="G689" s="6"/>
    </row>
    <row r="690" spans="7:7" ht="126" customHeight="1" x14ac:dyDescent="0.25">
      <c r="G690" s="6"/>
    </row>
    <row r="691" spans="7:7" ht="126" customHeight="1" x14ac:dyDescent="0.25">
      <c r="G691" s="6"/>
    </row>
    <row r="692" spans="7:7" ht="126" customHeight="1" x14ac:dyDescent="0.25">
      <c r="G692" s="6"/>
    </row>
    <row r="693" spans="7:7" ht="126" customHeight="1" x14ac:dyDescent="0.25">
      <c r="G693" s="6"/>
    </row>
    <row r="694" spans="7:7" ht="126" customHeight="1" x14ac:dyDescent="0.25">
      <c r="G694" s="6"/>
    </row>
    <row r="695" spans="7:7" ht="126" customHeight="1" x14ac:dyDescent="0.25">
      <c r="G695" s="6"/>
    </row>
    <row r="696" spans="7:7" ht="126" customHeight="1" x14ac:dyDescent="0.25">
      <c r="G696" s="6"/>
    </row>
    <row r="697" spans="7:7" ht="126" customHeight="1" x14ac:dyDescent="0.25">
      <c r="G697" s="6"/>
    </row>
    <row r="698" spans="7:7" ht="126" customHeight="1" x14ac:dyDescent="0.25">
      <c r="G698" s="6"/>
    </row>
    <row r="699" spans="7:7" ht="126" customHeight="1" x14ac:dyDescent="0.25">
      <c r="G699" s="6"/>
    </row>
    <row r="700" spans="7:7" ht="126" customHeight="1" x14ac:dyDescent="0.25">
      <c r="G700" s="6"/>
    </row>
    <row r="701" spans="7:7" ht="126" customHeight="1" x14ac:dyDescent="0.25">
      <c r="G701" s="6"/>
    </row>
    <row r="702" spans="7:7" ht="126" customHeight="1" x14ac:dyDescent="0.25">
      <c r="G702" s="6"/>
    </row>
    <row r="703" spans="7:7" ht="126" customHeight="1" x14ac:dyDescent="0.25">
      <c r="G703" s="6"/>
    </row>
    <row r="704" spans="7:7" ht="126" customHeight="1" x14ac:dyDescent="0.25">
      <c r="G704" s="6"/>
    </row>
    <row r="705" spans="7:7" ht="126" customHeight="1" x14ac:dyDescent="0.25">
      <c r="G705" s="6"/>
    </row>
    <row r="706" spans="7:7" ht="126" customHeight="1" x14ac:dyDescent="0.25">
      <c r="G706" s="6"/>
    </row>
    <row r="707" spans="7:7" ht="126" customHeight="1" x14ac:dyDescent="0.25">
      <c r="G707" s="6"/>
    </row>
    <row r="708" spans="7:7" ht="126" customHeight="1" x14ac:dyDescent="0.25">
      <c r="G708" s="6"/>
    </row>
    <row r="709" spans="7:7" ht="126" customHeight="1" x14ac:dyDescent="0.25">
      <c r="G709" s="6"/>
    </row>
    <row r="710" spans="7:7" ht="126" customHeight="1" x14ac:dyDescent="0.25">
      <c r="G710" s="6"/>
    </row>
    <row r="711" spans="7:7" ht="126" customHeight="1" x14ac:dyDescent="0.25">
      <c r="G711" s="6"/>
    </row>
    <row r="712" spans="7:7" ht="126" customHeight="1" x14ac:dyDescent="0.25">
      <c r="G712" s="6"/>
    </row>
    <row r="713" spans="7:7" ht="126" customHeight="1" x14ac:dyDescent="0.25">
      <c r="G713" s="6"/>
    </row>
    <row r="714" spans="7:7" ht="126" customHeight="1" x14ac:dyDescent="0.25">
      <c r="G714" s="6"/>
    </row>
    <row r="715" spans="7:7" ht="126" customHeight="1" x14ac:dyDescent="0.25">
      <c r="G715" s="6"/>
    </row>
    <row r="716" spans="7:7" ht="126" customHeight="1" x14ac:dyDescent="0.25">
      <c r="G716" s="6"/>
    </row>
    <row r="717" spans="7:7" ht="126" customHeight="1" x14ac:dyDescent="0.25">
      <c r="G717" s="6"/>
    </row>
    <row r="718" spans="7:7" ht="126" customHeight="1" x14ac:dyDescent="0.25">
      <c r="G718" s="6"/>
    </row>
    <row r="719" spans="7:7" ht="126" customHeight="1" x14ac:dyDescent="0.25">
      <c r="G719" s="6"/>
    </row>
    <row r="720" spans="7:7" ht="126" customHeight="1" x14ac:dyDescent="0.25">
      <c r="G720" s="6"/>
    </row>
    <row r="721" spans="7:7" ht="126" customHeight="1" x14ac:dyDescent="0.25">
      <c r="G721" s="6"/>
    </row>
    <row r="722" spans="7:7" ht="126" customHeight="1" x14ac:dyDescent="0.25">
      <c r="G722" s="6"/>
    </row>
    <row r="723" spans="7:7" ht="126" customHeight="1" x14ac:dyDescent="0.25">
      <c r="G723" s="6"/>
    </row>
    <row r="724" spans="7:7" ht="126" customHeight="1" x14ac:dyDescent="0.25">
      <c r="G724" s="6"/>
    </row>
    <row r="725" spans="7:7" ht="126" customHeight="1" x14ac:dyDescent="0.25">
      <c r="G725" s="6"/>
    </row>
    <row r="726" spans="7:7" ht="126" customHeight="1" x14ac:dyDescent="0.25">
      <c r="G726" s="6"/>
    </row>
    <row r="727" spans="7:7" ht="126" customHeight="1" x14ac:dyDescent="0.25">
      <c r="G727" s="6"/>
    </row>
    <row r="728" spans="7:7" ht="126" customHeight="1" x14ac:dyDescent="0.25">
      <c r="G728" s="6"/>
    </row>
    <row r="729" spans="7:7" ht="126" customHeight="1" x14ac:dyDescent="0.25">
      <c r="G729" s="6"/>
    </row>
    <row r="730" spans="7:7" ht="126" customHeight="1" x14ac:dyDescent="0.25">
      <c r="G730" s="6"/>
    </row>
    <row r="731" spans="7:7" ht="126" customHeight="1" x14ac:dyDescent="0.25">
      <c r="G731" s="6"/>
    </row>
    <row r="732" spans="7:7" ht="126" customHeight="1" x14ac:dyDescent="0.25">
      <c r="G732" s="6"/>
    </row>
    <row r="733" spans="7:7" ht="126" customHeight="1" x14ac:dyDescent="0.25">
      <c r="G733" s="6"/>
    </row>
    <row r="734" spans="7:7" ht="126" customHeight="1" x14ac:dyDescent="0.25">
      <c r="G734" s="6"/>
    </row>
    <row r="735" spans="7:7" ht="126" customHeight="1" x14ac:dyDescent="0.25">
      <c r="G735" s="6"/>
    </row>
    <row r="736" spans="7:7" ht="126" customHeight="1" x14ac:dyDescent="0.25">
      <c r="G736" s="6"/>
    </row>
    <row r="737" spans="7:7" ht="126" customHeight="1" x14ac:dyDescent="0.25">
      <c r="G737" s="6"/>
    </row>
    <row r="738" spans="7:7" ht="126" customHeight="1" x14ac:dyDescent="0.25">
      <c r="G738" s="6"/>
    </row>
    <row r="739" spans="7:7" ht="126" customHeight="1" x14ac:dyDescent="0.25">
      <c r="G739" s="6"/>
    </row>
    <row r="740" spans="7:7" ht="126" customHeight="1" x14ac:dyDescent="0.25">
      <c r="G740" s="6"/>
    </row>
    <row r="741" spans="7:7" ht="126" customHeight="1" x14ac:dyDescent="0.25">
      <c r="G741" s="6"/>
    </row>
    <row r="742" spans="7:7" ht="126" customHeight="1" x14ac:dyDescent="0.25">
      <c r="G742" s="6"/>
    </row>
    <row r="743" spans="7:7" ht="126" customHeight="1" x14ac:dyDescent="0.25">
      <c r="G743" s="6"/>
    </row>
    <row r="744" spans="7:7" ht="126" customHeight="1" x14ac:dyDescent="0.25">
      <c r="G744" s="6"/>
    </row>
    <row r="745" spans="7:7" ht="126" customHeight="1" x14ac:dyDescent="0.25">
      <c r="G745" s="6"/>
    </row>
    <row r="746" spans="7:7" ht="126" customHeight="1" x14ac:dyDescent="0.25">
      <c r="G746" s="6"/>
    </row>
    <row r="747" spans="7:7" ht="126" customHeight="1" x14ac:dyDescent="0.25">
      <c r="G747" s="6"/>
    </row>
    <row r="748" spans="7:7" ht="126" customHeight="1" x14ac:dyDescent="0.25">
      <c r="G748" s="6"/>
    </row>
    <row r="749" spans="7:7" ht="126" customHeight="1" x14ac:dyDescent="0.25">
      <c r="G749" s="6"/>
    </row>
    <row r="750" spans="7:7" ht="126" customHeight="1" x14ac:dyDescent="0.25">
      <c r="G750" s="6"/>
    </row>
    <row r="751" spans="7:7" ht="126" customHeight="1" x14ac:dyDescent="0.25">
      <c r="G751" s="6"/>
    </row>
    <row r="752" spans="7:7" ht="126" customHeight="1" x14ac:dyDescent="0.25">
      <c r="G752" s="6"/>
    </row>
    <row r="753" spans="7:7" ht="126" customHeight="1" x14ac:dyDescent="0.25">
      <c r="G753" s="6"/>
    </row>
    <row r="754" spans="7:7" ht="126" customHeight="1" x14ac:dyDescent="0.25">
      <c r="G754" s="6"/>
    </row>
    <row r="755" spans="7:7" ht="126" customHeight="1" x14ac:dyDescent="0.25">
      <c r="G755" s="6"/>
    </row>
    <row r="756" spans="7:7" ht="126" customHeight="1" x14ac:dyDescent="0.25">
      <c r="G756" s="6"/>
    </row>
    <row r="757" spans="7:7" ht="126" customHeight="1" x14ac:dyDescent="0.25">
      <c r="G757" s="6"/>
    </row>
    <row r="758" spans="7:7" ht="126" customHeight="1" x14ac:dyDescent="0.25">
      <c r="G758" s="6"/>
    </row>
    <row r="759" spans="7:7" ht="126" customHeight="1" x14ac:dyDescent="0.25">
      <c r="G759" s="6"/>
    </row>
    <row r="760" spans="7:7" ht="126" customHeight="1" x14ac:dyDescent="0.25">
      <c r="G760" s="6"/>
    </row>
    <row r="761" spans="7:7" ht="126" customHeight="1" x14ac:dyDescent="0.25">
      <c r="G761" s="6"/>
    </row>
    <row r="762" spans="7:7" ht="126" customHeight="1" x14ac:dyDescent="0.25">
      <c r="G762" s="6"/>
    </row>
    <row r="763" spans="7:7" ht="126" customHeight="1" x14ac:dyDescent="0.25">
      <c r="G763" s="6"/>
    </row>
    <row r="764" spans="7:7" ht="126" customHeight="1" x14ac:dyDescent="0.25">
      <c r="G764" s="6"/>
    </row>
    <row r="765" spans="7:7" ht="126" customHeight="1" x14ac:dyDescent="0.25">
      <c r="G765" s="6"/>
    </row>
    <row r="766" spans="7:7" ht="126" customHeight="1" x14ac:dyDescent="0.25">
      <c r="G766" s="6"/>
    </row>
    <row r="767" spans="7:7" ht="126" customHeight="1" x14ac:dyDescent="0.25">
      <c r="G767" s="6"/>
    </row>
    <row r="768" spans="7:7" ht="126" customHeight="1" x14ac:dyDescent="0.25">
      <c r="G768" s="6"/>
    </row>
    <row r="769" spans="7:7" ht="126" customHeight="1" x14ac:dyDescent="0.25">
      <c r="G769" s="6"/>
    </row>
    <row r="770" spans="7:7" ht="126" customHeight="1" x14ac:dyDescent="0.25">
      <c r="G770" s="6"/>
    </row>
    <row r="771" spans="7:7" ht="126" customHeight="1" x14ac:dyDescent="0.25">
      <c r="G771" s="6"/>
    </row>
    <row r="772" spans="7:7" ht="126" customHeight="1" x14ac:dyDescent="0.25">
      <c r="G772" s="6"/>
    </row>
    <row r="773" spans="7:7" ht="126" customHeight="1" x14ac:dyDescent="0.25">
      <c r="G773" s="6"/>
    </row>
    <row r="774" spans="7:7" ht="126" customHeight="1" x14ac:dyDescent="0.25">
      <c r="G774" s="6"/>
    </row>
    <row r="775" spans="7:7" ht="126" customHeight="1" x14ac:dyDescent="0.25">
      <c r="G775" s="6"/>
    </row>
    <row r="776" spans="7:7" ht="126" customHeight="1" x14ac:dyDescent="0.25">
      <c r="G776" s="6"/>
    </row>
    <row r="777" spans="7:7" ht="126" customHeight="1" x14ac:dyDescent="0.25">
      <c r="G777" s="6"/>
    </row>
    <row r="778" spans="7:7" ht="126" customHeight="1" x14ac:dyDescent="0.25">
      <c r="G778" s="6"/>
    </row>
    <row r="779" spans="7:7" ht="126" customHeight="1" x14ac:dyDescent="0.25">
      <c r="G779" s="6"/>
    </row>
    <row r="780" spans="7:7" ht="126" customHeight="1" x14ac:dyDescent="0.25">
      <c r="G780" s="6"/>
    </row>
    <row r="781" spans="7:7" ht="126" customHeight="1" x14ac:dyDescent="0.25">
      <c r="G781" s="6"/>
    </row>
    <row r="782" spans="7:7" ht="126" customHeight="1" x14ac:dyDescent="0.25">
      <c r="G782" s="6"/>
    </row>
    <row r="783" spans="7:7" ht="126" customHeight="1" x14ac:dyDescent="0.25">
      <c r="G783" s="6"/>
    </row>
    <row r="784" spans="7:7" ht="126" customHeight="1" x14ac:dyDescent="0.25">
      <c r="G784" s="6"/>
    </row>
    <row r="785" spans="7:7" ht="126" customHeight="1" x14ac:dyDescent="0.25">
      <c r="G785" s="6"/>
    </row>
    <row r="786" spans="7:7" ht="126" customHeight="1" x14ac:dyDescent="0.25">
      <c r="G786" s="6"/>
    </row>
    <row r="787" spans="7:7" ht="126" customHeight="1" x14ac:dyDescent="0.25">
      <c r="G787" s="6"/>
    </row>
    <row r="788" spans="7:7" ht="126" customHeight="1" x14ac:dyDescent="0.25">
      <c r="G788" s="6"/>
    </row>
    <row r="789" spans="7:7" ht="126" customHeight="1" x14ac:dyDescent="0.25">
      <c r="G789" s="6"/>
    </row>
    <row r="790" spans="7:7" ht="126" customHeight="1" x14ac:dyDescent="0.25">
      <c r="G790" s="6"/>
    </row>
    <row r="791" spans="7:7" ht="126" customHeight="1" x14ac:dyDescent="0.25">
      <c r="G791" s="6"/>
    </row>
    <row r="792" spans="7:7" ht="126" customHeight="1" x14ac:dyDescent="0.25">
      <c r="G792" s="6"/>
    </row>
    <row r="793" spans="7:7" ht="126" customHeight="1" x14ac:dyDescent="0.25">
      <c r="G793" s="6"/>
    </row>
    <row r="794" spans="7:7" ht="126" customHeight="1" x14ac:dyDescent="0.25">
      <c r="G794" s="6"/>
    </row>
    <row r="795" spans="7:7" ht="126" customHeight="1" x14ac:dyDescent="0.25">
      <c r="G795" s="6"/>
    </row>
    <row r="796" spans="7:7" ht="126" customHeight="1" x14ac:dyDescent="0.25">
      <c r="G796" s="6"/>
    </row>
    <row r="797" spans="7:7" ht="126" customHeight="1" x14ac:dyDescent="0.25">
      <c r="G797" s="6"/>
    </row>
    <row r="798" spans="7:7" ht="126" customHeight="1" x14ac:dyDescent="0.25">
      <c r="G798" s="6"/>
    </row>
    <row r="799" spans="7:7" ht="126" customHeight="1" x14ac:dyDescent="0.25">
      <c r="G799" s="6"/>
    </row>
    <row r="800" spans="7:7" ht="126" customHeight="1" x14ac:dyDescent="0.25">
      <c r="G800" s="6"/>
    </row>
    <row r="801" spans="7:7" ht="126" customHeight="1" x14ac:dyDescent="0.25">
      <c r="G801" s="6"/>
    </row>
    <row r="802" spans="7:7" ht="126" customHeight="1" x14ac:dyDescent="0.25">
      <c r="G802" s="6"/>
    </row>
    <row r="803" spans="7:7" ht="126" customHeight="1" x14ac:dyDescent="0.25">
      <c r="G803" s="6"/>
    </row>
    <row r="804" spans="7:7" ht="126" customHeight="1" x14ac:dyDescent="0.25">
      <c r="G804" s="6"/>
    </row>
    <row r="805" spans="7:7" ht="126" customHeight="1" x14ac:dyDescent="0.25">
      <c r="G805" s="6"/>
    </row>
    <row r="806" spans="7:7" ht="126" customHeight="1" x14ac:dyDescent="0.25">
      <c r="G806" s="6"/>
    </row>
    <row r="807" spans="7:7" ht="126" customHeight="1" x14ac:dyDescent="0.25">
      <c r="G807" s="6"/>
    </row>
    <row r="808" spans="7:7" ht="126" customHeight="1" x14ac:dyDescent="0.25">
      <c r="G808" s="6"/>
    </row>
    <row r="809" spans="7:7" ht="126" customHeight="1" x14ac:dyDescent="0.25">
      <c r="G809" s="6"/>
    </row>
    <row r="810" spans="7:7" ht="126" customHeight="1" x14ac:dyDescent="0.25">
      <c r="G810" s="6"/>
    </row>
    <row r="811" spans="7:7" ht="126" customHeight="1" x14ac:dyDescent="0.25">
      <c r="G811" s="6"/>
    </row>
    <row r="812" spans="7:7" ht="126" customHeight="1" x14ac:dyDescent="0.25">
      <c r="G812" s="6"/>
    </row>
    <row r="813" spans="7:7" ht="126" customHeight="1" x14ac:dyDescent="0.25">
      <c r="G813" s="6"/>
    </row>
    <row r="814" spans="7:7" ht="126" customHeight="1" x14ac:dyDescent="0.25">
      <c r="G814" s="6"/>
    </row>
    <row r="815" spans="7:7" ht="126" customHeight="1" x14ac:dyDescent="0.25">
      <c r="G815" s="6"/>
    </row>
    <row r="816" spans="7:7" ht="126" customHeight="1" x14ac:dyDescent="0.25">
      <c r="G816" s="6"/>
    </row>
    <row r="817" spans="7:7" ht="126" customHeight="1" x14ac:dyDescent="0.25">
      <c r="G817" s="6"/>
    </row>
    <row r="818" spans="7:7" ht="126" customHeight="1" x14ac:dyDescent="0.25">
      <c r="G818" s="6"/>
    </row>
    <row r="819" spans="7:7" ht="126" customHeight="1" x14ac:dyDescent="0.25">
      <c r="G819" s="6"/>
    </row>
    <row r="820" spans="7:7" ht="126" customHeight="1" x14ac:dyDescent="0.25">
      <c r="G820" s="6"/>
    </row>
    <row r="821" spans="7:7" ht="126" customHeight="1" x14ac:dyDescent="0.25">
      <c r="G821" s="6"/>
    </row>
    <row r="822" spans="7:7" ht="126" customHeight="1" x14ac:dyDescent="0.25">
      <c r="G822" s="6"/>
    </row>
    <row r="823" spans="7:7" ht="126" customHeight="1" x14ac:dyDescent="0.25">
      <c r="G823" s="6"/>
    </row>
    <row r="824" spans="7:7" ht="126" customHeight="1" x14ac:dyDescent="0.25">
      <c r="G824" s="6"/>
    </row>
    <row r="825" spans="7:7" ht="126" customHeight="1" x14ac:dyDescent="0.25">
      <c r="G825" s="6"/>
    </row>
    <row r="826" spans="7:7" ht="126" customHeight="1" x14ac:dyDescent="0.25">
      <c r="G826" s="6"/>
    </row>
    <row r="827" spans="7:7" ht="126" customHeight="1" x14ac:dyDescent="0.25">
      <c r="G827" s="6"/>
    </row>
    <row r="828" spans="7:7" ht="126" customHeight="1" x14ac:dyDescent="0.25">
      <c r="G828" s="6"/>
    </row>
    <row r="829" spans="7:7" ht="126" customHeight="1" x14ac:dyDescent="0.25">
      <c r="G829" s="6"/>
    </row>
    <row r="830" spans="7:7" ht="126" customHeight="1" x14ac:dyDescent="0.25">
      <c r="G830" s="6"/>
    </row>
    <row r="831" spans="7:7" ht="126" customHeight="1" x14ac:dyDescent="0.25">
      <c r="G831" s="6"/>
    </row>
    <row r="832" spans="7:7" ht="126" customHeight="1" x14ac:dyDescent="0.25">
      <c r="G832" s="6"/>
    </row>
    <row r="833" spans="7:7" ht="126" customHeight="1" x14ac:dyDescent="0.25">
      <c r="G833" s="6"/>
    </row>
    <row r="834" spans="7:7" ht="126" customHeight="1" x14ac:dyDescent="0.25">
      <c r="G834" s="6"/>
    </row>
    <row r="835" spans="7:7" ht="126" customHeight="1" x14ac:dyDescent="0.25">
      <c r="G835" s="6"/>
    </row>
    <row r="836" spans="7:7" ht="126" customHeight="1" x14ac:dyDescent="0.25">
      <c r="G836" s="6"/>
    </row>
    <row r="837" spans="7:7" ht="126" customHeight="1" x14ac:dyDescent="0.25">
      <c r="G837" s="6"/>
    </row>
    <row r="838" spans="7:7" ht="126" customHeight="1" x14ac:dyDescent="0.25">
      <c r="G838" s="6"/>
    </row>
    <row r="839" spans="7:7" ht="126" customHeight="1" x14ac:dyDescent="0.25">
      <c r="G839" s="6"/>
    </row>
    <row r="840" spans="7:7" ht="126" customHeight="1" x14ac:dyDescent="0.25">
      <c r="G840" s="6"/>
    </row>
    <row r="841" spans="7:7" ht="126" customHeight="1" x14ac:dyDescent="0.25">
      <c r="G841" s="6"/>
    </row>
    <row r="842" spans="7:7" ht="126" customHeight="1" x14ac:dyDescent="0.25">
      <c r="G842" s="6"/>
    </row>
    <row r="843" spans="7:7" ht="126" customHeight="1" x14ac:dyDescent="0.25">
      <c r="G843" s="6"/>
    </row>
    <row r="844" spans="7:7" ht="126" customHeight="1" x14ac:dyDescent="0.25">
      <c r="G844" s="6"/>
    </row>
    <row r="845" spans="7:7" ht="126" customHeight="1" x14ac:dyDescent="0.25">
      <c r="G845" s="6"/>
    </row>
    <row r="846" spans="7:7" ht="126" customHeight="1" x14ac:dyDescent="0.25">
      <c r="G846" s="6"/>
    </row>
    <row r="847" spans="7:7" ht="126" customHeight="1" x14ac:dyDescent="0.25">
      <c r="G847" s="6"/>
    </row>
    <row r="848" spans="7:7" ht="126" customHeight="1" x14ac:dyDescent="0.25">
      <c r="G848" s="6"/>
    </row>
    <row r="849" spans="7:7" ht="126" customHeight="1" x14ac:dyDescent="0.25">
      <c r="G849" s="6"/>
    </row>
    <row r="850" spans="7:7" ht="126" customHeight="1" x14ac:dyDescent="0.25">
      <c r="G850" s="6"/>
    </row>
    <row r="851" spans="7:7" ht="126" customHeight="1" x14ac:dyDescent="0.25">
      <c r="G851" s="6"/>
    </row>
    <row r="852" spans="7:7" ht="126" customHeight="1" x14ac:dyDescent="0.25">
      <c r="G852" s="6"/>
    </row>
    <row r="853" spans="7:7" ht="126" customHeight="1" x14ac:dyDescent="0.25">
      <c r="G853" s="6"/>
    </row>
    <row r="854" spans="7:7" ht="126" customHeight="1" x14ac:dyDescent="0.25">
      <c r="G854" s="6"/>
    </row>
    <row r="855" spans="7:7" ht="126" customHeight="1" x14ac:dyDescent="0.25">
      <c r="G855" s="6"/>
    </row>
    <row r="856" spans="7:7" ht="126" customHeight="1" x14ac:dyDescent="0.25">
      <c r="G856" s="6"/>
    </row>
    <row r="857" spans="7:7" ht="126" customHeight="1" x14ac:dyDescent="0.25">
      <c r="G857" s="6"/>
    </row>
    <row r="858" spans="7:7" ht="126" customHeight="1" x14ac:dyDescent="0.25">
      <c r="G858" s="6"/>
    </row>
    <row r="859" spans="7:7" ht="126" customHeight="1" x14ac:dyDescent="0.25">
      <c r="G859" s="6"/>
    </row>
    <row r="860" spans="7:7" ht="126" customHeight="1" x14ac:dyDescent="0.25">
      <c r="G860" s="6"/>
    </row>
    <row r="861" spans="7:7" ht="126" customHeight="1" x14ac:dyDescent="0.25">
      <c r="G861" s="6"/>
    </row>
    <row r="862" spans="7:7" ht="126" customHeight="1" x14ac:dyDescent="0.25">
      <c r="G862" s="6"/>
    </row>
    <row r="863" spans="7:7" ht="126" customHeight="1" x14ac:dyDescent="0.25">
      <c r="G863" s="6"/>
    </row>
    <row r="864" spans="7:7" ht="126" customHeight="1" x14ac:dyDescent="0.25">
      <c r="G864" s="6"/>
    </row>
    <row r="865" spans="7:7" ht="126" customHeight="1" x14ac:dyDescent="0.25">
      <c r="G865" s="6"/>
    </row>
    <row r="866" spans="7:7" ht="126" customHeight="1" x14ac:dyDescent="0.25">
      <c r="G866" s="6"/>
    </row>
    <row r="867" spans="7:7" ht="126" customHeight="1" x14ac:dyDescent="0.25">
      <c r="G867" s="6"/>
    </row>
    <row r="868" spans="7:7" ht="126" customHeight="1" x14ac:dyDescent="0.25">
      <c r="G868" s="6"/>
    </row>
    <row r="869" spans="7:7" ht="126" customHeight="1" x14ac:dyDescent="0.25">
      <c r="G869" s="6"/>
    </row>
    <row r="870" spans="7:7" ht="126" customHeight="1" x14ac:dyDescent="0.25">
      <c r="G870" s="6"/>
    </row>
    <row r="871" spans="7:7" ht="126" customHeight="1" x14ac:dyDescent="0.25">
      <c r="G871" s="6"/>
    </row>
    <row r="872" spans="7:7" ht="126" customHeight="1" x14ac:dyDescent="0.25">
      <c r="G872" s="6"/>
    </row>
    <row r="873" spans="7:7" ht="126" customHeight="1" x14ac:dyDescent="0.25">
      <c r="G873" s="6"/>
    </row>
    <row r="874" spans="7:7" ht="126" customHeight="1" x14ac:dyDescent="0.25">
      <c r="G874" s="6"/>
    </row>
    <row r="875" spans="7:7" ht="126" customHeight="1" x14ac:dyDescent="0.25">
      <c r="G875" s="6"/>
    </row>
    <row r="876" spans="7:7" ht="126" customHeight="1" x14ac:dyDescent="0.25">
      <c r="G876" s="6"/>
    </row>
    <row r="877" spans="7:7" ht="126" customHeight="1" x14ac:dyDescent="0.25">
      <c r="G877" s="6"/>
    </row>
    <row r="878" spans="7:7" ht="126" customHeight="1" x14ac:dyDescent="0.25">
      <c r="G878" s="6"/>
    </row>
    <row r="879" spans="7:7" ht="126" customHeight="1" x14ac:dyDescent="0.25">
      <c r="G879" s="6"/>
    </row>
    <row r="880" spans="7:7" ht="126" customHeight="1" x14ac:dyDescent="0.25">
      <c r="G880" s="6"/>
    </row>
    <row r="881" spans="7:7" ht="126" customHeight="1" x14ac:dyDescent="0.25">
      <c r="G881" s="6"/>
    </row>
    <row r="882" spans="7:7" ht="126" customHeight="1" x14ac:dyDescent="0.25">
      <c r="G882" s="6"/>
    </row>
    <row r="883" spans="7:7" ht="126" customHeight="1" x14ac:dyDescent="0.25">
      <c r="G883" s="6"/>
    </row>
    <row r="884" spans="7:7" ht="126" customHeight="1" x14ac:dyDescent="0.25">
      <c r="G884" s="6"/>
    </row>
    <row r="885" spans="7:7" ht="126" customHeight="1" x14ac:dyDescent="0.25">
      <c r="G885" s="6"/>
    </row>
    <row r="886" spans="7:7" ht="126" customHeight="1" x14ac:dyDescent="0.25">
      <c r="G886" s="6"/>
    </row>
    <row r="887" spans="7:7" ht="126" customHeight="1" x14ac:dyDescent="0.25">
      <c r="G887" s="6"/>
    </row>
    <row r="888" spans="7:7" ht="126" customHeight="1" x14ac:dyDescent="0.25">
      <c r="G888" s="6"/>
    </row>
    <row r="889" spans="7:7" ht="126" customHeight="1" x14ac:dyDescent="0.25">
      <c r="G889" s="6"/>
    </row>
    <row r="890" spans="7:7" ht="126" customHeight="1" x14ac:dyDescent="0.25">
      <c r="G890" s="6"/>
    </row>
    <row r="891" spans="7:7" ht="126" customHeight="1" x14ac:dyDescent="0.25">
      <c r="G891" s="6"/>
    </row>
    <row r="892" spans="7:7" ht="126" customHeight="1" x14ac:dyDescent="0.25">
      <c r="G892" s="6"/>
    </row>
    <row r="893" spans="7:7" ht="126" customHeight="1" x14ac:dyDescent="0.25">
      <c r="G893" s="6"/>
    </row>
    <row r="894" spans="7:7" ht="126" customHeight="1" x14ac:dyDescent="0.25">
      <c r="G894" s="6"/>
    </row>
    <row r="895" spans="7:7" ht="126" customHeight="1" x14ac:dyDescent="0.25">
      <c r="G895" s="6"/>
    </row>
    <row r="896" spans="7:7" ht="126" customHeight="1" x14ac:dyDescent="0.25">
      <c r="G896" s="6"/>
    </row>
    <row r="897" spans="7:7" ht="126" customHeight="1" x14ac:dyDescent="0.25">
      <c r="G897" s="6"/>
    </row>
    <row r="898" spans="7:7" ht="126" customHeight="1" x14ac:dyDescent="0.25">
      <c r="G898" s="6"/>
    </row>
    <row r="899" spans="7:7" ht="126" customHeight="1" x14ac:dyDescent="0.25">
      <c r="G899" s="6"/>
    </row>
    <row r="900" spans="7:7" ht="126" customHeight="1" x14ac:dyDescent="0.25">
      <c r="G900" s="6"/>
    </row>
    <row r="901" spans="7:7" ht="126" customHeight="1" x14ac:dyDescent="0.25">
      <c r="G901" s="6"/>
    </row>
    <row r="902" spans="7:7" ht="126" customHeight="1" x14ac:dyDescent="0.25">
      <c r="G902" s="6"/>
    </row>
    <row r="903" spans="7:7" ht="126" customHeight="1" x14ac:dyDescent="0.25">
      <c r="G903" s="6"/>
    </row>
    <row r="904" spans="7:7" ht="126" customHeight="1" x14ac:dyDescent="0.25">
      <c r="G904" s="6"/>
    </row>
    <row r="905" spans="7:7" ht="126" customHeight="1" x14ac:dyDescent="0.25">
      <c r="G905" s="6"/>
    </row>
    <row r="906" spans="7:7" ht="126" customHeight="1" x14ac:dyDescent="0.25">
      <c r="G906" s="6"/>
    </row>
    <row r="907" spans="7:7" ht="126" customHeight="1" x14ac:dyDescent="0.25">
      <c r="G907" s="6"/>
    </row>
    <row r="908" spans="7:7" ht="126" customHeight="1" x14ac:dyDescent="0.25">
      <c r="G908" s="6"/>
    </row>
    <row r="909" spans="7:7" ht="126" customHeight="1" x14ac:dyDescent="0.25">
      <c r="G909" s="6"/>
    </row>
    <row r="910" spans="7:7" ht="126" customHeight="1" x14ac:dyDescent="0.25">
      <c r="G910" s="6"/>
    </row>
    <row r="911" spans="7:7" ht="126" customHeight="1" x14ac:dyDescent="0.25">
      <c r="G911" s="6"/>
    </row>
    <row r="912" spans="7:7" ht="126" customHeight="1" x14ac:dyDescent="0.25">
      <c r="G912" s="6"/>
    </row>
    <row r="913" spans="7:7" ht="126" customHeight="1" x14ac:dyDescent="0.25">
      <c r="G913" s="6"/>
    </row>
    <row r="914" spans="7:7" ht="126" customHeight="1" x14ac:dyDescent="0.25">
      <c r="G914" s="6"/>
    </row>
    <row r="915" spans="7:7" ht="126" customHeight="1" x14ac:dyDescent="0.25">
      <c r="G915" s="6"/>
    </row>
    <row r="916" spans="7:7" ht="126" customHeight="1" x14ac:dyDescent="0.25">
      <c r="G916" s="6"/>
    </row>
    <row r="917" spans="7:7" ht="126" customHeight="1" x14ac:dyDescent="0.25">
      <c r="G917" s="6"/>
    </row>
    <row r="918" spans="7:7" ht="126" customHeight="1" x14ac:dyDescent="0.25">
      <c r="G918" s="6"/>
    </row>
    <row r="919" spans="7:7" ht="126" customHeight="1" x14ac:dyDescent="0.25">
      <c r="G919" s="6"/>
    </row>
    <row r="920" spans="7:7" ht="126" customHeight="1" x14ac:dyDescent="0.25">
      <c r="G920" s="6"/>
    </row>
    <row r="921" spans="7:7" ht="126" customHeight="1" x14ac:dyDescent="0.25">
      <c r="G921" s="6"/>
    </row>
    <row r="922" spans="7:7" ht="126" customHeight="1" x14ac:dyDescent="0.25">
      <c r="G922" s="6"/>
    </row>
    <row r="923" spans="7:7" ht="126" customHeight="1" x14ac:dyDescent="0.25">
      <c r="G923" s="6"/>
    </row>
    <row r="924" spans="7:7" ht="126" customHeight="1" x14ac:dyDescent="0.25">
      <c r="G924" s="6"/>
    </row>
    <row r="925" spans="7:7" ht="126" customHeight="1" x14ac:dyDescent="0.25">
      <c r="G925" s="6"/>
    </row>
    <row r="926" spans="7:7" ht="126" customHeight="1" x14ac:dyDescent="0.25">
      <c r="G926" s="6"/>
    </row>
    <row r="927" spans="7:7" ht="126" customHeight="1" x14ac:dyDescent="0.25">
      <c r="G927" s="6"/>
    </row>
    <row r="928" spans="7:7" ht="126" customHeight="1" x14ac:dyDescent="0.25">
      <c r="G928" s="6"/>
    </row>
    <row r="929" spans="7:7" ht="126" customHeight="1" x14ac:dyDescent="0.25">
      <c r="G929" s="6"/>
    </row>
    <row r="930" spans="7:7" ht="126" customHeight="1" x14ac:dyDescent="0.25">
      <c r="G930" s="6"/>
    </row>
    <row r="931" spans="7:7" ht="126" customHeight="1" x14ac:dyDescent="0.25">
      <c r="G931" s="6"/>
    </row>
    <row r="932" spans="7:7" ht="126" customHeight="1" x14ac:dyDescent="0.25">
      <c r="G932" s="6"/>
    </row>
    <row r="933" spans="7:7" ht="126" customHeight="1" x14ac:dyDescent="0.25">
      <c r="G933" s="6"/>
    </row>
    <row r="934" spans="7:7" ht="126" customHeight="1" x14ac:dyDescent="0.25">
      <c r="G934" s="6"/>
    </row>
    <row r="935" spans="7:7" ht="126" customHeight="1" x14ac:dyDescent="0.25">
      <c r="G935" s="6"/>
    </row>
    <row r="936" spans="7:7" ht="126" customHeight="1" x14ac:dyDescent="0.25">
      <c r="G936" s="6"/>
    </row>
    <row r="937" spans="7:7" ht="126" customHeight="1" x14ac:dyDescent="0.25">
      <c r="G937" s="6"/>
    </row>
    <row r="938" spans="7:7" ht="126" customHeight="1" x14ac:dyDescent="0.25">
      <c r="G938" s="6"/>
    </row>
    <row r="939" spans="7:7" ht="126" customHeight="1" x14ac:dyDescent="0.25">
      <c r="G939" s="6"/>
    </row>
    <row r="940" spans="7:7" ht="126" customHeight="1" x14ac:dyDescent="0.25">
      <c r="G940" s="6"/>
    </row>
    <row r="941" spans="7:7" ht="126" customHeight="1" x14ac:dyDescent="0.25">
      <c r="G941" s="6"/>
    </row>
    <row r="942" spans="7:7" ht="126" customHeight="1" x14ac:dyDescent="0.25">
      <c r="G942" s="6"/>
    </row>
    <row r="943" spans="7:7" ht="126" customHeight="1" x14ac:dyDescent="0.25">
      <c r="G943" s="6"/>
    </row>
    <row r="944" spans="7:7" ht="126" customHeight="1" x14ac:dyDescent="0.25">
      <c r="G944" s="6"/>
    </row>
    <row r="945" spans="7:7" ht="126" customHeight="1" x14ac:dyDescent="0.25">
      <c r="G945" s="6"/>
    </row>
    <row r="946" spans="7:7" ht="126" customHeight="1" x14ac:dyDescent="0.25">
      <c r="G946" s="6"/>
    </row>
    <row r="947" spans="7:7" ht="126" customHeight="1" x14ac:dyDescent="0.25">
      <c r="G947" s="6"/>
    </row>
    <row r="948" spans="7:7" ht="126" customHeight="1" x14ac:dyDescent="0.25">
      <c r="G948" s="6"/>
    </row>
    <row r="949" spans="7:7" ht="126" customHeight="1" x14ac:dyDescent="0.25">
      <c r="G949" s="6"/>
    </row>
    <row r="950" spans="7:7" ht="126" customHeight="1" x14ac:dyDescent="0.25">
      <c r="G950" s="6"/>
    </row>
    <row r="951" spans="7:7" ht="126" customHeight="1" x14ac:dyDescent="0.25">
      <c r="G951" s="6"/>
    </row>
    <row r="952" spans="7:7" ht="126" customHeight="1" x14ac:dyDescent="0.25">
      <c r="G952" s="6"/>
    </row>
    <row r="953" spans="7:7" ht="126" customHeight="1" x14ac:dyDescent="0.25">
      <c r="G953" s="6"/>
    </row>
    <row r="954" spans="7:7" ht="126" customHeight="1" x14ac:dyDescent="0.25">
      <c r="G954" s="6"/>
    </row>
    <row r="955" spans="7:7" ht="126" customHeight="1" x14ac:dyDescent="0.25">
      <c r="G955" s="6"/>
    </row>
    <row r="956" spans="7:7" ht="126" customHeight="1" x14ac:dyDescent="0.25">
      <c r="G956" s="6"/>
    </row>
    <row r="957" spans="7:7" ht="126" customHeight="1" x14ac:dyDescent="0.25">
      <c r="G957" s="6"/>
    </row>
    <row r="958" spans="7:7" ht="126" customHeight="1" x14ac:dyDescent="0.25">
      <c r="G958" s="6"/>
    </row>
    <row r="959" spans="7:7" ht="126" customHeight="1" x14ac:dyDescent="0.25">
      <c r="G959" s="6"/>
    </row>
    <row r="960" spans="7:7" ht="126" customHeight="1" x14ac:dyDescent="0.25">
      <c r="G960" s="6"/>
    </row>
    <row r="961" spans="7:7" ht="126" customHeight="1" x14ac:dyDescent="0.25">
      <c r="G961" s="6"/>
    </row>
    <row r="962" spans="7:7" ht="126" customHeight="1" x14ac:dyDescent="0.25">
      <c r="G962" s="6"/>
    </row>
    <row r="963" spans="7:7" ht="126" customHeight="1" x14ac:dyDescent="0.25">
      <c r="G963" s="6"/>
    </row>
    <row r="964" spans="7:7" ht="126" customHeight="1" x14ac:dyDescent="0.25">
      <c r="G964" s="6"/>
    </row>
    <row r="965" spans="7:7" ht="126" customHeight="1" x14ac:dyDescent="0.25">
      <c r="G965" s="6"/>
    </row>
    <row r="966" spans="7:7" ht="126" customHeight="1" x14ac:dyDescent="0.25">
      <c r="G966" s="6"/>
    </row>
    <row r="967" spans="7:7" ht="126" customHeight="1" x14ac:dyDescent="0.25">
      <c r="G967" s="6"/>
    </row>
    <row r="968" spans="7:7" ht="126" customHeight="1" x14ac:dyDescent="0.25">
      <c r="G968" s="6"/>
    </row>
    <row r="969" spans="7:7" ht="126" customHeight="1" x14ac:dyDescent="0.25">
      <c r="G969" s="6"/>
    </row>
    <row r="970" spans="7:7" ht="126" customHeight="1" x14ac:dyDescent="0.25">
      <c r="G970" s="6"/>
    </row>
    <row r="971" spans="7:7" ht="126" customHeight="1" x14ac:dyDescent="0.25">
      <c r="G971" s="6"/>
    </row>
  </sheetData>
  <sortState ref="A258:U324">
    <sortCondition descending="1" ref="J258:J324"/>
  </sortState>
  <pageMargins left="0.25" right="0" top="0.5" bottom="0.5" header="0.3" footer="0.3"/>
  <pageSetup paperSize="5" scale="72" orientation="landscape" r:id="rId1"/>
  <headerFooter>
    <oddHeader>&amp;LUpdated:  3/18/15&amp;C2015 Proceeding Status (Master)</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4"/>
  <sheetViews>
    <sheetView topLeftCell="A228" zoomScale="55" zoomScaleNormal="55" workbookViewId="0">
      <selection activeCell="P228" sqref="P228"/>
    </sheetView>
  </sheetViews>
  <sheetFormatPr defaultColWidth="9.140625" defaultRowHeight="15" x14ac:dyDescent="0.25"/>
  <cols>
    <col min="1" max="1" width="11.85546875" style="2" customWidth="1"/>
    <col min="2" max="2" width="27.7109375" style="68" customWidth="1"/>
    <col min="3" max="3" width="15.85546875" style="3" customWidth="1"/>
    <col min="4" max="4" width="14.140625" style="68" customWidth="1"/>
    <col min="5" max="5" width="27.28515625" style="3" customWidth="1"/>
    <col min="6" max="6" width="22.42578125" style="91" customWidth="1"/>
    <col min="7" max="7" width="13.140625" style="2" customWidth="1"/>
    <col min="8" max="8" width="11.28515625" style="2" customWidth="1"/>
    <col min="9" max="9" width="10.7109375" style="4" customWidth="1"/>
    <col min="10" max="10" width="21.85546875" style="5" customWidth="1"/>
    <col min="11" max="11" width="15.42578125" style="3" customWidth="1"/>
    <col min="12" max="12" width="6.140625" style="2" customWidth="1"/>
    <col min="13" max="13" width="38.140625" style="6" customWidth="1"/>
    <col min="14" max="14" width="10.42578125" style="2" customWidth="1"/>
    <col min="15" max="15" width="17.42578125" style="10" customWidth="1"/>
    <col min="16" max="16" width="11.42578125" style="6" customWidth="1"/>
    <col min="17" max="17" width="13.5703125" style="10" customWidth="1"/>
    <col min="18" max="21" width="9.140625" style="5" customWidth="1"/>
    <col min="22" max="16384" width="9.140625" style="5"/>
  </cols>
  <sheetData>
    <row r="1" spans="1:17" ht="129.19999999999999" customHeight="1" x14ac:dyDescent="0.25">
      <c r="A1" s="32" t="s">
        <v>0</v>
      </c>
      <c r="B1" s="33" t="s">
        <v>475</v>
      </c>
      <c r="C1" s="8" t="s">
        <v>478</v>
      </c>
      <c r="D1" s="8" t="s">
        <v>480</v>
      </c>
      <c r="E1" s="8" t="s">
        <v>479</v>
      </c>
      <c r="F1" s="13" t="s">
        <v>1</v>
      </c>
      <c r="G1" s="8" t="s">
        <v>639</v>
      </c>
      <c r="H1" s="9" t="s">
        <v>2</v>
      </c>
      <c r="I1" s="14" t="s">
        <v>3</v>
      </c>
      <c r="J1" s="8" t="s">
        <v>640</v>
      </c>
      <c r="K1" s="8" t="s">
        <v>4</v>
      </c>
      <c r="L1" s="32" t="s">
        <v>818</v>
      </c>
      <c r="M1" s="9" t="s">
        <v>6</v>
      </c>
      <c r="N1" s="32" t="s">
        <v>7</v>
      </c>
      <c r="O1" s="9" t="s">
        <v>8</v>
      </c>
      <c r="P1" s="9" t="s">
        <v>819</v>
      </c>
      <c r="Q1" s="9" t="s">
        <v>9</v>
      </c>
    </row>
    <row r="2" spans="1:17" ht="90" customHeight="1" x14ac:dyDescent="0.25">
      <c r="A2" s="86" t="s">
        <v>309</v>
      </c>
      <c r="B2" s="15">
        <v>39063</v>
      </c>
      <c r="C2" s="16">
        <v>39105</v>
      </c>
      <c r="D2" s="15" t="s">
        <v>476</v>
      </c>
      <c r="E2" s="16">
        <v>39369</v>
      </c>
      <c r="F2" s="63" t="str">
        <f>+"10-OCT-2006"</f>
        <v>10-OCT-2006</v>
      </c>
      <c r="G2" s="47">
        <f t="shared" ref="G2:G65" si="0">DATE(2015, 3, 18)- F2</f>
        <v>3081</v>
      </c>
      <c r="H2" s="67" t="str">
        <f>+""</f>
        <v/>
      </c>
      <c r="I2" s="18"/>
      <c r="J2" s="86"/>
      <c r="K2" s="16"/>
      <c r="L2" s="86" t="s">
        <v>10</v>
      </c>
      <c r="M2" s="86" t="s">
        <v>310</v>
      </c>
      <c r="N2" s="86" t="s">
        <v>13</v>
      </c>
      <c r="O2" s="86" t="s">
        <v>87</v>
      </c>
      <c r="P2" s="86" t="s">
        <v>41</v>
      </c>
      <c r="Q2" s="89" t="s">
        <v>65</v>
      </c>
    </row>
    <row r="3" spans="1:17" ht="90" customHeight="1" x14ac:dyDescent="0.25">
      <c r="A3" s="86" t="s">
        <v>401</v>
      </c>
      <c r="B3" s="15">
        <v>39917</v>
      </c>
      <c r="C3" s="16">
        <v>39819</v>
      </c>
      <c r="D3" s="15" t="s">
        <v>476</v>
      </c>
      <c r="E3" s="16">
        <v>41430</v>
      </c>
      <c r="F3" s="17" t="str">
        <f>+"06-NOV-2008"</f>
        <v>06-NOV-2008</v>
      </c>
      <c r="G3" s="47">
        <f t="shared" si="0"/>
        <v>2323</v>
      </c>
      <c r="H3" s="86" t="str">
        <f>+""</f>
        <v/>
      </c>
      <c r="I3" s="18"/>
      <c r="J3" s="86"/>
      <c r="K3" s="16"/>
      <c r="L3" s="86" t="s">
        <v>19</v>
      </c>
      <c r="M3" s="86" t="s">
        <v>402</v>
      </c>
      <c r="N3" s="86" t="s">
        <v>13</v>
      </c>
      <c r="O3" s="86" t="s">
        <v>14</v>
      </c>
      <c r="P3" s="86" t="s">
        <v>21</v>
      </c>
      <c r="Q3" s="89" t="s">
        <v>490</v>
      </c>
    </row>
    <row r="4" spans="1:17" ht="90" customHeight="1" x14ac:dyDescent="0.25">
      <c r="A4" s="86" t="s">
        <v>403</v>
      </c>
      <c r="B4" s="15">
        <v>41702</v>
      </c>
      <c r="C4" s="16">
        <v>40389</v>
      </c>
      <c r="D4" s="15" t="s">
        <v>476</v>
      </c>
      <c r="E4" s="16" t="s">
        <v>476</v>
      </c>
      <c r="F4" s="63" t="str">
        <f>+"29-JAN-2009"</f>
        <v>29-JAN-2009</v>
      </c>
      <c r="G4" s="47">
        <f t="shared" si="0"/>
        <v>2239</v>
      </c>
      <c r="H4" s="67" t="str">
        <f>+""</f>
        <v/>
      </c>
      <c r="I4" s="18"/>
      <c r="J4" s="86"/>
      <c r="K4" s="16"/>
      <c r="L4" s="86" t="s">
        <v>19</v>
      </c>
      <c r="M4" s="86" t="s">
        <v>404</v>
      </c>
      <c r="N4" s="86" t="s">
        <v>13</v>
      </c>
      <c r="O4" s="86" t="s">
        <v>87</v>
      </c>
      <c r="P4" s="86" t="s">
        <v>36</v>
      </c>
      <c r="Q4" s="89" t="s">
        <v>72</v>
      </c>
    </row>
    <row r="5" spans="1:17" ht="100.5" customHeight="1" x14ac:dyDescent="0.25">
      <c r="A5" s="86" t="s">
        <v>43</v>
      </c>
      <c r="B5" s="15" t="s">
        <v>476</v>
      </c>
      <c r="C5" s="16">
        <v>40045</v>
      </c>
      <c r="D5" s="15" t="s">
        <v>476</v>
      </c>
      <c r="E5" s="16" t="s">
        <v>476</v>
      </c>
      <c r="F5" s="63" t="str">
        <f>+"30-SEP-2009"</f>
        <v>30-SEP-2009</v>
      </c>
      <c r="G5" s="47">
        <f t="shared" si="0"/>
        <v>1995</v>
      </c>
      <c r="H5" s="67" t="str">
        <f>+""</f>
        <v/>
      </c>
      <c r="I5" s="18"/>
      <c r="J5" s="86"/>
      <c r="K5" s="16"/>
      <c r="L5" s="86" t="s">
        <v>10</v>
      </c>
      <c r="M5" s="86" t="s">
        <v>718</v>
      </c>
      <c r="N5" s="86" t="s">
        <v>13</v>
      </c>
      <c r="O5" s="86" t="s">
        <v>14</v>
      </c>
      <c r="P5" s="86" t="s">
        <v>21</v>
      </c>
      <c r="Q5" s="89" t="s">
        <v>22</v>
      </c>
    </row>
    <row r="6" spans="1:17" ht="110.25" customHeight="1" x14ac:dyDescent="0.25">
      <c r="A6" s="86" t="s">
        <v>409</v>
      </c>
      <c r="B6" s="15" t="s">
        <v>476</v>
      </c>
      <c r="C6" s="16" t="s">
        <v>476</v>
      </c>
      <c r="D6" s="15" t="s">
        <v>476</v>
      </c>
      <c r="E6" s="16" t="s">
        <v>476</v>
      </c>
      <c r="F6" s="63" t="str">
        <f>+"03-DEC-2009"</f>
        <v>03-DEC-2009</v>
      </c>
      <c r="G6" s="47">
        <f t="shared" si="0"/>
        <v>1931</v>
      </c>
      <c r="H6" s="67" t="str">
        <f>+""</f>
        <v/>
      </c>
      <c r="I6" s="18"/>
      <c r="J6" s="86"/>
      <c r="K6" s="16"/>
      <c r="L6" s="86" t="s">
        <v>19</v>
      </c>
      <c r="M6" s="86" t="s">
        <v>410</v>
      </c>
      <c r="N6" s="86" t="s">
        <v>13</v>
      </c>
      <c r="O6" s="86" t="s">
        <v>48</v>
      </c>
      <c r="P6" s="86" t="s">
        <v>21</v>
      </c>
      <c r="Q6" s="89" t="s">
        <v>88</v>
      </c>
    </row>
    <row r="7" spans="1:17" ht="111.2" customHeight="1" x14ac:dyDescent="0.25">
      <c r="A7" s="86" t="s">
        <v>316</v>
      </c>
      <c r="B7" s="15">
        <v>40945</v>
      </c>
      <c r="C7" s="16" t="s">
        <v>476</v>
      </c>
      <c r="D7" s="15" t="s">
        <v>476</v>
      </c>
      <c r="E7" s="16" t="s">
        <v>476</v>
      </c>
      <c r="F7" s="63" t="str">
        <f>+"19-JAN-2010"</f>
        <v>19-JAN-2010</v>
      </c>
      <c r="G7" s="47">
        <f t="shared" si="0"/>
        <v>1884</v>
      </c>
      <c r="H7" s="67" t="str">
        <f>+""</f>
        <v/>
      </c>
      <c r="I7" s="18"/>
      <c r="J7" s="86"/>
      <c r="K7" s="16"/>
      <c r="L7" s="86" t="s">
        <v>10</v>
      </c>
      <c r="M7" s="86" t="s">
        <v>317</v>
      </c>
      <c r="N7" s="86" t="s">
        <v>13</v>
      </c>
      <c r="O7" s="86" t="s">
        <v>25</v>
      </c>
      <c r="P7" s="86" t="s">
        <v>652</v>
      </c>
      <c r="Q7" s="89" t="s">
        <v>47</v>
      </c>
    </row>
    <row r="8" spans="1:17" ht="90" customHeight="1" x14ac:dyDescent="0.25">
      <c r="A8" s="59" t="s">
        <v>45</v>
      </c>
      <c r="B8" s="15">
        <v>40354</v>
      </c>
      <c r="C8" s="16">
        <v>40408</v>
      </c>
      <c r="D8" s="15">
        <v>41025</v>
      </c>
      <c r="E8" s="16">
        <v>41067</v>
      </c>
      <c r="F8" s="91" t="str">
        <f>+"26-FEB-2010"</f>
        <v>26-FEB-2010</v>
      </c>
      <c r="G8" s="47">
        <f t="shared" si="0"/>
        <v>1846</v>
      </c>
      <c r="H8" s="27" t="str">
        <f>+""</f>
        <v/>
      </c>
      <c r="I8" s="54"/>
      <c r="J8" s="27"/>
      <c r="K8" s="52"/>
      <c r="L8" s="27" t="s">
        <v>10</v>
      </c>
      <c r="M8" s="27" t="s">
        <v>46</v>
      </c>
      <c r="N8" s="27" t="s">
        <v>13</v>
      </c>
      <c r="O8" s="27" t="s">
        <v>14</v>
      </c>
      <c r="P8" s="27" t="s">
        <v>652</v>
      </c>
      <c r="Q8" s="51" t="s">
        <v>47</v>
      </c>
    </row>
    <row r="9" spans="1:17" ht="90" customHeight="1" x14ac:dyDescent="0.25">
      <c r="A9" s="86" t="s">
        <v>50</v>
      </c>
      <c r="B9" s="15">
        <v>40582</v>
      </c>
      <c r="C9" s="16">
        <v>40946</v>
      </c>
      <c r="D9" s="15" t="s">
        <v>476</v>
      </c>
      <c r="E9" s="16">
        <v>41067</v>
      </c>
      <c r="F9" s="17" t="str">
        <f>+"09-AUG-2010"</f>
        <v>09-AUG-2010</v>
      </c>
      <c r="G9" s="47">
        <f t="shared" si="0"/>
        <v>1682</v>
      </c>
      <c r="H9" s="1" t="str">
        <f>+""</f>
        <v/>
      </c>
      <c r="I9" s="18"/>
      <c r="J9" s="1"/>
      <c r="K9" s="16"/>
      <c r="L9" s="86" t="s">
        <v>10</v>
      </c>
      <c r="M9" s="86" t="s">
        <v>51</v>
      </c>
      <c r="N9" s="86" t="s">
        <v>13</v>
      </c>
      <c r="O9" s="86" t="s">
        <v>14</v>
      </c>
      <c r="P9" s="86" t="s">
        <v>652</v>
      </c>
      <c r="Q9" s="89" t="s">
        <v>47</v>
      </c>
    </row>
    <row r="10" spans="1:17" ht="90" customHeight="1" x14ac:dyDescent="0.25">
      <c r="A10" s="86" t="s">
        <v>52</v>
      </c>
      <c r="B10" s="15">
        <v>41912</v>
      </c>
      <c r="C10" s="16">
        <v>41044</v>
      </c>
      <c r="D10" s="15">
        <v>41947</v>
      </c>
      <c r="E10" s="16" t="s">
        <v>476</v>
      </c>
      <c r="F10" s="17" t="str">
        <f>+"30-AUG-2010"</f>
        <v>30-AUG-2010</v>
      </c>
      <c r="G10" s="47">
        <f t="shared" si="0"/>
        <v>1661</v>
      </c>
      <c r="H10" s="86" t="str">
        <f>+""</f>
        <v/>
      </c>
      <c r="I10" s="18"/>
      <c r="J10" s="86"/>
      <c r="K10" s="16"/>
      <c r="L10" s="86" t="s">
        <v>10</v>
      </c>
      <c r="M10" s="86" t="s">
        <v>53</v>
      </c>
      <c r="N10" s="86" t="s">
        <v>13</v>
      </c>
      <c r="O10" s="86" t="s">
        <v>14</v>
      </c>
      <c r="P10" s="86" t="s">
        <v>21</v>
      </c>
      <c r="Q10" s="89" t="s">
        <v>54</v>
      </c>
    </row>
    <row r="11" spans="1:17" ht="90" customHeight="1" x14ac:dyDescent="0.25">
      <c r="A11" s="86" t="s">
        <v>320</v>
      </c>
      <c r="B11" s="15">
        <v>41004</v>
      </c>
      <c r="C11" s="16" t="s">
        <v>476</v>
      </c>
      <c r="D11" s="15" t="s">
        <v>476</v>
      </c>
      <c r="E11" s="16" t="s">
        <v>476</v>
      </c>
      <c r="F11" s="17" t="str">
        <f>+"13-OCT-2010"</f>
        <v>13-OCT-2010</v>
      </c>
      <c r="G11" s="47">
        <f t="shared" si="0"/>
        <v>1617</v>
      </c>
      <c r="H11" s="86" t="str">
        <f>+""</f>
        <v/>
      </c>
      <c r="I11" s="18"/>
      <c r="J11" s="86"/>
      <c r="K11" s="16"/>
      <c r="L11" s="86" t="s">
        <v>10</v>
      </c>
      <c r="M11" s="86" t="s">
        <v>321</v>
      </c>
      <c r="N11" s="86" t="s">
        <v>13</v>
      </c>
      <c r="O11" s="86" t="s">
        <v>14</v>
      </c>
      <c r="P11" s="86" t="s">
        <v>21</v>
      </c>
      <c r="Q11" s="89" t="s">
        <v>47</v>
      </c>
    </row>
    <row r="12" spans="1:17" ht="90" customHeight="1" x14ac:dyDescent="0.25">
      <c r="A12" s="86" t="s">
        <v>55</v>
      </c>
      <c r="B12" s="15" t="s">
        <v>476</v>
      </c>
      <c r="C12" s="16" t="s">
        <v>476</v>
      </c>
      <c r="D12" s="15" t="s">
        <v>476</v>
      </c>
      <c r="E12" s="16" t="s">
        <v>476</v>
      </c>
      <c r="F12" s="17" t="str">
        <f>+"03-NOV-2010"</f>
        <v>03-NOV-2010</v>
      </c>
      <c r="G12" s="47">
        <f t="shared" si="0"/>
        <v>1596</v>
      </c>
      <c r="H12" s="1" t="str">
        <f>+""</f>
        <v/>
      </c>
      <c r="I12" s="18"/>
      <c r="J12" s="1"/>
      <c r="K12" s="16"/>
      <c r="L12" s="86" t="s">
        <v>19</v>
      </c>
      <c r="M12" s="86" t="s">
        <v>719</v>
      </c>
      <c r="N12" s="86" t="s">
        <v>13</v>
      </c>
      <c r="O12" s="86" t="s">
        <v>25</v>
      </c>
      <c r="P12" s="86" t="s">
        <v>652</v>
      </c>
      <c r="Q12" s="89" t="s">
        <v>57</v>
      </c>
    </row>
    <row r="13" spans="1:17" ht="90" customHeight="1" x14ac:dyDescent="0.25">
      <c r="A13" s="86" t="s">
        <v>322</v>
      </c>
      <c r="B13" s="15">
        <v>41933</v>
      </c>
      <c r="C13" s="16">
        <v>41955</v>
      </c>
      <c r="D13" s="15" t="s">
        <v>476</v>
      </c>
      <c r="E13" s="16">
        <v>40917</v>
      </c>
      <c r="F13" s="17" t="str">
        <f>+"03-DEC-2010"</f>
        <v>03-DEC-2010</v>
      </c>
      <c r="G13" s="47">
        <f t="shared" si="0"/>
        <v>1566</v>
      </c>
      <c r="H13" s="86" t="str">
        <f>+""</f>
        <v/>
      </c>
      <c r="I13" s="18"/>
      <c r="J13" s="86"/>
      <c r="K13" s="16"/>
      <c r="L13" s="86" t="s">
        <v>10</v>
      </c>
      <c r="M13" s="86" t="s">
        <v>323</v>
      </c>
      <c r="N13" s="86" t="s">
        <v>13</v>
      </c>
      <c r="O13" s="86" t="s">
        <v>25</v>
      </c>
      <c r="P13" s="86" t="s">
        <v>15</v>
      </c>
      <c r="Q13" s="89" t="s">
        <v>802</v>
      </c>
    </row>
    <row r="14" spans="1:17" ht="90" customHeight="1" x14ac:dyDescent="0.25">
      <c r="A14" s="86" t="s">
        <v>63</v>
      </c>
      <c r="B14" s="15">
        <v>40640</v>
      </c>
      <c r="C14" s="16">
        <v>40771</v>
      </c>
      <c r="D14" s="15">
        <v>40967</v>
      </c>
      <c r="E14" s="16">
        <v>41003</v>
      </c>
      <c r="F14" s="17" t="str">
        <f>+"15-FEB-2011"</f>
        <v>15-FEB-2011</v>
      </c>
      <c r="G14" s="47">
        <f t="shared" si="0"/>
        <v>1492</v>
      </c>
      <c r="H14" s="86" t="str">
        <f>+""</f>
        <v/>
      </c>
      <c r="I14" s="18"/>
      <c r="J14" s="86"/>
      <c r="K14" s="16">
        <v>41512</v>
      </c>
      <c r="L14" s="86" t="s">
        <v>10</v>
      </c>
      <c r="M14" s="86" t="s">
        <v>64</v>
      </c>
      <c r="N14" s="86" t="s">
        <v>13</v>
      </c>
      <c r="O14" s="86" t="s">
        <v>14</v>
      </c>
      <c r="P14" s="86" t="s">
        <v>21</v>
      </c>
      <c r="Q14" s="89" t="s">
        <v>493</v>
      </c>
    </row>
    <row r="15" spans="1:17" ht="90" customHeight="1" x14ac:dyDescent="0.25">
      <c r="A15" s="86" t="s">
        <v>324</v>
      </c>
      <c r="B15" s="15">
        <v>41933</v>
      </c>
      <c r="C15" s="16">
        <v>41955</v>
      </c>
      <c r="D15" s="15" t="s">
        <v>476</v>
      </c>
      <c r="E15" s="16">
        <v>40917</v>
      </c>
      <c r="F15" s="16" t="str">
        <f>+"17-FEB-2011"</f>
        <v>17-FEB-2011</v>
      </c>
      <c r="G15" s="47">
        <f t="shared" si="0"/>
        <v>1490</v>
      </c>
      <c r="H15" s="16" t="str">
        <f>+""</f>
        <v/>
      </c>
      <c r="I15" s="18"/>
      <c r="J15" s="86"/>
      <c r="K15" s="16"/>
      <c r="L15" s="86" t="s">
        <v>10</v>
      </c>
      <c r="M15" s="1" t="s">
        <v>325</v>
      </c>
      <c r="N15" s="1" t="s">
        <v>13</v>
      </c>
      <c r="O15" s="1" t="s">
        <v>25</v>
      </c>
      <c r="P15" s="1" t="s">
        <v>15</v>
      </c>
      <c r="Q15" s="89" t="s">
        <v>494</v>
      </c>
    </row>
    <row r="16" spans="1:17" ht="90" customHeight="1" x14ac:dyDescent="0.25">
      <c r="A16" s="86" t="s">
        <v>366</v>
      </c>
      <c r="B16" s="15">
        <v>40619</v>
      </c>
      <c r="C16" s="16">
        <v>40868</v>
      </c>
      <c r="D16" s="15">
        <v>41296</v>
      </c>
      <c r="E16" s="16">
        <v>41514</v>
      </c>
      <c r="F16" s="17" t="str">
        <f>+"24-FEB-2011"</f>
        <v>24-FEB-2011</v>
      </c>
      <c r="G16" s="47">
        <f t="shared" si="0"/>
        <v>1483</v>
      </c>
      <c r="H16" s="86" t="str">
        <f>+""</f>
        <v/>
      </c>
      <c r="I16" s="18"/>
      <c r="J16" s="86"/>
      <c r="K16" s="16"/>
      <c r="L16" s="86" t="s">
        <v>10</v>
      </c>
      <c r="M16" s="1" t="s">
        <v>367</v>
      </c>
      <c r="N16" s="1" t="s">
        <v>13</v>
      </c>
      <c r="O16" s="1" t="s">
        <v>59</v>
      </c>
      <c r="P16" s="1" t="s">
        <v>41</v>
      </c>
      <c r="Q16" s="89" t="s">
        <v>66</v>
      </c>
    </row>
    <row r="17" spans="1:17" ht="90" customHeight="1" x14ac:dyDescent="0.25">
      <c r="A17" s="86" t="s">
        <v>413</v>
      </c>
      <c r="B17" s="15">
        <v>40696</v>
      </c>
      <c r="C17" s="16">
        <v>40710</v>
      </c>
      <c r="D17" s="15">
        <v>41624</v>
      </c>
      <c r="E17" s="16">
        <v>41670</v>
      </c>
      <c r="F17" s="17" t="str">
        <f>+"24-FEB-2011"</f>
        <v>24-FEB-2011</v>
      </c>
      <c r="G17" s="47">
        <f t="shared" si="0"/>
        <v>1483</v>
      </c>
      <c r="H17" s="86" t="str">
        <f>+""</f>
        <v/>
      </c>
      <c r="I17" s="18"/>
      <c r="J17" s="86"/>
      <c r="K17" s="16">
        <v>41670</v>
      </c>
      <c r="L17" s="86" t="s">
        <v>10</v>
      </c>
      <c r="M17" s="1" t="s">
        <v>414</v>
      </c>
      <c r="N17" s="1" t="s">
        <v>13</v>
      </c>
      <c r="O17" s="1" t="s">
        <v>59</v>
      </c>
      <c r="P17" s="1" t="s">
        <v>21</v>
      </c>
      <c r="Q17" s="89" t="s">
        <v>494</v>
      </c>
    </row>
    <row r="18" spans="1:17" ht="90" customHeight="1" x14ac:dyDescent="0.25">
      <c r="A18" s="86" t="s">
        <v>415</v>
      </c>
      <c r="B18" s="15">
        <v>40696</v>
      </c>
      <c r="C18" s="16">
        <v>40787</v>
      </c>
      <c r="D18" s="15" t="s">
        <v>476</v>
      </c>
      <c r="E18" s="16" t="s">
        <v>476</v>
      </c>
      <c r="F18" s="17" t="str">
        <f>+"24-MAR-2011"</f>
        <v>24-MAR-2011</v>
      </c>
      <c r="G18" s="47">
        <f t="shared" si="0"/>
        <v>1455</v>
      </c>
      <c r="H18" s="86" t="str">
        <f>+""</f>
        <v/>
      </c>
      <c r="I18" s="18"/>
      <c r="J18" s="86"/>
      <c r="K18" s="16"/>
      <c r="L18" s="86" t="s">
        <v>19</v>
      </c>
      <c r="M18" s="1" t="s">
        <v>416</v>
      </c>
      <c r="N18" s="1" t="s">
        <v>13</v>
      </c>
      <c r="O18" s="1" t="s">
        <v>14</v>
      </c>
      <c r="P18" s="1" t="s">
        <v>36</v>
      </c>
      <c r="Q18" s="89" t="s">
        <v>190</v>
      </c>
    </row>
    <row r="19" spans="1:17" ht="90" customHeight="1" x14ac:dyDescent="0.25">
      <c r="A19" s="86" t="s">
        <v>417</v>
      </c>
      <c r="B19" s="15" t="s">
        <v>476</v>
      </c>
      <c r="C19" s="16">
        <v>41374</v>
      </c>
      <c r="D19" s="15" t="s">
        <v>476</v>
      </c>
      <c r="E19" s="16" t="s">
        <v>476</v>
      </c>
      <c r="F19" s="17" t="str">
        <f>+"24-MAR-2011"</f>
        <v>24-MAR-2011</v>
      </c>
      <c r="G19" s="47">
        <f t="shared" si="0"/>
        <v>1455</v>
      </c>
      <c r="H19" s="86" t="str">
        <f>+""</f>
        <v/>
      </c>
      <c r="I19" s="18"/>
      <c r="J19" s="86"/>
      <c r="K19" s="16"/>
      <c r="L19" s="86" t="s">
        <v>19</v>
      </c>
      <c r="M19" s="1" t="s">
        <v>418</v>
      </c>
      <c r="N19" s="1" t="s">
        <v>13</v>
      </c>
      <c r="O19" s="1" t="s">
        <v>25</v>
      </c>
      <c r="P19" s="1" t="s">
        <v>41</v>
      </c>
      <c r="Q19" s="89" t="s">
        <v>419</v>
      </c>
    </row>
    <row r="20" spans="1:17" ht="109.5" customHeight="1" x14ac:dyDescent="0.25">
      <c r="A20" s="86" t="s">
        <v>67</v>
      </c>
      <c r="B20" s="15">
        <v>40711</v>
      </c>
      <c r="C20" s="16">
        <v>40772</v>
      </c>
      <c r="D20" s="15">
        <v>40926</v>
      </c>
      <c r="E20" s="16">
        <v>40954</v>
      </c>
      <c r="F20" s="17" t="str">
        <f>+"01-APR-2011"</f>
        <v>01-APR-2011</v>
      </c>
      <c r="G20" s="47">
        <f t="shared" si="0"/>
        <v>1447</v>
      </c>
      <c r="H20" s="86" t="str">
        <f>+""</f>
        <v/>
      </c>
      <c r="I20" s="18"/>
      <c r="J20" s="86"/>
      <c r="K20" s="16">
        <v>41466</v>
      </c>
      <c r="L20" s="86" t="s">
        <v>10</v>
      </c>
      <c r="M20" s="1" t="s">
        <v>68</v>
      </c>
      <c r="N20" s="1" t="s">
        <v>13</v>
      </c>
      <c r="O20" s="1" t="s">
        <v>14</v>
      </c>
      <c r="P20" s="1" t="s">
        <v>21</v>
      </c>
      <c r="Q20" s="89" t="s">
        <v>493</v>
      </c>
    </row>
    <row r="21" spans="1:17" ht="90" customHeight="1" x14ac:dyDescent="0.25">
      <c r="A21" s="86" t="s">
        <v>69</v>
      </c>
      <c r="B21" s="15">
        <v>40732</v>
      </c>
      <c r="C21" s="16">
        <v>40767</v>
      </c>
      <c r="D21" s="15">
        <v>41116</v>
      </c>
      <c r="E21" s="16">
        <v>41571</v>
      </c>
      <c r="F21" s="17" t="str">
        <f>+"15-APR-2011"</f>
        <v>15-APR-2011</v>
      </c>
      <c r="G21" s="47">
        <f t="shared" si="0"/>
        <v>1433</v>
      </c>
      <c r="H21" s="1" t="str">
        <f>+""</f>
        <v/>
      </c>
      <c r="I21" s="18"/>
      <c r="J21" s="1"/>
      <c r="K21" s="16"/>
      <c r="L21" s="86" t="s">
        <v>10</v>
      </c>
      <c r="M21" s="1" t="s">
        <v>70</v>
      </c>
      <c r="N21" s="1" t="s">
        <v>13</v>
      </c>
      <c r="O21" s="1" t="s">
        <v>17</v>
      </c>
      <c r="P21" s="1" t="s">
        <v>41</v>
      </c>
      <c r="Q21" s="89" t="s">
        <v>646</v>
      </c>
    </row>
    <row r="22" spans="1:17" ht="90" customHeight="1" x14ac:dyDescent="0.25">
      <c r="A22" s="86" t="s">
        <v>420</v>
      </c>
      <c r="B22" s="15">
        <v>40707</v>
      </c>
      <c r="C22" s="16">
        <v>40732</v>
      </c>
      <c r="D22" s="15" t="s">
        <v>476</v>
      </c>
      <c r="E22" s="16" t="s">
        <v>476</v>
      </c>
      <c r="F22" s="17" t="str">
        <f>+"05-MAY-2011"</f>
        <v>05-MAY-2011</v>
      </c>
      <c r="G22" s="47">
        <f t="shared" si="0"/>
        <v>1413</v>
      </c>
      <c r="H22" s="86" t="str">
        <f>+""</f>
        <v/>
      </c>
      <c r="I22" s="18"/>
      <c r="J22" s="86"/>
      <c r="K22" s="16">
        <v>41767</v>
      </c>
      <c r="L22" s="86" t="s">
        <v>10</v>
      </c>
      <c r="M22" s="1" t="s">
        <v>421</v>
      </c>
      <c r="N22" s="1" t="s">
        <v>13</v>
      </c>
      <c r="O22" s="1" t="s">
        <v>14</v>
      </c>
      <c r="P22" s="1" t="s">
        <v>36</v>
      </c>
      <c r="Q22" s="89" t="s">
        <v>669</v>
      </c>
    </row>
    <row r="23" spans="1:17" ht="134.44999999999999" customHeight="1" x14ac:dyDescent="0.25">
      <c r="A23" s="86" t="s">
        <v>368</v>
      </c>
      <c r="B23" s="15">
        <v>40807</v>
      </c>
      <c r="C23" s="16">
        <v>40815</v>
      </c>
      <c r="D23" s="15" t="s">
        <v>476</v>
      </c>
      <c r="E23" s="16" t="s">
        <v>476</v>
      </c>
      <c r="F23" s="17" t="str">
        <f>+"26-MAY-2011"</f>
        <v>26-MAY-2011</v>
      </c>
      <c r="G23" s="47">
        <f t="shared" si="0"/>
        <v>1392</v>
      </c>
      <c r="H23" s="1" t="str">
        <f>+""</f>
        <v/>
      </c>
      <c r="I23" s="18"/>
      <c r="J23" s="1"/>
      <c r="K23" s="16"/>
      <c r="L23" s="86" t="s">
        <v>19</v>
      </c>
      <c r="M23" s="1" t="s">
        <v>369</v>
      </c>
      <c r="N23" s="1" t="s">
        <v>13</v>
      </c>
      <c r="O23" s="86" t="s">
        <v>25</v>
      </c>
      <c r="P23" s="11" t="s">
        <v>15</v>
      </c>
      <c r="Q23" s="89" t="s">
        <v>33</v>
      </c>
    </row>
    <row r="24" spans="1:17" ht="90" customHeight="1" x14ac:dyDescent="0.25">
      <c r="A24" s="86" t="s">
        <v>75</v>
      </c>
      <c r="B24" s="15">
        <v>40758</v>
      </c>
      <c r="C24" s="16">
        <v>40877</v>
      </c>
      <c r="D24" s="15">
        <v>40974</v>
      </c>
      <c r="E24" s="16">
        <v>41047</v>
      </c>
      <c r="F24" s="17" t="str">
        <f>+"01-JUN-2011"</f>
        <v>01-JUN-2011</v>
      </c>
      <c r="G24" s="47">
        <f t="shared" si="0"/>
        <v>1386</v>
      </c>
      <c r="H24" s="86" t="str">
        <f>+""</f>
        <v/>
      </c>
      <c r="I24" s="18"/>
      <c r="J24" s="86"/>
      <c r="K24" s="16">
        <v>41047</v>
      </c>
      <c r="L24" s="86" t="s">
        <v>10</v>
      </c>
      <c r="M24" s="1" t="s">
        <v>76</v>
      </c>
      <c r="N24" s="1" t="s">
        <v>13</v>
      </c>
      <c r="O24" s="1" t="s">
        <v>14</v>
      </c>
      <c r="P24" s="1" t="s">
        <v>21</v>
      </c>
      <c r="Q24" s="89" t="s">
        <v>47</v>
      </c>
    </row>
    <row r="25" spans="1:17" ht="90" customHeight="1" x14ac:dyDescent="0.25">
      <c r="A25" s="86" t="s">
        <v>85</v>
      </c>
      <c r="B25" s="15" t="s">
        <v>476</v>
      </c>
      <c r="C25" s="16" t="s">
        <v>476</v>
      </c>
      <c r="D25" s="15" t="s">
        <v>476</v>
      </c>
      <c r="E25" s="16" t="s">
        <v>476</v>
      </c>
      <c r="F25" s="17" t="str">
        <f>+"18-JUL-2011"</f>
        <v>18-JUL-2011</v>
      </c>
      <c r="G25" s="47">
        <f t="shared" si="0"/>
        <v>1339</v>
      </c>
      <c r="H25" s="86" t="str">
        <f>+""</f>
        <v/>
      </c>
      <c r="I25" s="18"/>
      <c r="J25" s="86"/>
      <c r="K25" s="16"/>
      <c r="L25" s="86" t="s">
        <v>10</v>
      </c>
      <c r="M25" s="1" t="s">
        <v>86</v>
      </c>
      <c r="N25" s="1" t="s">
        <v>13</v>
      </c>
      <c r="O25" s="1" t="s">
        <v>14</v>
      </c>
      <c r="P25" s="1" t="s">
        <v>652</v>
      </c>
      <c r="Q25" s="89" t="s">
        <v>66</v>
      </c>
    </row>
    <row r="26" spans="1:17" ht="90" customHeight="1" x14ac:dyDescent="0.25">
      <c r="A26" s="86" t="s">
        <v>422</v>
      </c>
      <c r="B26" s="15">
        <v>41914</v>
      </c>
      <c r="C26" s="16">
        <v>41772</v>
      </c>
      <c r="D26" s="15" t="s">
        <v>476</v>
      </c>
      <c r="E26" s="16" t="s">
        <v>476</v>
      </c>
      <c r="F26" s="17" t="str">
        <f>+"22-SEP-2011"</f>
        <v>22-SEP-2011</v>
      </c>
      <c r="G26" s="47">
        <f t="shared" si="0"/>
        <v>1273</v>
      </c>
      <c r="H26" s="86" t="str">
        <f>+""</f>
        <v/>
      </c>
      <c r="I26" s="18"/>
      <c r="J26" s="86"/>
      <c r="K26" s="16"/>
      <c r="L26" s="86" t="s">
        <v>10</v>
      </c>
      <c r="M26" s="1" t="s">
        <v>423</v>
      </c>
      <c r="N26" s="1" t="s">
        <v>13</v>
      </c>
      <c r="O26" s="1" t="s">
        <v>14</v>
      </c>
      <c r="P26" s="1" t="s">
        <v>41</v>
      </c>
      <c r="Q26" s="89" t="s">
        <v>209</v>
      </c>
    </row>
    <row r="27" spans="1:17" ht="114" customHeight="1" x14ac:dyDescent="0.25">
      <c r="A27" s="86" t="s">
        <v>370</v>
      </c>
      <c r="B27" s="15">
        <v>40942</v>
      </c>
      <c r="C27" s="16">
        <v>41025</v>
      </c>
      <c r="D27" s="15">
        <v>41289</v>
      </c>
      <c r="E27" s="16">
        <v>41514</v>
      </c>
      <c r="F27" s="17" t="str">
        <f>+"10-NOV-2011"</f>
        <v>10-NOV-2011</v>
      </c>
      <c r="G27" s="47">
        <f t="shared" si="0"/>
        <v>1224</v>
      </c>
      <c r="H27" s="86" t="str">
        <f>+""</f>
        <v/>
      </c>
      <c r="I27" s="18"/>
      <c r="J27" s="86"/>
      <c r="K27" s="16"/>
      <c r="L27" s="86" t="s">
        <v>10</v>
      </c>
      <c r="M27" s="1" t="s">
        <v>371</v>
      </c>
      <c r="N27" s="86" t="s">
        <v>13</v>
      </c>
      <c r="O27" s="86" t="s">
        <v>59</v>
      </c>
      <c r="P27" s="1" t="s">
        <v>41</v>
      </c>
      <c r="Q27" s="89" t="s">
        <v>66</v>
      </c>
    </row>
    <row r="28" spans="1:17" ht="90" customHeight="1" x14ac:dyDescent="0.25">
      <c r="A28" s="86" t="s">
        <v>424</v>
      </c>
      <c r="B28" s="15">
        <v>41064</v>
      </c>
      <c r="C28" s="16">
        <v>41416</v>
      </c>
      <c r="D28" s="15">
        <v>41884</v>
      </c>
      <c r="E28" s="16">
        <v>41908</v>
      </c>
      <c r="F28" s="17" t="str">
        <f>+"10-NOV-2011"</f>
        <v>10-NOV-2011</v>
      </c>
      <c r="G28" s="47">
        <f t="shared" si="0"/>
        <v>1224</v>
      </c>
      <c r="H28" s="86" t="str">
        <f>+""</f>
        <v/>
      </c>
      <c r="I28" s="18"/>
      <c r="J28" s="86"/>
      <c r="K28" s="16"/>
      <c r="L28" s="86" t="s">
        <v>10</v>
      </c>
      <c r="M28" s="1" t="s">
        <v>425</v>
      </c>
      <c r="N28" s="1" t="s">
        <v>13</v>
      </c>
      <c r="O28" s="1" t="s">
        <v>25</v>
      </c>
      <c r="P28" s="1" t="s">
        <v>15</v>
      </c>
      <c r="Q28" s="89" t="s">
        <v>495</v>
      </c>
    </row>
    <row r="29" spans="1:17" ht="99.2" customHeight="1" x14ac:dyDescent="0.25">
      <c r="A29" s="86" t="s">
        <v>426</v>
      </c>
      <c r="B29" s="15">
        <v>41052</v>
      </c>
      <c r="C29" s="16">
        <v>41080</v>
      </c>
      <c r="D29" s="15" t="s">
        <v>476</v>
      </c>
      <c r="E29" s="16" t="s">
        <v>476</v>
      </c>
      <c r="F29" s="17" t="str">
        <f>+"10-NOV-2011"</f>
        <v>10-NOV-2011</v>
      </c>
      <c r="G29" s="47">
        <f t="shared" si="0"/>
        <v>1224</v>
      </c>
      <c r="H29" s="86" t="str">
        <f>+""</f>
        <v/>
      </c>
      <c r="I29" s="18"/>
      <c r="J29" s="86"/>
      <c r="K29" s="16"/>
      <c r="L29" s="86" t="s">
        <v>19</v>
      </c>
      <c r="M29" s="1" t="s">
        <v>427</v>
      </c>
      <c r="N29" s="1" t="s">
        <v>13</v>
      </c>
      <c r="O29" s="1" t="s">
        <v>17</v>
      </c>
      <c r="P29" s="1" t="s">
        <v>15</v>
      </c>
      <c r="Q29" s="89" t="s">
        <v>428</v>
      </c>
    </row>
    <row r="30" spans="1:17" ht="96.4" customHeight="1" x14ac:dyDescent="0.25">
      <c r="A30" s="86" t="s">
        <v>429</v>
      </c>
      <c r="B30" s="15">
        <v>40994</v>
      </c>
      <c r="C30" s="16">
        <v>41176</v>
      </c>
      <c r="D30" s="15" t="s">
        <v>476</v>
      </c>
      <c r="E30" s="16" t="s">
        <v>476</v>
      </c>
      <c r="F30" s="17" t="str">
        <f>+"01-DEC-2011"</f>
        <v>01-DEC-2011</v>
      </c>
      <c r="G30" s="47">
        <f t="shared" si="0"/>
        <v>1203</v>
      </c>
      <c r="H30" s="1" t="str">
        <f>+""</f>
        <v/>
      </c>
      <c r="I30" s="18"/>
      <c r="J30" s="1"/>
      <c r="K30" s="16"/>
      <c r="L30" s="86" t="s">
        <v>10</v>
      </c>
      <c r="M30" s="1" t="s">
        <v>430</v>
      </c>
      <c r="N30" s="1" t="s">
        <v>13</v>
      </c>
      <c r="O30" s="1" t="s">
        <v>25</v>
      </c>
      <c r="P30" s="1" t="s">
        <v>41</v>
      </c>
      <c r="Q30" s="7" t="s">
        <v>209</v>
      </c>
    </row>
    <row r="31" spans="1:17" ht="90" customHeight="1" x14ac:dyDescent="0.25">
      <c r="A31" s="86" t="s">
        <v>91</v>
      </c>
      <c r="B31" s="15">
        <v>40988</v>
      </c>
      <c r="C31" s="16">
        <v>41075</v>
      </c>
      <c r="D31" s="15" t="s">
        <v>476</v>
      </c>
      <c r="E31" s="16" t="s">
        <v>476</v>
      </c>
      <c r="F31" s="17" t="str">
        <f>+"28-DEC-2011"</f>
        <v>28-DEC-2011</v>
      </c>
      <c r="G31" s="47">
        <f t="shared" si="0"/>
        <v>1176</v>
      </c>
      <c r="H31" s="86" t="str">
        <f>+""</f>
        <v/>
      </c>
      <c r="I31" s="18"/>
      <c r="J31" s="86"/>
      <c r="K31" s="16"/>
      <c r="L31" s="86" t="s">
        <v>10</v>
      </c>
      <c r="M31" s="1" t="s">
        <v>92</v>
      </c>
      <c r="N31" s="86" t="s">
        <v>13</v>
      </c>
      <c r="O31" s="86" t="s">
        <v>25</v>
      </c>
      <c r="P31" s="1" t="s">
        <v>21</v>
      </c>
      <c r="Q31" s="89" t="s">
        <v>496</v>
      </c>
    </row>
    <row r="32" spans="1:17" ht="123.6" customHeight="1" x14ac:dyDescent="0.25">
      <c r="A32" s="86" t="s">
        <v>372</v>
      </c>
      <c r="B32" s="15">
        <v>40953</v>
      </c>
      <c r="C32" s="16">
        <v>40981</v>
      </c>
      <c r="D32" s="15">
        <v>41289</v>
      </c>
      <c r="E32" s="16">
        <v>41514</v>
      </c>
      <c r="F32" s="17" t="str">
        <f>+"12-JAN-2012"</f>
        <v>12-JAN-2012</v>
      </c>
      <c r="G32" s="47">
        <f t="shared" si="0"/>
        <v>1161</v>
      </c>
      <c r="H32" s="1" t="str">
        <f>+""</f>
        <v/>
      </c>
      <c r="I32" s="18"/>
      <c r="J32" s="1"/>
      <c r="K32" s="16"/>
      <c r="L32" s="86" t="s">
        <v>10</v>
      </c>
      <c r="M32" s="1" t="s">
        <v>373</v>
      </c>
      <c r="N32" s="86" t="s">
        <v>13</v>
      </c>
      <c r="O32" s="86" t="s">
        <v>59</v>
      </c>
      <c r="P32" s="1" t="s">
        <v>41</v>
      </c>
      <c r="Q32" s="89" t="s">
        <v>374</v>
      </c>
    </row>
    <row r="33" spans="1:17" ht="90" customHeight="1" x14ac:dyDescent="0.25">
      <c r="A33" s="86" t="s">
        <v>93</v>
      </c>
      <c r="B33" s="15">
        <v>41187</v>
      </c>
      <c r="C33" s="16">
        <v>41214</v>
      </c>
      <c r="D33" s="15">
        <v>41675</v>
      </c>
      <c r="E33" s="16">
        <v>41775</v>
      </c>
      <c r="F33" s="17" t="str">
        <f>+"17-JAN-2012"</f>
        <v>17-JAN-2012</v>
      </c>
      <c r="G33" s="47">
        <f t="shared" si="0"/>
        <v>1156</v>
      </c>
      <c r="H33" s="86" t="str">
        <f>+""</f>
        <v/>
      </c>
      <c r="I33" s="18"/>
      <c r="J33" s="86"/>
      <c r="K33" s="16"/>
      <c r="L33" s="86" t="s">
        <v>10</v>
      </c>
      <c r="M33" s="1" t="s">
        <v>94</v>
      </c>
      <c r="N33" s="86" t="s">
        <v>13</v>
      </c>
      <c r="O33" s="86" t="s">
        <v>14</v>
      </c>
      <c r="P33" s="1" t="s">
        <v>41</v>
      </c>
      <c r="Q33" s="89" t="s">
        <v>541</v>
      </c>
    </row>
    <row r="34" spans="1:17" ht="90" customHeight="1" x14ac:dyDescent="0.25">
      <c r="A34" s="86" t="s">
        <v>95</v>
      </c>
      <c r="B34" s="15">
        <v>41436</v>
      </c>
      <c r="C34" s="16" t="s">
        <v>476</v>
      </c>
      <c r="D34" s="15">
        <v>41985</v>
      </c>
      <c r="E34" s="16" t="s">
        <v>476</v>
      </c>
      <c r="F34" s="17" t="str">
        <f>+"25-JAN-2012"</f>
        <v>25-JAN-2012</v>
      </c>
      <c r="G34" s="47">
        <f t="shared" si="0"/>
        <v>1148</v>
      </c>
      <c r="H34" s="86" t="str">
        <f>+""</f>
        <v/>
      </c>
      <c r="I34" s="18"/>
      <c r="J34" s="86"/>
      <c r="K34" s="16"/>
      <c r="L34" s="86" t="s">
        <v>10</v>
      </c>
      <c r="M34" s="1" t="s">
        <v>96</v>
      </c>
      <c r="N34" s="86" t="s">
        <v>13</v>
      </c>
      <c r="O34" s="86" t="s">
        <v>14</v>
      </c>
      <c r="P34" s="1" t="s">
        <v>652</v>
      </c>
      <c r="Q34" s="89" t="s">
        <v>97</v>
      </c>
    </row>
    <row r="35" spans="1:17" ht="90" customHeight="1" x14ac:dyDescent="0.25">
      <c r="A35" s="86" t="s">
        <v>98</v>
      </c>
      <c r="B35" s="15" t="s">
        <v>476</v>
      </c>
      <c r="C35" s="16" t="s">
        <v>476</v>
      </c>
      <c r="D35" s="15" t="s">
        <v>476</v>
      </c>
      <c r="E35" s="16" t="s">
        <v>476</v>
      </c>
      <c r="F35" s="17" t="str">
        <f>+"31-JAN-2012"</f>
        <v>31-JAN-2012</v>
      </c>
      <c r="G35" s="47">
        <f t="shared" si="0"/>
        <v>1142</v>
      </c>
      <c r="H35" s="86" t="str">
        <f>+""</f>
        <v/>
      </c>
      <c r="I35" s="18"/>
      <c r="J35" s="86"/>
      <c r="K35" s="16"/>
      <c r="L35" s="86" t="s">
        <v>10</v>
      </c>
      <c r="M35" s="1" t="s">
        <v>99</v>
      </c>
      <c r="N35" s="86" t="s">
        <v>13</v>
      </c>
      <c r="O35" s="86" t="s">
        <v>14</v>
      </c>
      <c r="P35" s="1" t="s">
        <v>21</v>
      </c>
      <c r="Q35" s="89" t="s">
        <v>47</v>
      </c>
    </row>
    <row r="36" spans="1:17" ht="90" customHeight="1" x14ac:dyDescent="0.25">
      <c r="A36" s="1" t="s">
        <v>326</v>
      </c>
      <c r="B36" s="15">
        <v>41163</v>
      </c>
      <c r="C36" s="16">
        <v>41319</v>
      </c>
      <c r="D36" s="15" t="s">
        <v>476</v>
      </c>
      <c r="E36" s="16" t="s">
        <v>476</v>
      </c>
      <c r="F36" s="17" t="str">
        <f>+"14-MAR-2012"</f>
        <v>14-MAR-2012</v>
      </c>
      <c r="G36" s="47">
        <f t="shared" si="0"/>
        <v>1099</v>
      </c>
      <c r="H36" s="1" t="str">
        <f>+""</f>
        <v/>
      </c>
      <c r="I36" s="18"/>
      <c r="J36" s="1"/>
      <c r="K36" s="16"/>
      <c r="L36" s="86" t="s">
        <v>19</v>
      </c>
      <c r="M36" s="1" t="s">
        <v>327</v>
      </c>
      <c r="N36" s="86" t="s">
        <v>13</v>
      </c>
      <c r="O36" s="86" t="s">
        <v>17</v>
      </c>
      <c r="P36" s="86" t="s">
        <v>15</v>
      </c>
      <c r="Q36" s="7" t="s">
        <v>16</v>
      </c>
    </row>
    <row r="37" spans="1:17" ht="90" customHeight="1" x14ac:dyDescent="0.25">
      <c r="A37" s="1" t="s">
        <v>100</v>
      </c>
      <c r="B37" s="15">
        <v>41109</v>
      </c>
      <c r="C37" s="16" t="s">
        <v>476</v>
      </c>
      <c r="D37" s="15" t="s">
        <v>476</v>
      </c>
      <c r="E37" s="16" t="s">
        <v>476</v>
      </c>
      <c r="F37" s="17" t="str">
        <f>+"16-APR-2012"</f>
        <v>16-APR-2012</v>
      </c>
      <c r="G37" s="47">
        <f t="shared" si="0"/>
        <v>1066</v>
      </c>
      <c r="H37" s="86" t="str">
        <f>+""</f>
        <v/>
      </c>
      <c r="I37" s="18"/>
      <c r="J37" s="86"/>
      <c r="K37" s="16"/>
      <c r="L37" s="86" t="s">
        <v>10</v>
      </c>
      <c r="M37" s="1" t="s">
        <v>101</v>
      </c>
      <c r="N37" s="86" t="s">
        <v>13</v>
      </c>
      <c r="O37" s="86" t="s">
        <v>14</v>
      </c>
      <c r="P37" s="86" t="s">
        <v>21</v>
      </c>
      <c r="Q37" s="7" t="s">
        <v>47</v>
      </c>
    </row>
    <row r="38" spans="1:17" ht="90" customHeight="1" x14ac:dyDescent="0.25">
      <c r="A38" s="86" t="s">
        <v>102</v>
      </c>
      <c r="B38" s="15">
        <v>41066</v>
      </c>
      <c r="C38" s="16">
        <v>41088</v>
      </c>
      <c r="D38" s="15">
        <v>41366</v>
      </c>
      <c r="E38" s="16">
        <v>41684</v>
      </c>
      <c r="F38" s="17" t="str">
        <f>+"23-APR-2012"</f>
        <v>23-APR-2012</v>
      </c>
      <c r="G38" s="47">
        <f t="shared" si="0"/>
        <v>1059</v>
      </c>
      <c r="H38" s="1" t="str">
        <f>+""</f>
        <v/>
      </c>
      <c r="I38" s="18"/>
      <c r="J38" s="1"/>
      <c r="K38" s="16"/>
      <c r="L38" s="86" t="s">
        <v>10</v>
      </c>
      <c r="M38" s="1" t="s">
        <v>103</v>
      </c>
      <c r="N38" s="86" t="s">
        <v>13</v>
      </c>
      <c r="O38" s="86" t="s">
        <v>17</v>
      </c>
      <c r="P38" s="1" t="s">
        <v>15</v>
      </c>
      <c r="Q38" s="89" t="s">
        <v>620</v>
      </c>
    </row>
    <row r="39" spans="1:17" ht="90" customHeight="1" x14ac:dyDescent="0.25">
      <c r="A39" s="1" t="s">
        <v>104</v>
      </c>
      <c r="B39" s="15">
        <v>41087</v>
      </c>
      <c r="C39" s="16">
        <v>41178</v>
      </c>
      <c r="D39" s="15">
        <v>41675</v>
      </c>
      <c r="E39" s="16">
        <v>41775</v>
      </c>
      <c r="F39" s="17" t="str">
        <f>+"24-APR-2012"</f>
        <v>24-APR-2012</v>
      </c>
      <c r="G39" s="47">
        <f t="shared" si="0"/>
        <v>1058</v>
      </c>
      <c r="H39" s="86" t="str">
        <f>+""</f>
        <v/>
      </c>
      <c r="I39" s="18"/>
      <c r="J39" s="86"/>
      <c r="K39" s="16"/>
      <c r="L39" s="86" t="s">
        <v>10</v>
      </c>
      <c r="M39" s="1" t="s">
        <v>105</v>
      </c>
      <c r="N39" s="86" t="s">
        <v>13</v>
      </c>
      <c r="O39" s="86" t="s">
        <v>14</v>
      </c>
      <c r="P39" s="86" t="s">
        <v>41</v>
      </c>
      <c r="Q39" s="7" t="s">
        <v>134</v>
      </c>
    </row>
    <row r="40" spans="1:17" ht="90" customHeight="1" x14ac:dyDescent="0.25">
      <c r="A40" s="1" t="s">
        <v>106</v>
      </c>
      <c r="B40" s="15">
        <v>41962</v>
      </c>
      <c r="C40" s="16">
        <v>42061</v>
      </c>
      <c r="D40" s="15" t="s">
        <v>476</v>
      </c>
      <c r="E40" s="16" t="s">
        <v>476</v>
      </c>
      <c r="F40" s="17" t="str">
        <f>+"18-MAY-2012"</f>
        <v>18-MAY-2012</v>
      </c>
      <c r="G40" s="47">
        <f t="shared" si="0"/>
        <v>1034</v>
      </c>
      <c r="H40" s="86" t="str">
        <f>+""</f>
        <v/>
      </c>
      <c r="I40" s="18"/>
      <c r="J40" s="86"/>
      <c r="K40" s="16"/>
      <c r="L40" s="86" t="s">
        <v>10</v>
      </c>
      <c r="M40" s="1" t="s">
        <v>107</v>
      </c>
      <c r="N40" s="86" t="s">
        <v>13</v>
      </c>
      <c r="O40" s="86" t="s">
        <v>14</v>
      </c>
      <c r="P40" s="86" t="s">
        <v>41</v>
      </c>
      <c r="Q40" s="7" t="s">
        <v>108</v>
      </c>
    </row>
    <row r="41" spans="1:17" ht="90" customHeight="1" x14ac:dyDescent="0.25">
      <c r="A41" s="1" t="s">
        <v>432</v>
      </c>
      <c r="B41" s="15">
        <v>41935</v>
      </c>
      <c r="C41" s="16">
        <v>41946</v>
      </c>
      <c r="D41" s="15">
        <v>41967</v>
      </c>
      <c r="E41" s="16">
        <v>41904</v>
      </c>
      <c r="F41" s="17" t="str">
        <f>+"21-JUN-2012"</f>
        <v>21-JUN-2012</v>
      </c>
      <c r="G41" s="47">
        <f t="shared" si="0"/>
        <v>1000</v>
      </c>
      <c r="H41" s="86" t="str">
        <f>+""</f>
        <v/>
      </c>
      <c r="I41" s="18"/>
      <c r="J41" s="86"/>
      <c r="K41" s="16"/>
      <c r="L41" s="86" t="s">
        <v>10</v>
      </c>
      <c r="M41" s="1" t="s">
        <v>433</v>
      </c>
      <c r="N41" s="86" t="s">
        <v>13</v>
      </c>
      <c r="O41" s="86" t="s">
        <v>14</v>
      </c>
      <c r="P41" s="86" t="s">
        <v>41</v>
      </c>
      <c r="Q41" s="7" t="s">
        <v>434</v>
      </c>
    </row>
    <row r="42" spans="1:17" ht="90" customHeight="1" x14ac:dyDescent="0.25">
      <c r="A42" s="1" t="s">
        <v>118</v>
      </c>
      <c r="B42" s="15">
        <v>41960</v>
      </c>
      <c r="C42" s="16">
        <v>41715</v>
      </c>
      <c r="D42" s="15" t="s">
        <v>476</v>
      </c>
      <c r="E42" s="16" t="s">
        <v>476</v>
      </c>
      <c r="F42" s="17" t="str">
        <f>+"17-OCT-2012"</f>
        <v>17-OCT-2012</v>
      </c>
      <c r="G42" s="47">
        <f t="shared" si="0"/>
        <v>882</v>
      </c>
      <c r="H42" s="1" t="str">
        <f>+""</f>
        <v/>
      </c>
      <c r="I42" s="18"/>
      <c r="J42" s="1"/>
      <c r="K42" s="16"/>
      <c r="L42" s="86" t="s">
        <v>19</v>
      </c>
      <c r="M42" s="1" t="s">
        <v>584</v>
      </c>
      <c r="N42" s="86" t="s">
        <v>13</v>
      </c>
      <c r="O42" s="86" t="s">
        <v>14</v>
      </c>
      <c r="P42" s="1" t="s">
        <v>652</v>
      </c>
      <c r="Q42" s="7" t="s">
        <v>54</v>
      </c>
    </row>
    <row r="43" spans="1:17" ht="90" customHeight="1" x14ac:dyDescent="0.25">
      <c r="A43" s="1" t="s">
        <v>375</v>
      </c>
      <c r="B43" s="15">
        <v>41467</v>
      </c>
      <c r="C43" s="16">
        <v>41302</v>
      </c>
      <c r="D43" s="15">
        <v>41558</v>
      </c>
      <c r="E43" s="16">
        <v>41624</v>
      </c>
      <c r="F43" s="17" t="str">
        <f>+"25-OCT-2012"</f>
        <v>25-OCT-2012</v>
      </c>
      <c r="G43" s="47">
        <f t="shared" si="0"/>
        <v>874</v>
      </c>
      <c r="H43" s="86" t="str">
        <f>+""</f>
        <v/>
      </c>
      <c r="I43" s="18"/>
      <c r="J43" s="86"/>
      <c r="K43" s="16">
        <v>41529</v>
      </c>
      <c r="L43" s="86" t="s">
        <v>10</v>
      </c>
      <c r="M43" s="1" t="s">
        <v>376</v>
      </c>
      <c r="N43" s="86" t="s">
        <v>13</v>
      </c>
      <c r="O43" s="86" t="s">
        <v>14</v>
      </c>
      <c r="P43" s="86" t="s">
        <v>21</v>
      </c>
      <c r="Q43" s="7" t="s">
        <v>645</v>
      </c>
    </row>
    <row r="44" spans="1:17" ht="90" customHeight="1" x14ac:dyDescent="0.25">
      <c r="A44" s="1" t="s">
        <v>119</v>
      </c>
      <c r="B44" s="15" t="s">
        <v>476</v>
      </c>
      <c r="C44" s="16" t="s">
        <v>476</v>
      </c>
      <c r="D44" s="15">
        <v>42123</v>
      </c>
      <c r="E44" s="16" t="s">
        <v>476</v>
      </c>
      <c r="F44" s="17" t="str">
        <f>+"26-OCT-2012"</f>
        <v>26-OCT-2012</v>
      </c>
      <c r="G44" s="47">
        <f t="shared" si="0"/>
        <v>873</v>
      </c>
      <c r="H44" s="86" t="str">
        <f>+""</f>
        <v/>
      </c>
      <c r="I44" s="18"/>
      <c r="J44" s="86"/>
      <c r="K44" s="16"/>
      <c r="L44" s="86" t="s">
        <v>10</v>
      </c>
      <c r="M44" s="1" t="s">
        <v>120</v>
      </c>
      <c r="N44" s="86" t="s">
        <v>13</v>
      </c>
      <c r="O44" s="86" t="s">
        <v>14</v>
      </c>
      <c r="P44" s="86" t="s">
        <v>21</v>
      </c>
      <c r="Q44" s="7" t="s">
        <v>22</v>
      </c>
    </row>
    <row r="45" spans="1:17" ht="90" customHeight="1" x14ac:dyDescent="0.25">
      <c r="A45" s="1" t="s">
        <v>435</v>
      </c>
      <c r="B45" s="15">
        <v>41346</v>
      </c>
      <c r="C45" s="16">
        <v>41799</v>
      </c>
      <c r="D45" s="15" t="s">
        <v>476</v>
      </c>
      <c r="E45" s="16" t="s">
        <v>476</v>
      </c>
      <c r="F45" s="17" t="str">
        <f>+"08-NOV-2012"</f>
        <v>08-NOV-2012</v>
      </c>
      <c r="G45" s="47">
        <f t="shared" si="0"/>
        <v>860</v>
      </c>
      <c r="H45" s="86" t="str">
        <f>+""</f>
        <v/>
      </c>
      <c r="I45" s="18"/>
      <c r="J45" s="86"/>
      <c r="K45" s="16"/>
      <c r="L45" s="86" t="s">
        <v>19</v>
      </c>
      <c r="M45" s="1" t="s">
        <v>436</v>
      </c>
      <c r="N45" s="86" t="s">
        <v>13</v>
      </c>
      <c r="O45" s="86" t="s">
        <v>14</v>
      </c>
      <c r="P45" s="86" t="s">
        <v>41</v>
      </c>
      <c r="Q45" s="7" t="s">
        <v>610</v>
      </c>
    </row>
    <row r="46" spans="1:17" ht="90" customHeight="1" x14ac:dyDescent="0.25">
      <c r="A46" s="1" t="s">
        <v>129</v>
      </c>
      <c r="B46" s="15">
        <v>41285</v>
      </c>
      <c r="C46" s="16">
        <v>41296</v>
      </c>
      <c r="D46" s="15">
        <v>41470</v>
      </c>
      <c r="E46" s="16">
        <v>41544</v>
      </c>
      <c r="F46" s="17" t="str">
        <f>+"15-NOV-2012"</f>
        <v>15-NOV-2012</v>
      </c>
      <c r="G46" s="47">
        <f t="shared" si="0"/>
        <v>853</v>
      </c>
      <c r="H46" s="86" t="str">
        <f>+""</f>
        <v/>
      </c>
      <c r="I46" s="18"/>
      <c r="J46" s="86"/>
      <c r="K46" s="16">
        <v>41544</v>
      </c>
      <c r="L46" s="86" t="s">
        <v>10</v>
      </c>
      <c r="M46" s="1" t="s">
        <v>130</v>
      </c>
      <c r="N46" s="86" t="s">
        <v>13</v>
      </c>
      <c r="O46" s="86" t="s">
        <v>42</v>
      </c>
      <c r="P46" s="86" t="s">
        <v>21</v>
      </c>
      <c r="Q46" s="7" t="s">
        <v>131</v>
      </c>
    </row>
    <row r="47" spans="1:17" ht="90" customHeight="1" x14ac:dyDescent="0.25">
      <c r="A47" s="86" t="s">
        <v>132</v>
      </c>
      <c r="B47" s="15" t="s">
        <v>476</v>
      </c>
      <c r="C47" s="16" t="s">
        <v>476</v>
      </c>
      <c r="D47" s="15" t="s">
        <v>476</v>
      </c>
      <c r="E47" s="16" t="s">
        <v>476</v>
      </c>
      <c r="F47" s="17" t="str">
        <f>+"15-NOV-2012"</f>
        <v>15-NOV-2012</v>
      </c>
      <c r="G47" s="47">
        <f t="shared" si="0"/>
        <v>853</v>
      </c>
      <c r="H47" s="86" t="str">
        <f>+""</f>
        <v/>
      </c>
      <c r="I47" s="18"/>
      <c r="J47" s="86"/>
      <c r="K47" s="16"/>
      <c r="L47" s="86" t="s">
        <v>10</v>
      </c>
      <c r="M47" s="1" t="s">
        <v>133</v>
      </c>
      <c r="N47" s="86" t="s">
        <v>13</v>
      </c>
      <c r="O47" s="86" t="s">
        <v>14</v>
      </c>
      <c r="P47" s="86" t="s">
        <v>41</v>
      </c>
      <c r="Q47" s="83" t="s">
        <v>653</v>
      </c>
    </row>
    <row r="48" spans="1:17" ht="90" customHeight="1" x14ac:dyDescent="0.25">
      <c r="A48" s="86" t="s">
        <v>135</v>
      </c>
      <c r="B48" s="15" t="s">
        <v>476</v>
      </c>
      <c r="C48" s="16" t="s">
        <v>476</v>
      </c>
      <c r="D48" s="15" t="s">
        <v>476</v>
      </c>
      <c r="E48" s="16" t="s">
        <v>476</v>
      </c>
      <c r="F48" s="17" t="str">
        <f>+"14-DEC-2012"</f>
        <v>14-DEC-2012</v>
      </c>
      <c r="G48" s="47">
        <f t="shared" si="0"/>
        <v>824</v>
      </c>
      <c r="H48" s="86" t="str">
        <f>+""</f>
        <v/>
      </c>
      <c r="I48" s="18"/>
      <c r="J48" s="86"/>
      <c r="K48" s="16"/>
      <c r="L48" s="86" t="s">
        <v>10</v>
      </c>
      <c r="M48" s="1" t="s">
        <v>136</v>
      </c>
      <c r="N48" s="86" t="s">
        <v>13</v>
      </c>
      <c r="O48" s="86" t="s">
        <v>48</v>
      </c>
      <c r="P48" s="86" t="s">
        <v>41</v>
      </c>
      <c r="Q48" s="7" t="s">
        <v>33</v>
      </c>
    </row>
    <row r="49" spans="1:17" ht="90" customHeight="1" x14ac:dyDescent="0.25">
      <c r="A49" s="86" t="s">
        <v>437</v>
      </c>
      <c r="B49" s="15">
        <v>41320</v>
      </c>
      <c r="C49" s="16">
        <v>41366</v>
      </c>
      <c r="D49" s="15">
        <v>41991</v>
      </c>
      <c r="E49" s="46">
        <v>42040</v>
      </c>
      <c r="F49" s="17" t="str">
        <f>+"20-DEC-2012"</f>
        <v>20-DEC-2012</v>
      </c>
      <c r="G49" s="47">
        <f t="shared" si="0"/>
        <v>818</v>
      </c>
      <c r="H49" s="1" t="str">
        <f>+""</f>
        <v/>
      </c>
      <c r="I49" s="18"/>
      <c r="J49" s="1"/>
      <c r="K49" s="16"/>
      <c r="L49" s="86" t="s">
        <v>19</v>
      </c>
      <c r="M49" s="1" t="s">
        <v>438</v>
      </c>
      <c r="N49" s="86" t="s">
        <v>13</v>
      </c>
      <c r="O49" s="86" t="s">
        <v>48</v>
      </c>
      <c r="P49" s="86" t="s">
        <v>652</v>
      </c>
      <c r="Q49" s="89" t="s">
        <v>497</v>
      </c>
    </row>
    <row r="50" spans="1:17" ht="90" customHeight="1" x14ac:dyDescent="0.25">
      <c r="A50" s="86" t="s">
        <v>439</v>
      </c>
      <c r="B50" s="15">
        <v>41444</v>
      </c>
      <c r="C50" s="16">
        <v>41583</v>
      </c>
      <c r="D50" s="15" t="s">
        <v>476</v>
      </c>
      <c r="E50" s="16" t="s">
        <v>476</v>
      </c>
      <c r="F50" s="17" t="str">
        <f>+"24-JAN-2013"</f>
        <v>24-JAN-2013</v>
      </c>
      <c r="G50" s="47">
        <f t="shared" si="0"/>
        <v>783</v>
      </c>
      <c r="H50" s="1" t="str">
        <f>+""</f>
        <v/>
      </c>
      <c r="I50" s="18"/>
      <c r="J50" s="1"/>
      <c r="K50" s="16"/>
      <c r="L50" s="86" t="s">
        <v>19</v>
      </c>
      <c r="M50" s="1" t="s">
        <v>440</v>
      </c>
      <c r="N50" s="1" t="s">
        <v>13</v>
      </c>
      <c r="O50" s="86" t="s">
        <v>25</v>
      </c>
      <c r="P50" s="86" t="s">
        <v>36</v>
      </c>
      <c r="Q50" s="7" t="s">
        <v>152</v>
      </c>
    </row>
    <row r="51" spans="1:17" ht="90" customHeight="1" x14ac:dyDescent="0.25">
      <c r="A51" s="86" t="s">
        <v>143</v>
      </c>
      <c r="B51" s="15">
        <v>41423</v>
      </c>
      <c r="C51" s="16">
        <v>41498</v>
      </c>
      <c r="D51" s="15">
        <v>41592</v>
      </c>
      <c r="E51" s="16">
        <v>41627</v>
      </c>
      <c r="F51" s="17" t="str">
        <f>+"31-JAN-2013"</f>
        <v>31-JAN-2013</v>
      </c>
      <c r="G51" s="47">
        <f t="shared" si="0"/>
        <v>776</v>
      </c>
      <c r="H51" s="86" t="str">
        <f>+""</f>
        <v/>
      </c>
      <c r="I51" s="18"/>
      <c r="J51" s="86"/>
      <c r="K51" s="16"/>
      <c r="L51" s="86" t="s">
        <v>19</v>
      </c>
      <c r="M51" s="1" t="s">
        <v>144</v>
      </c>
      <c r="N51" s="86" t="s">
        <v>13</v>
      </c>
      <c r="O51" s="86" t="s">
        <v>25</v>
      </c>
      <c r="P51" s="86" t="s">
        <v>15</v>
      </c>
      <c r="Q51" s="7" t="s">
        <v>513</v>
      </c>
    </row>
    <row r="52" spans="1:17" ht="90" customHeight="1" x14ac:dyDescent="0.25">
      <c r="A52" s="86" t="s">
        <v>145</v>
      </c>
      <c r="B52" s="15">
        <v>41467</v>
      </c>
      <c r="C52" s="16">
        <v>41486</v>
      </c>
      <c r="D52" s="15">
        <v>41561</v>
      </c>
      <c r="E52" s="16">
        <v>41624</v>
      </c>
      <c r="F52" s="17" t="str">
        <f>+"31-JAN-2013"</f>
        <v>31-JAN-2013</v>
      </c>
      <c r="G52" s="47">
        <f t="shared" si="0"/>
        <v>776</v>
      </c>
      <c r="H52" s="1" t="str">
        <f>+""</f>
        <v/>
      </c>
      <c r="I52" s="18"/>
      <c r="J52" s="1"/>
      <c r="K52" s="16">
        <v>41529</v>
      </c>
      <c r="L52" s="86" t="s">
        <v>10</v>
      </c>
      <c r="M52" s="1" t="s">
        <v>146</v>
      </c>
      <c r="N52" s="1" t="s">
        <v>13</v>
      </c>
      <c r="O52" s="1" t="s">
        <v>14</v>
      </c>
      <c r="P52" s="86" t="s">
        <v>21</v>
      </c>
      <c r="Q52" s="7" t="s">
        <v>645</v>
      </c>
    </row>
    <row r="53" spans="1:17" ht="90" customHeight="1" x14ac:dyDescent="0.25">
      <c r="A53" s="86" t="s">
        <v>147</v>
      </c>
      <c r="B53" s="15" t="s">
        <v>476</v>
      </c>
      <c r="C53" s="16" t="s">
        <v>476</v>
      </c>
      <c r="D53" s="15" t="s">
        <v>476</v>
      </c>
      <c r="E53" s="16">
        <v>41717</v>
      </c>
      <c r="F53" s="17" t="str">
        <f>+"05-FEB-2013"</f>
        <v>05-FEB-2013</v>
      </c>
      <c r="G53" s="47">
        <f t="shared" si="0"/>
        <v>771</v>
      </c>
      <c r="H53" s="1" t="str">
        <f>+""</f>
        <v/>
      </c>
      <c r="I53" s="18"/>
      <c r="J53" s="1"/>
      <c r="K53" s="16"/>
      <c r="L53" s="86" t="s">
        <v>10</v>
      </c>
      <c r="M53" s="1" t="s">
        <v>148</v>
      </c>
      <c r="N53" s="1" t="s">
        <v>13</v>
      </c>
      <c r="O53" s="86" t="s">
        <v>25</v>
      </c>
      <c r="P53" s="1" t="s">
        <v>15</v>
      </c>
      <c r="Q53" s="7" t="s">
        <v>149</v>
      </c>
    </row>
    <row r="54" spans="1:17" ht="90" customHeight="1" x14ac:dyDescent="0.25">
      <c r="A54" s="86" t="s">
        <v>441</v>
      </c>
      <c r="B54" s="15">
        <v>41360</v>
      </c>
      <c r="C54" s="16">
        <v>41396</v>
      </c>
      <c r="D54" s="15" t="s">
        <v>476</v>
      </c>
      <c r="E54" s="16">
        <v>41526</v>
      </c>
      <c r="F54" s="17" t="str">
        <f>+"13-FEB-2013"</f>
        <v>13-FEB-2013</v>
      </c>
      <c r="G54" s="47">
        <f t="shared" si="0"/>
        <v>763</v>
      </c>
      <c r="H54" s="1" t="str">
        <f>+""</f>
        <v/>
      </c>
      <c r="I54" s="18"/>
      <c r="J54" s="1"/>
      <c r="K54" s="16"/>
      <c r="L54" s="86" t="s">
        <v>10</v>
      </c>
      <c r="M54" s="1" t="s">
        <v>442</v>
      </c>
      <c r="N54" s="1" t="s">
        <v>13</v>
      </c>
      <c r="O54" s="86" t="s">
        <v>59</v>
      </c>
      <c r="P54" s="1" t="s">
        <v>36</v>
      </c>
      <c r="Q54" s="7" t="s">
        <v>173</v>
      </c>
    </row>
    <row r="55" spans="1:17" ht="129.19999999999999" customHeight="1" x14ac:dyDescent="0.25">
      <c r="A55" s="86" t="s">
        <v>332</v>
      </c>
      <c r="B55" s="15" t="s">
        <v>476</v>
      </c>
      <c r="C55" s="16" t="s">
        <v>476</v>
      </c>
      <c r="D55" s="15" t="s">
        <v>476</v>
      </c>
      <c r="E55" s="16" t="s">
        <v>476</v>
      </c>
      <c r="F55" s="17" t="str">
        <f>+"19-FEB-2013"</f>
        <v>19-FEB-2013</v>
      </c>
      <c r="G55" s="47">
        <f t="shared" si="0"/>
        <v>757</v>
      </c>
      <c r="H55" s="1" t="str">
        <f>+""</f>
        <v/>
      </c>
      <c r="I55" s="18"/>
      <c r="J55" s="1"/>
      <c r="K55" s="16"/>
      <c r="L55" s="86" t="s">
        <v>10</v>
      </c>
      <c r="M55" s="1" t="s">
        <v>333</v>
      </c>
      <c r="N55" s="1" t="s">
        <v>13</v>
      </c>
      <c r="O55" s="86" t="s">
        <v>14</v>
      </c>
      <c r="P55" s="1" t="s">
        <v>21</v>
      </c>
      <c r="Q55" s="7" t="s">
        <v>137</v>
      </c>
    </row>
    <row r="56" spans="1:17" ht="90" customHeight="1" x14ac:dyDescent="0.25">
      <c r="A56" s="1" t="s">
        <v>150</v>
      </c>
      <c r="B56" s="15">
        <v>41501</v>
      </c>
      <c r="C56" s="16">
        <v>41551</v>
      </c>
      <c r="D56" s="15">
        <v>41660</v>
      </c>
      <c r="E56" s="16">
        <v>41717</v>
      </c>
      <c r="F56" s="17" t="str">
        <f>+"28-FEB-2013"</f>
        <v>28-FEB-2013</v>
      </c>
      <c r="G56" s="47">
        <f t="shared" si="0"/>
        <v>748</v>
      </c>
      <c r="H56" s="1" t="str">
        <f>+""</f>
        <v/>
      </c>
      <c r="I56" s="18"/>
      <c r="J56" s="86"/>
      <c r="K56" s="16"/>
      <c r="L56" s="86" t="s">
        <v>10</v>
      </c>
      <c r="M56" s="1" t="s">
        <v>151</v>
      </c>
      <c r="N56" s="1" t="s">
        <v>13</v>
      </c>
      <c r="O56" s="1" t="s">
        <v>14</v>
      </c>
      <c r="P56" s="1" t="s">
        <v>21</v>
      </c>
      <c r="Q56" s="7" t="s">
        <v>47</v>
      </c>
    </row>
    <row r="57" spans="1:17" ht="90" customHeight="1" x14ac:dyDescent="0.25">
      <c r="A57" s="86" t="s">
        <v>443</v>
      </c>
      <c r="B57" s="15">
        <v>41522</v>
      </c>
      <c r="C57" s="16">
        <v>41530</v>
      </c>
      <c r="D57" s="15" t="s">
        <v>476</v>
      </c>
      <c r="E57" s="16" t="s">
        <v>476</v>
      </c>
      <c r="F57" s="17" t="str">
        <f>+"28-FEB-2013"</f>
        <v>28-FEB-2013</v>
      </c>
      <c r="G57" s="47">
        <f t="shared" si="0"/>
        <v>748</v>
      </c>
      <c r="H57" s="86" t="str">
        <f>+""</f>
        <v/>
      </c>
      <c r="I57" s="18"/>
      <c r="J57" s="86"/>
      <c r="K57" s="16"/>
      <c r="L57" s="86" t="s">
        <v>10</v>
      </c>
      <c r="M57" s="86" t="s">
        <v>444</v>
      </c>
      <c r="N57" s="86" t="s">
        <v>13</v>
      </c>
      <c r="O57" s="86" t="s">
        <v>14</v>
      </c>
      <c r="P57" s="86" t="s">
        <v>21</v>
      </c>
      <c r="Q57" s="89" t="s">
        <v>71</v>
      </c>
    </row>
    <row r="58" spans="1:17" ht="90" customHeight="1" x14ac:dyDescent="0.25">
      <c r="A58" s="1" t="s">
        <v>155</v>
      </c>
      <c r="B58" s="15" t="s">
        <v>476</v>
      </c>
      <c r="C58" s="16" t="s">
        <v>476</v>
      </c>
      <c r="D58" s="15" t="s">
        <v>476</v>
      </c>
      <c r="E58" s="16" t="s">
        <v>476</v>
      </c>
      <c r="F58" s="17" t="str">
        <f>+"04-MAR-2013"</f>
        <v>04-MAR-2013</v>
      </c>
      <c r="G58" s="47">
        <f t="shared" si="0"/>
        <v>744</v>
      </c>
      <c r="H58" s="1" t="str">
        <f>+""</f>
        <v/>
      </c>
      <c r="I58" s="18"/>
      <c r="J58" s="1"/>
      <c r="K58" s="16"/>
      <c r="L58" s="86" t="s">
        <v>19</v>
      </c>
      <c r="M58" s="1" t="s">
        <v>156</v>
      </c>
      <c r="N58" s="1" t="s">
        <v>13</v>
      </c>
      <c r="O58" s="1" t="s">
        <v>25</v>
      </c>
      <c r="P58" s="1" t="s">
        <v>15</v>
      </c>
      <c r="Q58" s="7" t="s">
        <v>88</v>
      </c>
    </row>
    <row r="59" spans="1:17" ht="90" customHeight="1" x14ac:dyDescent="0.25">
      <c r="A59" s="86" t="s">
        <v>153</v>
      </c>
      <c r="B59" s="15">
        <v>41467</v>
      </c>
      <c r="C59" s="16">
        <v>41486</v>
      </c>
      <c r="D59" s="15">
        <v>41561</v>
      </c>
      <c r="E59" s="16">
        <v>41624</v>
      </c>
      <c r="F59" s="17" t="str">
        <f>+"15-MAR-2013"</f>
        <v>15-MAR-2013</v>
      </c>
      <c r="G59" s="47">
        <f t="shared" si="0"/>
        <v>733</v>
      </c>
      <c r="H59" s="86" t="str">
        <f>+""</f>
        <v/>
      </c>
      <c r="I59" s="18"/>
      <c r="J59" s="86"/>
      <c r="K59" s="16">
        <v>41529</v>
      </c>
      <c r="L59" s="86" t="s">
        <v>10</v>
      </c>
      <c r="M59" s="86" t="s">
        <v>154</v>
      </c>
      <c r="N59" s="86" t="s">
        <v>13</v>
      </c>
      <c r="O59" s="86" t="s">
        <v>14</v>
      </c>
      <c r="P59" s="86" t="s">
        <v>21</v>
      </c>
      <c r="Q59" s="89" t="s">
        <v>645</v>
      </c>
    </row>
    <row r="60" spans="1:17" ht="90" customHeight="1" x14ac:dyDescent="0.25">
      <c r="A60" s="86" t="s">
        <v>159</v>
      </c>
      <c r="B60" s="15">
        <v>41467</v>
      </c>
      <c r="C60" s="16">
        <v>41486</v>
      </c>
      <c r="D60" s="15">
        <v>41561</v>
      </c>
      <c r="E60" s="16">
        <v>41624</v>
      </c>
      <c r="F60" s="17" t="str">
        <f>+"18-MAR-2013"</f>
        <v>18-MAR-2013</v>
      </c>
      <c r="G60" s="47">
        <f t="shared" si="0"/>
        <v>730</v>
      </c>
      <c r="H60" s="86" t="str">
        <f>+""</f>
        <v/>
      </c>
      <c r="I60" s="18"/>
      <c r="J60" s="86"/>
      <c r="K60" s="16">
        <v>41529</v>
      </c>
      <c r="L60" s="86" t="s">
        <v>10</v>
      </c>
      <c r="M60" s="86" t="s">
        <v>160</v>
      </c>
      <c r="N60" s="86" t="s">
        <v>13</v>
      </c>
      <c r="O60" s="86" t="s">
        <v>14</v>
      </c>
      <c r="P60" s="86" t="s">
        <v>21</v>
      </c>
      <c r="Q60" s="89" t="s">
        <v>645</v>
      </c>
    </row>
    <row r="61" spans="1:17" ht="90" customHeight="1" x14ac:dyDescent="0.25">
      <c r="A61" s="1" t="s">
        <v>157</v>
      </c>
      <c r="B61" s="15">
        <v>41467</v>
      </c>
      <c r="C61" s="16">
        <v>41486</v>
      </c>
      <c r="D61" s="15">
        <v>41561</v>
      </c>
      <c r="E61" s="16">
        <v>41624</v>
      </c>
      <c r="F61" s="17" t="str">
        <f>+"19-MAR-2013"</f>
        <v>19-MAR-2013</v>
      </c>
      <c r="G61" s="47">
        <f t="shared" si="0"/>
        <v>729</v>
      </c>
      <c r="H61" s="1" t="str">
        <f>+""</f>
        <v/>
      </c>
      <c r="I61" s="18"/>
      <c r="J61" s="1"/>
      <c r="K61" s="16">
        <v>41529</v>
      </c>
      <c r="L61" s="86" t="s">
        <v>10</v>
      </c>
      <c r="M61" s="1" t="s">
        <v>158</v>
      </c>
      <c r="N61" s="1" t="s">
        <v>13</v>
      </c>
      <c r="O61" s="1" t="s">
        <v>14</v>
      </c>
      <c r="P61" s="1" t="s">
        <v>21</v>
      </c>
      <c r="Q61" s="7" t="s">
        <v>645</v>
      </c>
    </row>
    <row r="62" spans="1:17" ht="90" customHeight="1" x14ac:dyDescent="0.25">
      <c r="A62" s="1" t="s">
        <v>377</v>
      </c>
      <c r="B62" s="15">
        <v>41285</v>
      </c>
      <c r="C62" s="16">
        <v>41799</v>
      </c>
      <c r="D62" s="15">
        <v>41470</v>
      </c>
      <c r="E62" s="24">
        <v>41544</v>
      </c>
      <c r="F62" s="17" t="str">
        <f>+"21-MAR-2013"</f>
        <v>21-MAR-2013</v>
      </c>
      <c r="G62" s="47">
        <f t="shared" si="0"/>
        <v>727</v>
      </c>
      <c r="H62" s="1" t="str">
        <f>+""</f>
        <v/>
      </c>
      <c r="I62" s="18"/>
      <c r="J62" s="1"/>
      <c r="K62" s="16">
        <v>41544</v>
      </c>
      <c r="L62" s="86" t="s">
        <v>10</v>
      </c>
      <c r="M62" s="1" t="s">
        <v>378</v>
      </c>
      <c r="N62" s="1" t="s">
        <v>13</v>
      </c>
      <c r="O62" s="1" t="s">
        <v>14</v>
      </c>
      <c r="P62" s="1" t="s">
        <v>21</v>
      </c>
      <c r="Q62" s="7" t="s">
        <v>131</v>
      </c>
    </row>
    <row r="63" spans="1:17" ht="90" customHeight="1" x14ac:dyDescent="0.25">
      <c r="A63" s="1" t="s">
        <v>445</v>
      </c>
      <c r="B63" s="15" t="s">
        <v>476</v>
      </c>
      <c r="C63" s="16" t="s">
        <v>476</v>
      </c>
      <c r="D63" s="15" t="s">
        <v>476</v>
      </c>
      <c r="E63" s="16" t="s">
        <v>476</v>
      </c>
      <c r="F63" s="17" t="str">
        <f>+"21-MAR-2013"</f>
        <v>21-MAR-2013</v>
      </c>
      <c r="G63" s="47">
        <f t="shared" si="0"/>
        <v>727</v>
      </c>
      <c r="H63" s="1" t="str">
        <f>+""</f>
        <v/>
      </c>
      <c r="I63" s="18"/>
      <c r="J63" s="1"/>
      <c r="K63" s="16"/>
      <c r="L63" s="86" t="s">
        <v>19</v>
      </c>
      <c r="M63" s="1" t="s">
        <v>446</v>
      </c>
      <c r="N63" s="1" t="s">
        <v>13</v>
      </c>
      <c r="O63" s="1" t="s">
        <v>25</v>
      </c>
      <c r="P63" s="1" t="s">
        <v>15</v>
      </c>
      <c r="Q63" s="7" t="s">
        <v>71</v>
      </c>
    </row>
    <row r="64" spans="1:17" ht="90" customHeight="1" x14ac:dyDescent="0.25">
      <c r="A64" s="1" t="s">
        <v>447</v>
      </c>
      <c r="B64" s="15">
        <v>41443</v>
      </c>
      <c r="C64" s="16">
        <v>41487</v>
      </c>
      <c r="D64" s="15">
        <v>42024</v>
      </c>
      <c r="E64" s="16" t="s">
        <v>476</v>
      </c>
      <c r="F64" s="17" t="str">
        <f>+"21-MAR-2013"</f>
        <v>21-MAR-2013</v>
      </c>
      <c r="G64" s="47">
        <f t="shared" si="0"/>
        <v>727</v>
      </c>
      <c r="H64" s="1" t="str">
        <f>+""</f>
        <v/>
      </c>
      <c r="I64" s="18"/>
      <c r="J64" s="1"/>
      <c r="K64" s="16"/>
      <c r="L64" s="86" t="s">
        <v>10</v>
      </c>
      <c r="M64" s="1" t="s">
        <v>448</v>
      </c>
      <c r="N64" s="1" t="s">
        <v>13</v>
      </c>
      <c r="O64" s="1" t="s">
        <v>14</v>
      </c>
      <c r="P64" s="1" t="s">
        <v>41</v>
      </c>
      <c r="Q64" s="7" t="s">
        <v>33</v>
      </c>
    </row>
    <row r="65" spans="1:17" ht="90" customHeight="1" x14ac:dyDescent="0.25">
      <c r="A65" s="1" t="s">
        <v>161</v>
      </c>
      <c r="B65" s="15">
        <v>41414</v>
      </c>
      <c r="C65" s="16">
        <v>41432</v>
      </c>
      <c r="D65" s="15">
        <v>41652</v>
      </c>
      <c r="E65" s="16">
        <v>41688</v>
      </c>
      <c r="F65" s="17" t="str">
        <f>+"02-APR-2013"</f>
        <v>02-APR-2013</v>
      </c>
      <c r="G65" s="47">
        <f t="shared" si="0"/>
        <v>715</v>
      </c>
      <c r="H65" s="1" t="str">
        <f>+""</f>
        <v/>
      </c>
      <c r="I65" s="18"/>
      <c r="J65" s="1"/>
      <c r="K65" s="16"/>
      <c r="L65" s="86" t="s">
        <v>10</v>
      </c>
      <c r="M65" s="1" t="s">
        <v>162</v>
      </c>
      <c r="N65" s="1" t="s">
        <v>13</v>
      </c>
      <c r="O65" s="1" t="s">
        <v>14</v>
      </c>
      <c r="P65" s="1" t="s">
        <v>21</v>
      </c>
      <c r="Q65" s="7" t="s">
        <v>71</v>
      </c>
    </row>
    <row r="66" spans="1:17" ht="90" customHeight="1" x14ac:dyDescent="0.25">
      <c r="A66" s="1" t="s">
        <v>334</v>
      </c>
      <c r="B66" s="15">
        <v>41695</v>
      </c>
      <c r="C66" s="16">
        <v>42017</v>
      </c>
      <c r="D66" s="15">
        <v>42143</v>
      </c>
      <c r="E66" s="16">
        <v>41716</v>
      </c>
      <c r="F66" s="17" t="str">
        <f>+"11-APR-2013"</f>
        <v>11-APR-2013</v>
      </c>
      <c r="G66" s="47">
        <f t="shared" ref="G66:G129" si="1">DATE(2015, 3, 18)- F66</f>
        <v>706</v>
      </c>
      <c r="H66" s="1" t="str">
        <f>+""</f>
        <v/>
      </c>
      <c r="I66" s="18"/>
      <c r="J66" s="1"/>
      <c r="K66" s="16"/>
      <c r="L66" s="86" t="s">
        <v>10</v>
      </c>
      <c r="M66" s="1" t="s">
        <v>335</v>
      </c>
      <c r="N66" s="1" t="s">
        <v>13</v>
      </c>
      <c r="O66" s="1" t="s">
        <v>25</v>
      </c>
      <c r="P66" s="1" t="s">
        <v>21</v>
      </c>
      <c r="Q66" s="7" t="s">
        <v>33</v>
      </c>
    </row>
    <row r="67" spans="1:17" ht="90" customHeight="1" x14ac:dyDescent="0.25">
      <c r="A67" s="1" t="s">
        <v>163</v>
      </c>
      <c r="B67" s="15">
        <v>41428</v>
      </c>
      <c r="C67" s="16">
        <v>41467</v>
      </c>
      <c r="D67" s="15">
        <v>41921</v>
      </c>
      <c r="E67" s="16" t="s">
        <v>476</v>
      </c>
      <c r="F67" s="17" t="str">
        <f>+"18-APR-2013"</f>
        <v>18-APR-2013</v>
      </c>
      <c r="G67" s="47">
        <f t="shared" si="1"/>
        <v>699</v>
      </c>
      <c r="H67" s="1" t="str">
        <f>+""</f>
        <v/>
      </c>
      <c r="I67" s="18"/>
      <c r="J67" s="1"/>
      <c r="K67" s="16"/>
      <c r="L67" s="86" t="s">
        <v>10</v>
      </c>
      <c r="M67" s="1" t="s">
        <v>164</v>
      </c>
      <c r="N67" s="1" t="s">
        <v>13</v>
      </c>
      <c r="O67" s="1" t="s">
        <v>12</v>
      </c>
      <c r="P67" s="1" t="s">
        <v>41</v>
      </c>
      <c r="Q67" s="7" t="s">
        <v>16</v>
      </c>
    </row>
    <row r="68" spans="1:17" ht="90" customHeight="1" x14ac:dyDescent="0.25">
      <c r="A68" s="1" t="s">
        <v>169</v>
      </c>
      <c r="B68" s="15">
        <v>41464</v>
      </c>
      <c r="C68" s="16">
        <v>41488</v>
      </c>
      <c r="D68" s="15">
        <v>41596</v>
      </c>
      <c r="E68" s="16">
        <v>41800</v>
      </c>
      <c r="F68" s="17" t="str">
        <f>+"24-MAY-2013"</f>
        <v>24-MAY-2013</v>
      </c>
      <c r="G68" s="47">
        <f t="shared" si="1"/>
        <v>663</v>
      </c>
      <c r="H68" s="1" t="str">
        <f>+""</f>
        <v/>
      </c>
      <c r="I68" s="18"/>
      <c r="J68" s="1"/>
      <c r="K68" s="16"/>
      <c r="L68" s="86" t="s">
        <v>10</v>
      </c>
      <c r="M68" s="1" t="s">
        <v>170</v>
      </c>
      <c r="N68" s="1" t="s">
        <v>13</v>
      </c>
      <c r="O68" s="1" t="s">
        <v>17</v>
      </c>
      <c r="P68" s="1" t="s">
        <v>15</v>
      </c>
      <c r="Q68" s="7" t="s">
        <v>71</v>
      </c>
    </row>
    <row r="69" spans="1:17" ht="90" customHeight="1" x14ac:dyDescent="0.25">
      <c r="A69" s="1" t="s">
        <v>167</v>
      </c>
      <c r="B69" s="15">
        <v>41464</v>
      </c>
      <c r="C69" s="16">
        <v>41486</v>
      </c>
      <c r="D69" s="15" t="s">
        <v>476</v>
      </c>
      <c r="E69" s="16" t="s">
        <v>476</v>
      </c>
      <c r="F69" s="17" t="str">
        <f>+"31-MAY-2013"</f>
        <v>31-MAY-2013</v>
      </c>
      <c r="G69" s="47">
        <f t="shared" si="1"/>
        <v>656</v>
      </c>
      <c r="H69" s="1" t="str">
        <f>+""</f>
        <v/>
      </c>
      <c r="I69" s="18"/>
      <c r="J69" s="1"/>
      <c r="K69" s="16"/>
      <c r="L69" s="86" t="s">
        <v>10</v>
      </c>
      <c r="M69" s="1" t="s">
        <v>168</v>
      </c>
      <c r="N69" s="1" t="s">
        <v>13</v>
      </c>
      <c r="O69" s="1" t="s">
        <v>14</v>
      </c>
      <c r="P69" s="1" t="s">
        <v>21</v>
      </c>
      <c r="Q69" s="7" t="s">
        <v>71</v>
      </c>
    </row>
    <row r="70" spans="1:17" ht="90" customHeight="1" x14ac:dyDescent="0.25">
      <c r="A70" s="1" t="s">
        <v>171</v>
      </c>
      <c r="B70" s="15">
        <v>41509</v>
      </c>
      <c r="C70" s="16">
        <v>41520</v>
      </c>
      <c r="D70" s="15" t="s">
        <v>476</v>
      </c>
      <c r="E70" s="16">
        <v>41719</v>
      </c>
      <c r="F70" s="17" t="str">
        <f>+"13-JUN-2013"</f>
        <v>13-JUN-2013</v>
      </c>
      <c r="G70" s="47">
        <f t="shared" si="1"/>
        <v>643</v>
      </c>
      <c r="H70" s="1" t="str">
        <f>+""</f>
        <v/>
      </c>
      <c r="I70" s="18"/>
      <c r="J70" s="1"/>
      <c r="K70" s="16"/>
      <c r="L70" s="86" t="s">
        <v>10</v>
      </c>
      <c r="M70" s="1" t="s">
        <v>172</v>
      </c>
      <c r="N70" s="1" t="s">
        <v>13</v>
      </c>
      <c r="O70" s="1" t="s">
        <v>59</v>
      </c>
      <c r="P70" s="1" t="s">
        <v>21</v>
      </c>
      <c r="Q70" s="7" t="s">
        <v>173</v>
      </c>
    </row>
    <row r="71" spans="1:17" ht="114" customHeight="1" x14ac:dyDescent="0.25">
      <c r="A71" s="1" t="s">
        <v>382</v>
      </c>
      <c r="B71" s="15" t="s">
        <v>491</v>
      </c>
      <c r="C71" s="16" t="s">
        <v>476</v>
      </c>
      <c r="D71" s="15">
        <v>41765</v>
      </c>
      <c r="E71" s="16" t="s">
        <v>476</v>
      </c>
      <c r="F71" s="17" t="str">
        <f>+"27-JUN-2013"</f>
        <v>27-JUN-2013</v>
      </c>
      <c r="G71" s="47">
        <f t="shared" si="1"/>
        <v>629</v>
      </c>
      <c r="H71" s="1" t="str">
        <f>+""</f>
        <v/>
      </c>
      <c r="I71" s="18"/>
      <c r="J71" s="1"/>
      <c r="K71" s="16"/>
      <c r="L71" s="86" t="s">
        <v>19</v>
      </c>
      <c r="M71" s="1" t="s">
        <v>383</v>
      </c>
      <c r="N71" s="1" t="s">
        <v>13</v>
      </c>
      <c r="O71" s="1" t="s">
        <v>87</v>
      </c>
      <c r="P71" s="1" t="s">
        <v>21</v>
      </c>
      <c r="Q71" s="7" t="s">
        <v>71</v>
      </c>
    </row>
    <row r="72" spans="1:17" ht="90" customHeight="1" x14ac:dyDescent="0.25">
      <c r="A72" s="1" t="s">
        <v>177</v>
      </c>
      <c r="B72" s="15" t="s">
        <v>476</v>
      </c>
      <c r="C72" s="16" t="s">
        <v>476</v>
      </c>
      <c r="D72" s="15" t="s">
        <v>476</v>
      </c>
      <c r="E72" s="16" t="s">
        <v>476</v>
      </c>
      <c r="F72" s="17" t="str">
        <f>+"28-JUN-2013"</f>
        <v>28-JUN-2013</v>
      </c>
      <c r="G72" s="47">
        <f t="shared" si="1"/>
        <v>628</v>
      </c>
      <c r="H72" s="1" t="str">
        <f>+""</f>
        <v/>
      </c>
      <c r="I72" s="18"/>
      <c r="J72" s="1"/>
      <c r="K72" s="16"/>
      <c r="L72" s="86" t="s">
        <v>10</v>
      </c>
      <c r="M72" s="1" t="s">
        <v>178</v>
      </c>
      <c r="N72" s="1" t="s">
        <v>13</v>
      </c>
      <c r="O72" s="1" t="s">
        <v>14</v>
      </c>
      <c r="P72" s="1" t="s">
        <v>36</v>
      </c>
      <c r="Q72" s="7" t="s">
        <v>152</v>
      </c>
    </row>
    <row r="73" spans="1:17" ht="90" customHeight="1" x14ac:dyDescent="0.25">
      <c r="A73" s="1" t="s">
        <v>179</v>
      </c>
      <c r="B73" s="15">
        <v>41660</v>
      </c>
      <c r="C73" s="16">
        <v>41600</v>
      </c>
      <c r="D73" s="15">
        <v>41809</v>
      </c>
      <c r="E73" s="16">
        <v>41811</v>
      </c>
      <c r="F73" s="17" t="str">
        <f>+"01-JUL-2013"</f>
        <v>01-JUL-2013</v>
      </c>
      <c r="G73" s="47">
        <f t="shared" si="1"/>
        <v>625</v>
      </c>
      <c r="H73" s="1" t="str">
        <f>+""</f>
        <v/>
      </c>
      <c r="I73" s="18"/>
      <c r="J73" s="1"/>
      <c r="K73" s="16"/>
      <c r="L73" s="86" t="s">
        <v>10</v>
      </c>
      <c r="M73" s="1" t="s">
        <v>180</v>
      </c>
      <c r="N73" s="1" t="s">
        <v>13</v>
      </c>
      <c r="O73" s="1" t="s">
        <v>17</v>
      </c>
      <c r="P73" s="1" t="s">
        <v>36</v>
      </c>
      <c r="Q73" s="7" t="s">
        <v>88</v>
      </c>
    </row>
    <row r="74" spans="1:17" ht="90" customHeight="1" x14ac:dyDescent="0.25">
      <c r="A74" s="1" t="s">
        <v>336</v>
      </c>
      <c r="B74" s="15">
        <v>41863</v>
      </c>
      <c r="C74" s="16" t="s">
        <v>476</v>
      </c>
      <c r="D74" s="15">
        <v>42046</v>
      </c>
      <c r="E74" s="16" t="s">
        <v>476</v>
      </c>
      <c r="F74" s="17" t="str">
        <f>+"12-JUL-2013"</f>
        <v>12-JUL-2013</v>
      </c>
      <c r="G74" s="47">
        <f t="shared" si="1"/>
        <v>614</v>
      </c>
      <c r="H74" s="1" t="str">
        <f>+""</f>
        <v/>
      </c>
      <c r="I74" s="18"/>
      <c r="J74" s="1"/>
      <c r="K74" s="16"/>
      <c r="L74" s="86" t="s">
        <v>10</v>
      </c>
      <c r="M74" s="1" t="s">
        <v>337</v>
      </c>
      <c r="N74" s="1" t="s">
        <v>13</v>
      </c>
      <c r="O74" s="1" t="s">
        <v>25</v>
      </c>
      <c r="P74" s="1" t="s">
        <v>15</v>
      </c>
      <c r="Q74" s="7" t="s">
        <v>28</v>
      </c>
    </row>
    <row r="75" spans="1:17" ht="90" customHeight="1" x14ac:dyDescent="0.25">
      <c r="A75" s="1" t="s">
        <v>182</v>
      </c>
      <c r="B75" s="15" t="s">
        <v>476</v>
      </c>
      <c r="C75" s="16" t="s">
        <v>476</v>
      </c>
      <c r="D75" s="15" t="s">
        <v>476</v>
      </c>
      <c r="E75" s="16" t="s">
        <v>476</v>
      </c>
      <c r="F75" s="17" t="str">
        <f>+"13-AUG-2013"</f>
        <v>13-AUG-2013</v>
      </c>
      <c r="G75" s="47">
        <f t="shared" si="1"/>
        <v>582</v>
      </c>
      <c r="H75" s="1" t="str">
        <f>+""</f>
        <v/>
      </c>
      <c r="I75" s="18"/>
      <c r="J75" s="1"/>
      <c r="K75" s="16"/>
      <c r="L75" s="86" t="s">
        <v>19</v>
      </c>
      <c r="M75" s="1" t="s">
        <v>720</v>
      </c>
      <c r="N75" s="1" t="s">
        <v>13</v>
      </c>
      <c r="O75" s="1" t="s">
        <v>14</v>
      </c>
      <c r="P75" s="1" t="s">
        <v>36</v>
      </c>
      <c r="Q75" s="7" t="s">
        <v>596</v>
      </c>
    </row>
    <row r="76" spans="1:17" ht="90" customHeight="1" x14ac:dyDescent="0.25">
      <c r="A76" s="1" t="s">
        <v>184</v>
      </c>
      <c r="B76" s="15">
        <v>41625</v>
      </c>
      <c r="C76" s="16" t="s">
        <v>476</v>
      </c>
      <c r="D76" s="15" t="s">
        <v>476</v>
      </c>
      <c r="E76" s="16" t="s">
        <v>476</v>
      </c>
      <c r="F76" s="17" t="str">
        <f>+"28-AUG-2013"</f>
        <v>28-AUG-2013</v>
      </c>
      <c r="G76" s="47">
        <f t="shared" si="1"/>
        <v>567</v>
      </c>
      <c r="H76" s="1" t="str">
        <f>+""</f>
        <v/>
      </c>
      <c r="I76" s="18"/>
      <c r="J76" s="1"/>
      <c r="K76" s="16"/>
      <c r="L76" s="86" t="s">
        <v>10</v>
      </c>
      <c r="M76" s="1" t="s">
        <v>185</v>
      </c>
      <c r="N76" s="1" t="s">
        <v>13</v>
      </c>
      <c r="O76" s="1" t="s">
        <v>14</v>
      </c>
      <c r="P76" s="1" t="s">
        <v>21</v>
      </c>
      <c r="Q76" s="7" t="s">
        <v>152</v>
      </c>
    </row>
    <row r="77" spans="1:17" ht="90" customHeight="1" x14ac:dyDescent="0.25">
      <c r="A77" s="1" t="s">
        <v>186</v>
      </c>
      <c r="B77" s="15">
        <v>41575</v>
      </c>
      <c r="C77" s="16">
        <v>41585</v>
      </c>
      <c r="D77" s="15" t="s">
        <v>476</v>
      </c>
      <c r="E77" s="16">
        <v>41625</v>
      </c>
      <c r="F77" s="17" t="str">
        <f>+"30-AUG-2013"</f>
        <v>30-AUG-2013</v>
      </c>
      <c r="G77" s="47">
        <f t="shared" si="1"/>
        <v>565</v>
      </c>
      <c r="H77" s="1" t="str">
        <f>+""</f>
        <v/>
      </c>
      <c r="I77" s="18"/>
      <c r="J77" s="1"/>
      <c r="K77" s="16"/>
      <c r="L77" s="86" t="s">
        <v>10</v>
      </c>
      <c r="M77" s="1" t="s">
        <v>187</v>
      </c>
      <c r="N77" s="1" t="s">
        <v>13</v>
      </c>
      <c r="O77" s="1" t="s">
        <v>14</v>
      </c>
      <c r="P77" s="1" t="s">
        <v>36</v>
      </c>
      <c r="Q77" s="7" t="s">
        <v>190</v>
      </c>
    </row>
    <row r="78" spans="1:17" ht="90" customHeight="1" x14ac:dyDescent="0.25">
      <c r="A78" s="1" t="s">
        <v>188</v>
      </c>
      <c r="B78" s="15">
        <v>41575</v>
      </c>
      <c r="C78" s="16">
        <v>41585</v>
      </c>
      <c r="D78" s="15" t="s">
        <v>476</v>
      </c>
      <c r="E78" s="16">
        <v>41625</v>
      </c>
      <c r="F78" s="17" t="str">
        <f>+"30-AUG-2013"</f>
        <v>30-AUG-2013</v>
      </c>
      <c r="G78" s="47">
        <f t="shared" si="1"/>
        <v>565</v>
      </c>
      <c r="H78" s="1" t="str">
        <f>+""</f>
        <v/>
      </c>
      <c r="I78" s="18"/>
      <c r="J78" s="1"/>
      <c r="K78" s="16"/>
      <c r="L78" s="86" t="s">
        <v>10</v>
      </c>
      <c r="M78" s="1" t="s">
        <v>189</v>
      </c>
      <c r="N78" s="1" t="s">
        <v>13</v>
      </c>
      <c r="O78" s="1" t="s">
        <v>14</v>
      </c>
      <c r="P78" s="1" t="s">
        <v>36</v>
      </c>
      <c r="Q78" s="7" t="s">
        <v>190</v>
      </c>
    </row>
    <row r="79" spans="1:17" ht="90" customHeight="1" x14ac:dyDescent="0.25">
      <c r="A79" s="86" t="s">
        <v>191</v>
      </c>
      <c r="B79" s="15">
        <v>41575</v>
      </c>
      <c r="C79" s="16">
        <v>41585</v>
      </c>
      <c r="D79" s="15" t="s">
        <v>476</v>
      </c>
      <c r="E79" s="16">
        <v>41625</v>
      </c>
      <c r="F79" s="17" t="str">
        <f>+"03-SEP-2013"</f>
        <v>03-SEP-2013</v>
      </c>
      <c r="G79" s="47">
        <f t="shared" si="1"/>
        <v>561</v>
      </c>
      <c r="H79" s="1" t="str">
        <f>+""</f>
        <v/>
      </c>
      <c r="I79" s="18"/>
      <c r="J79" s="1"/>
      <c r="K79" s="16"/>
      <c r="L79" s="86" t="s">
        <v>10</v>
      </c>
      <c r="M79" s="1" t="s">
        <v>192</v>
      </c>
      <c r="N79" s="86" t="s">
        <v>13</v>
      </c>
      <c r="O79" s="86" t="s">
        <v>14</v>
      </c>
      <c r="P79" s="1" t="s">
        <v>36</v>
      </c>
      <c r="Q79" s="89" t="s">
        <v>190</v>
      </c>
    </row>
    <row r="80" spans="1:17" ht="90" customHeight="1" x14ac:dyDescent="0.25">
      <c r="A80" s="1" t="s">
        <v>193</v>
      </c>
      <c r="B80" s="15">
        <v>41575</v>
      </c>
      <c r="C80" s="16">
        <v>41585</v>
      </c>
      <c r="D80" s="15" t="s">
        <v>476</v>
      </c>
      <c r="E80" s="16">
        <v>41625</v>
      </c>
      <c r="F80" s="17" t="str">
        <f>+"03-SEP-2013"</f>
        <v>03-SEP-2013</v>
      </c>
      <c r="G80" s="47">
        <f t="shared" si="1"/>
        <v>561</v>
      </c>
      <c r="H80" s="1" t="str">
        <f>+""</f>
        <v/>
      </c>
      <c r="I80" s="18"/>
      <c r="J80" s="1"/>
      <c r="K80" s="16"/>
      <c r="L80" s="86" t="s">
        <v>10</v>
      </c>
      <c r="M80" s="1" t="s">
        <v>194</v>
      </c>
      <c r="N80" s="1" t="s">
        <v>13</v>
      </c>
      <c r="O80" s="1" t="s">
        <v>14</v>
      </c>
      <c r="P80" s="1" t="s">
        <v>36</v>
      </c>
      <c r="Q80" s="7" t="s">
        <v>190</v>
      </c>
    </row>
    <row r="81" spans="1:17" ht="90" customHeight="1" x14ac:dyDescent="0.25">
      <c r="A81" s="1" t="s">
        <v>195</v>
      </c>
      <c r="B81" s="15">
        <v>41575</v>
      </c>
      <c r="C81" s="16">
        <v>41585</v>
      </c>
      <c r="D81" s="15" t="s">
        <v>476</v>
      </c>
      <c r="E81" s="16">
        <v>41625</v>
      </c>
      <c r="F81" s="17" t="str">
        <f>+"04-SEP-2013"</f>
        <v>04-SEP-2013</v>
      </c>
      <c r="G81" s="47">
        <f t="shared" si="1"/>
        <v>560</v>
      </c>
      <c r="H81" s="1" t="str">
        <f>+""</f>
        <v/>
      </c>
      <c r="I81" s="18"/>
      <c r="J81" s="1"/>
      <c r="K81" s="16"/>
      <c r="L81" s="86" t="s">
        <v>10</v>
      </c>
      <c r="M81" s="1" t="s">
        <v>196</v>
      </c>
      <c r="N81" s="1" t="s">
        <v>13</v>
      </c>
      <c r="O81" s="1" t="s">
        <v>14</v>
      </c>
      <c r="P81" s="1" t="s">
        <v>36</v>
      </c>
      <c r="Q81" s="7" t="s">
        <v>190</v>
      </c>
    </row>
    <row r="82" spans="1:17" ht="90" customHeight="1" x14ac:dyDescent="0.25">
      <c r="A82" s="1" t="s">
        <v>197</v>
      </c>
      <c r="B82" s="15">
        <v>41611</v>
      </c>
      <c r="C82" s="16">
        <v>41705</v>
      </c>
      <c r="D82" s="15">
        <v>41800</v>
      </c>
      <c r="E82" s="16">
        <v>41857</v>
      </c>
      <c r="F82" s="17" t="str">
        <f>+"16-SEP-2013"</f>
        <v>16-SEP-2013</v>
      </c>
      <c r="G82" s="47">
        <f t="shared" si="1"/>
        <v>548</v>
      </c>
      <c r="H82" s="1" t="str">
        <f>+""</f>
        <v/>
      </c>
      <c r="I82" s="18"/>
      <c r="J82" s="1"/>
      <c r="K82" s="16"/>
      <c r="L82" s="86" t="s">
        <v>10</v>
      </c>
      <c r="M82" s="1" t="s">
        <v>198</v>
      </c>
      <c r="N82" s="1" t="s">
        <v>13</v>
      </c>
      <c r="O82" s="1" t="s">
        <v>59</v>
      </c>
      <c r="P82" s="1" t="s">
        <v>36</v>
      </c>
      <c r="Q82" s="7" t="s">
        <v>57</v>
      </c>
    </row>
    <row r="83" spans="1:17" ht="90" customHeight="1" x14ac:dyDescent="0.25">
      <c r="A83" s="1" t="s">
        <v>384</v>
      </c>
      <c r="B83" s="15">
        <v>41626</v>
      </c>
      <c r="C83" s="16">
        <v>41669</v>
      </c>
      <c r="D83" s="15">
        <v>41816</v>
      </c>
      <c r="E83" s="16">
        <v>41891</v>
      </c>
      <c r="F83" s="17" t="str">
        <f>+"19-SEP-2013"</f>
        <v>19-SEP-2013</v>
      </c>
      <c r="G83" s="47">
        <f t="shared" si="1"/>
        <v>545</v>
      </c>
      <c r="H83" s="1" t="str">
        <f>+""</f>
        <v/>
      </c>
      <c r="I83" s="18"/>
      <c r="J83" s="1"/>
      <c r="K83" s="16"/>
      <c r="L83" s="86" t="s">
        <v>10</v>
      </c>
      <c r="M83" s="1" t="s">
        <v>385</v>
      </c>
      <c r="N83" s="1" t="s">
        <v>13</v>
      </c>
      <c r="O83" s="1" t="s">
        <v>48</v>
      </c>
      <c r="P83" s="1" t="s">
        <v>41</v>
      </c>
      <c r="Q83" s="7" t="s">
        <v>97</v>
      </c>
    </row>
    <row r="84" spans="1:17" ht="90" customHeight="1" x14ac:dyDescent="0.25">
      <c r="A84" s="1" t="s">
        <v>449</v>
      </c>
      <c r="B84" s="15">
        <v>41571</v>
      </c>
      <c r="C84" s="16">
        <v>41592</v>
      </c>
      <c r="D84" s="15">
        <v>41803</v>
      </c>
      <c r="E84" s="16">
        <v>41890</v>
      </c>
      <c r="F84" s="17" t="str">
        <f>+"19-SEP-2013"</f>
        <v>19-SEP-2013</v>
      </c>
      <c r="G84" s="47">
        <f t="shared" si="1"/>
        <v>545</v>
      </c>
      <c r="H84" s="1" t="str">
        <f>+""</f>
        <v/>
      </c>
      <c r="I84" s="18"/>
      <c r="J84" s="1"/>
      <c r="K84" s="16"/>
      <c r="L84" s="86" t="s">
        <v>10</v>
      </c>
      <c r="M84" s="1" t="s">
        <v>450</v>
      </c>
      <c r="N84" s="1" t="s">
        <v>13</v>
      </c>
      <c r="O84" s="1" t="s">
        <v>14</v>
      </c>
      <c r="P84" s="1" t="s">
        <v>21</v>
      </c>
      <c r="Q84" s="7" t="s">
        <v>65</v>
      </c>
    </row>
    <row r="85" spans="1:17" ht="90" customHeight="1" x14ac:dyDescent="0.25">
      <c r="A85" s="1" t="s">
        <v>206</v>
      </c>
      <c r="B85" s="15">
        <v>41618</v>
      </c>
      <c r="C85" s="16">
        <v>41688</v>
      </c>
      <c r="D85" s="15" t="s">
        <v>476</v>
      </c>
      <c r="E85" s="16" t="s">
        <v>476</v>
      </c>
      <c r="F85" s="17" t="str">
        <f>+"20-SEP-2013"</f>
        <v>20-SEP-2013</v>
      </c>
      <c r="G85" s="47">
        <f t="shared" si="1"/>
        <v>544</v>
      </c>
      <c r="H85" s="1" t="str">
        <f>+""</f>
        <v/>
      </c>
      <c r="I85" s="18"/>
      <c r="J85" s="1"/>
      <c r="K85" s="16"/>
      <c r="L85" s="86" t="s">
        <v>19</v>
      </c>
      <c r="M85" s="1" t="s">
        <v>577</v>
      </c>
      <c r="N85" s="1" t="s">
        <v>13</v>
      </c>
      <c r="O85" s="1" t="s">
        <v>17</v>
      </c>
      <c r="P85" s="1" t="s">
        <v>15</v>
      </c>
      <c r="Q85" s="7" t="s">
        <v>16</v>
      </c>
    </row>
    <row r="86" spans="1:17" ht="90" customHeight="1" x14ac:dyDescent="0.25">
      <c r="A86" s="1" t="s">
        <v>201</v>
      </c>
      <c r="B86" s="15" t="s">
        <v>476</v>
      </c>
      <c r="C86" s="16" t="s">
        <v>476</v>
      </c>
      <c r="D86" s="15" t="s">
        <v>476</v>
      </c>
      <c r="E86" s="16" t="s">
        <v>476</v>
      </c>
      <c r="F86" s="17" t="str">
        <f>+"23-SEP-2013"</f>
        <v>23-SEP-2013</v>
      </c>
      <c r="G86" s="47">
        <f t="shared" si="1"/>
        <v>541</v>
      </c>
      <c r="H86" s="1" t="str">
        <f>+""</f>
        <v/>
      </c>
      <c r="I86" s="18"/>
      <c r="J86" s="1"/>
      <c r="K86" s="16"/>
      <c r="L86" s="86" t="s">
        <v>19</v>
      </c>
      <c r="M86" s="1" t="s">
        <v>202</v>
      </c>
      <c r="N86" s="1" t="s">
        <v>13</v>
      </c>
      <c r="O86" s="1" t="s">
        <v>25</v>
      </c>
      <c r="P86" s="1" t="s">
        <v>36</v>
      </c>
      <c r="Q86" s="7" t="s">
        <v>49</v>
      </c>
    </row>
    <row r="87" spans="1:17" ht="90" customHeight="1" x14ac:dyDescent="0.25">
      <c r="A87" s="1" t="s">
        <v>203</v>
      </c>
      <c r="B87" s="15" t="s">
        <v>476</v>
      </c>
      <c r="C87" s="16" t="s">
        <v>476</v>
      </c>
      <c r="D87" s="15" t="s">
        <v>476</v>
      </c>
      <c r="E87" s="16" t="s">
        <v>476</v>
      </c>
      <c r="F87" s="17" t="str">
        <f>+"23-SEP-2013"</f>
        <v>23-SEP-2013</v>
      </c>
      <c r="G87" s="47">
        <f t="shared" si="1"/>
        <v>541</v>
      </c>
      <c r="H87" s="1" t="str">
        <f>+""</f>
        <v/>
      </c>
      <c r="I87" s="18"/>
      <c r="J87" s="1"/>
      <c r="K87" s="16"/>
      <c r="L87" s="86" t="s">
        <v>19</v>
      </c>
      <c r="M87" s="1" t="s">
        <v>204</v>
      </c>
      <c r="N87" s="1" t="s">
        <v>13</v>
      </c>
      <c r="O87" s="1" t="s">
        <v>87</v>
      </c>
      <c r="P87" s="1" t="s">
        <v>36</v>
      </c>
      <c r="Q87" s="7" t="s">
        <v>205</v>
      </c>
    </row>
    <row r="88" spans="1:17" ht="90" customHeight="1" x14ac:dyDescent="0.25">
      <c r="A88" s="1" t="s">
        <v>199</v>
      </c>
      <c r="B88" s="15" t="s">
        <v>476</v>
      </c>
      <c r="C88" s="16" t="s">
        <v>476</v>
      </c>
      <c r="D88" s="15" t="s">
        <v>476</v>
      </c>
      <c r="E88" s="16" t="s">
        <v>476</v>
      </c>
      <c r="F88" s="17" t="str">
        <f>+"25-SEP-2013"</f>
        <v>25-SEP-2013</v>
      </c>
      <c r="G88" s="47">
        <f t="shared" si="1"/>
        <v>539</v>
      </c>
      <c r="H88" s="1" t="str">
        <f>+""</f>
        <v/>
      </c>
      <c r="I88" s="18"/>
      <c r="J88" s="1"/>
      <c r="K88" s="16"/>
      <c r="L88" s="86" t="s">
        <v>10</v>
      </c>
      <c r="M88" s="1" t="s">
        <v>200</v>
      </c>
      <c r="N88" s="1" t="s">
        <v>13</v>
      </c>
      <c r="O88" s="1" t="s">
        <v>14</v>
      </c>
      <c r="P88" s="1" t="s">
        <v>36</v>
      </c>
      <c r="Q88" s="7" t="s">
        <v>152</v>
      </c>
    </row>
    <row r="89" spans="1:17" ht="90" customHeight="1" x14ac:dyDescent="0.25">
      <c r="A89" s="1" t="s">
        <v>386</v>
      </c>
      <c r="B89" s="15">
        <v>41648</v>
      </c>
      <c r="C89" s="16">
        <v>41681</v>
      </c>
      <c r="D89" s="15">
        <v>41913</v>
      </c>
      <c r="E89" s="16" t="s">
        <v>476</v>
      </c>
      <c r="F89" s="17" t="str">
        <f>+"03-OCT-2013"</f>
        <v>03-OCT-2013</v>
      </c>
      <c r="G89" s="47">
        <f t="shared" si="1"/>
        <v>531</v>
      </c>
      <c r="H89" s="1" t="str">
        <f>+""</f>
        <v/>
      </c>
      <c r="I89" s="18"/>
      <c r="J89" s="1"/>
      <c r="K89" s="16"/>
      <c r="L89" s="86" t="s">
        <v>10</v>
      </c>
      <c r="M89" s="1" t="s">
        <v>576</v>
      </c>
      <c r="N89" s="1" t="s">
        <v>13</v>
      </c>
      <c r="O89" s="1" t="s">
        <v>25</v>
      </c>
      <c r="P89" s="1" t="s">
        <v>36</v>
      </c>
      <c r="Q89" s="7" t="s">
        <v>149</v>
      </c>
    </row>
    <row r="90" spans="1:17" ht="108" customHeight="1" x14ac:dyDescent="0.25">
      <c r="A90" s="1" t="s">
        <v>207</v>
      </c>
      <c r="B90" s="15">
        <v>41703</v>
      </c>
      <c r="C90" s="16" t="s">
        <v>476</v>
      </c>
      <c r="D90" s="15" t="s">
        <v>476</v>
      </c>
      <c r="E90" s="16" t="s">
        <v>476</v>
      </c>
      <c r="F90" s="17" t="str">
        <f>+"10-OCT-2013"</f>
        <v>10-OCT-2013</v>
      </c>
      <c r="G90" s="47">
        <f t="shared" si="1"/>
        <v>524</v>
      </c>
      <c r="H90" s="1" t="str">
        <f>+""</f>
        <v/>
      </c>
      <c r="I90" s="18"/>
      <c r="J90" s="1"/>
      <c r="K90" s="16"/>
      <c r="L90" s="86" t="s">
        <v>19</v>
      </c>
      <c r="M90" s="1" t="s">
        <v>208</v>
      </c>
      <c r="N90" s="1" t="s">
        <v>13</v>
      </c>
      <c r="O90" s="1" t="s">
        <v>17</v>
      </c>
      <c r="P90" s="1" t="s">
        <v>36</v>
      </c>
      <c r="Q90" s="7" t="s">
        <v>57</v>
      </c>
    </row>
    <row r="91" spans="1:17" ht="90" customHeight="1" x14ac:dyDescent="0.25">
      <c r="A91" s="1" t="s">
        <v>338</v>
      </c>
      <c r="B91" s="15">
        <v>41647</v>
      </c>
      <c r="C91" s="16">
        <v>41684</v>
      </c>
      <c r="D91" s="15" t="s">
        <v>476</v>
      </c>
      <c r="E91" s="16" t="s">
        <v>476</v>
      </c>
      <c r="F91" s="17" t="str">
        <f>+"10-OCT-2013"</f>
        <v>10-OCT-2013</v>
      </c>
      <c r="G91" s="47">
        <f t="shared" si="1"/>
        <v>524</v>
      </c>
      <c r="H91" s="1" t="str">
        <f>+""</f>
        <v/>
      </c>
      <c r="I91" s="18"/>
      <c r="J91" s="1"/>
      <c r="K91" s="16"/>
      <c r="L91" s="86" t="s">
        <v>10</v>
      </c>
      <c r="M91" s="1" t="s">
        <v>339</v>
      </c>
      <c r="N91" s="1" t="s">
        <v>13</v>
      </c>
      <c r="O91" s="1" t="s">
        <v>87</v>
      </c>
      <c r="P91" s="1" t="s">
        <v>36</v>
      </c>
      <c r="Q91" s="7" t="s">
        <v>340</v>
      </c>
    </row>
    <row r="92" spans="1:17" ht="90" customHeight="1" x14ac:dyDescent="0.25">
      <c r="A92" s="1" t="s">
        <v>214</v>
      </c>
      <c r="B92" s="15" t="s">
        <v>476</v>
      </c>
      <c r="C92" s="16" t="s">
        <v>476</v>
      </c>
      <c r="D92" s="15" t="s">
        <v>476</v>
      </c>
      <c r="E92" s="16" t="s">
        <v>476</v>
      </c>
      <c r="F92" s="17" t="str">
        <f>+"22-OCT-2013"</f>
        <v>22-OCT-2013</v>
      </c>
      <c r="G92" s="47">
        <f t="shared" si="1"/>
        <v>512</v>
      </c>
      <c r="H92" s="1" t="str">
        <f>+""</f>
        <v/>
      </c>
      <c r="I92" s="18"/>
      <c r="J92" s="1"/>
      <c r="K92" s="16"/>
      <c r="L92" s="86" t="s">
        <v>19</v>
      </c>
      <c r="M92" s="1" t="s">
        <v>215</v>
      </c>
      <c r="N92" s="1" t="s">
        <v>13</v>
      </c>
      <c r="O92" s="1" t="s">
        <v>25</v>
      </c>
      <c r="P92" s="1" t="s">
        <v>36</v>
      </c>
      <c r="Q92" s="7" t="s">
        <v>57</v>
      </c>
    </row>
    <row r="93" spans="1:17" ht="90" customHeight="1" x14ac:dyDescent="0.25">
      <c r="A93" s="1" t="s">
        <v>210</v>
      </c>
      <c r="B93" s="15" t="s">
        <v>476</v>
      </c>
      <c r="C93" s="16" t="s">
        <v>476</v>
      </c>
      <c r="D93" s="15" t="s">
        <v>476</v>
      </c>
      <c r="E93" s="16" t="s">
        <v>476</v>
      </c>
      <c r="F93" s="17" t="str">
        <f>+"25-OCT-2013"</f>
        <v>25-OCT-2013</v>
      </c>
      <c r="G93" s="47">
        <f t="shared" si="1"/>
        <v>509</v>
      </c>
      <c r="H93" s="1" t="str">
        <f>+""</f>
        <v/>
      </c>
      <c r="I93" s="18"/>
      <c r="J93" s="1"/>
      <c r="K93" s="16"/>
      <c r="L93" s="86" t="s">
        <v>10</v>
      </c>
      <c r="M93" s="1" t="s">
        <v>211</v>
      </c>
      <c r="N93" s="1" t="s">
        <v>13</v>
      </c>
      <c r="O93" s="1" t="s">
        <v>14</v>
      </c>
      <c r="P93" s="1" t="s">
        <v>652</v>
      </c>
      <c r="Q93" s="7" t="s">
        <v>22</v>
      </c>
    </row>
    <row r="94" spans="1:17" ht="90" customHeight="1" x14ac:dyDescent="0.25">
      <c r="A94" s="1" t="s">
        <v>212</v>
      </c>
      <c r="B94" s="15" t="s">
        <v>476</v>
      </c>
      <c r="C94" s="16" t="s">
        <v>476</v>
      </c>
      <c r="D94" s="15" t="s">
        <v>476</v>
      </c>
      <c r="E94" s="16" t="s">
        <v>476</v>
      </c>
      <c r="F94" s="17" t="str">
        <f>+"28-OCT-2013"</f>
        <v>28-OCT-2013</v>
      </c>
      <c r="G94" s="47">
        <f t="shared" si="1"/>
        <v>506</v>
      </c>
      <c r="H94" s="1" t="str">
        <f>+""</f>
        <v/>
      </c>
      <c r="I94" s="18"/>
      <c r="J94" s="1"/>
      <c r="K94" s="16"/>
      <c r="L94" s="86" t="s">
        <v>10</v>
      </c>
      <c r="M94" s="1" t="s">
        <v>213</v>
      </c>
      <c r="N94" s="1" t="s">
        <v>13</v>
      </c>
      <c r="O94" s="1" t="s">
        <v>14</v>
      </c>
      <c r="P94" s="1" t="s">
        <v>36</v>
      </c>
      <c r="Q94" s="7" t="s">
        <v>22</v>
      </c>
    </row>
    <row r="95" spans="1:17" ht="90" customHeight="1" x14ac:dyDescent="0.25">
      <c r="A95" s="1" t="s">
        <v>219</v>
      </c>
      <c r="B95" s="15" t="s">
        <v>476</v>
      </c>
      <c r="C95" s="16" t="s">
        <v>476</v>
      </c>
      <c r="D95" s="15" t="s">
        <v>476</v>
      </c>
      <c r="E95" s="16" t="s">
        <v>476</v>
      </c>
      <c r="F95" s="17" t="str">
        <f>+"06-NOV-2013"</f>
        <v>06-NOV-2013</v>
      </c>
      <c r="G95" s="47">
        <f t="shared" si="1"/>
        <v>497</v>
      </c>
      <c r="H95" s="1" t="str">
        <f>+""</f>
        <v/>
      </c>
      <c r="I95" s="18"/>
      <c r="J95" s="1"/>
      <c r="K95" s="16"/>
      <c r="L95" s="86" t="s">
        <v>19</v>
      </c>
      <c r="M95" s="1" t="s">
        <v>220</v>
      </c>
      <c r="N95" s="1" t="s">
        <v>13</v>
      </c>
      <c r="O95" s="1" t="s">
        <v>25</v>
      </c>
      <c r="P95" s="1" t="s">
        <v>21</v>
      </c>
      <c r="Q95" s="7" t="s">
        <v>57</v>
      </c>
    </row>
    <row r="96" spans="1:17" ht="90" customHeight="1" x14ac:dyDescent="0.25">
      <c r="A96" s="1" t="s">
        <v>216</v>
      </c>
      <c r="B96" s="15">
        <v>41681</v>
      </c>
      <c r="C96" s="16">
        <v>41725</v>
      </c>
      <c r="D96" s="15">
        <v>42017</v>
      </c>
      <c r="E96" s="16" t="s">
        <v>476</v>
      </c>
      <c r="F96" s="17" t="str">
        <f>+"12-NOV-2013"</f>
        <v>12-NOV-2013</v>
      </c>
      <c r="G96" s="47">
        <f t="shared" si="1"/>
        <v>491</v>
      </c>
      <c r="H96" s="1" t="str">
        <f>+""</f>
        <v/>
      </c>
      <c r="I96" s="18"/>
      <c r="J96" s="1"/>
      <c r="K96" s="16"/>
      <c r="L96" s="86" t="s">
        <v>10</v>
      </c>
      <c r="M96" s="1" t="s">
        <v>217</v>
      </c>
      <c r="N96" s="1" t="s">
        <v>13</v>
      </c>
      <c r="O96" s="1" t="s">
        <v>14</v>
      </c>
      <c r="P96" s="1" t="s">
        <v>36</v>
      </c>
      <c r="Q96" s="7" t="s">
        <v>218</v>
      </c>
    </row>
    <row r="97" spans="1:17" ht="90" customHeight="1" x14ac:dyDescent="0.25">
      <c r="A97" s="1" t="s">
        <v>341</v>
      </c>
      <c r="B97" s="15">
        <v>41652</v>
      </c>
      <c r="C97" s="16">
        <v>41787</v>
      </c>
      <c r="D97" s="15">
        <v>41869</v>
      </c>
      <c r="E97" s="16">
        <v>41904</v>
      </c>
      <c r="F97" s="17" t="str">
        <f>+"12-NOV-2013"</f>
        <v>12-NOV-2013</v>
      </c>
      <c r="G97" s="47">
        <f t="shared" si="1"/>
        <v>491</v>
      </c>
      <c r="H97" s="1" t="str">
        <f>+""</f>
        <v/>
      </c>
      <c r="I97" s="18"/>
      <c r="J97" s="1"/>
      <c r="K97" s="16"/>
      <c r="L97" s="86" t="s">
        <v>10</v>
      </c>
      <c r="M97" s="1" t="s">
        <v>342</v>
      </c>
      <c r="N97" s="1" t="s">
        <v>13</v>
      </c>
      <c r="O97" s="1" t="s">
        <v>14</v>
      </c>
      <c r="P97" s="1" t="s">
        <v>652</v>
      </c>
      <c r="Q97" s="7" t="s">
        <v>134</v>
      </c>
    </row>
    <row r="98" spans="1:17" ht="90" customHeight="1" x14ac:dyDescent="0.25">
      <c r="A98" s="1" t="s">
        <v>451</v>
      </c>
      <c r="B98" s="15">
        <v>41619</v>
      </c>
      <c r="C98" s="16">
        <v>41661</v>
      </c>
      <c r="D98" s="15" t="s">
        <v>476</v>
      </c>
      <c r="E98" s="16" t="s">
        <v>476</v>
      </c>
      <c r="F98" s="17" t="str">
        <f>+"14-NOV-2013"</f>
        <v>14-NOV-2013</v>
      </c>
      <c r="G98" s="47">
        <f t="shared" si="1"/>
        <v>489</v>
      </c>
      <c r="H98" s="1" t="str">
        <f>+""</f>
        <v/>
      </c>
      <c r="I98" s="18"/>
      <c r="J98" s="1"/>
      <c r="K98" s="16"/>
      <c r="L98" s="86" t="s">
        <v>19</v>
      </c>
      <c r="M98" s="1" t="s">
        <v>452</v>
      </c>
      <c r="N98" s="1" t="s">
        <v>13</v>
      </c>
      <c r="O98" s="1" t="s">
        <v>14</v>
      </c>
      <c r="P98" s="1" t="s">
        <v>36</v>
      </c>
      <c r="Q98" s="7" t="s">
        <v>111</v>
      </c>
    </row>
    <row r="99" spans="1:17" ht="90" customHeight="1" x14ac:dyDescent="0.25">
      <c r="A99" s="1" t="s">
        <v>453</v>
      </c>
      <c r="B99" s="15" t="s">
        <v>476</v>
      </c>
      <c r="C99" s="16">
        <v>41774</v>
      </c>
      <c r="D99" s="15" t="s">
        <v>476</v>
      </c>
      <c r="E99" s="16" t="s">
        <v>476</v>
      </c>
      <c r="F99" s="17" t="str">
        <f>+"14-NOV-2013"</f>
        <v>14-NOV-2013</v>
      </c>
      <c r="G99" s="47">
        <f t="shared" si="1"/>
        <v>489</v>
      </c>
      <c r="H99" s="1" t="str">
        <f>+""</f>
        <v/>
      </c>
      <c r="I99" s="18"/>
      <c r="J99" s="1"/>
      <c r="K99" s="16"/>
      <c r="L99" s="86" t="s">
        <v>19</v>
      </c>
      <c r="M99" s="1" t="s">
        <v>454</v>
      </c>
      <c r="N99" s="1" t="s">
        <v>13</v>
      </c>
      <c r="O99" s="1" t="s">
        <v>14</v>
      </c>
      <c r="P99" s="1" t="s">
        <v>21</v>
      </c>
      <c r="Q99" s="7" t="s">
        <v>173</v>
      </c>
    </row>
    <row r="100" spans="1:17" ht="90" customHeight="1" x14ac:dyDescent="0.25">
      <c r="A100" s="1" t="s">
        <v>455</v>
      </c>
      <c r="B100" s="15">
        <v>41696</v>
      </c>
      <c r="C100" s="16">
        <v>41911</v>
      </c>
      <c r="D100" s="15" t="s">
        <v>476</v>
      </c>
      <c r="E100" s="16" t="s">
        <v>476</v>
      </c>
      <c r="F100" s="17" t="str">
        <f>+"14-NOV-2013"</f>
        <v>14-NOV-2013</v>
      </c>
      <c r="G100" s="47">
        <f t="shared" si="1"/>
        <v>489</v>
      </c>
      <c r="H100" s="1" t="str">
        <f>+""</f>
        <v/>
      </c>
      <c r="I100" s="18"/>
      <c r="J100" s="1"/>
      <c r="K100" s="16"/>
      <c r="L100" s="86" t="s">
        <v>19</v>
      </c>
      <c r="M100" s="1" t="s">
        <v>456</v>
      </c>
      <c r="N100" s="1" t="s">
        <v>13</v>
      </c>
      <c r="O100" s="1" t="s">
        <v>14</v>
      </c>
      <c r="P100" s="1" t="s">
        <v>36</v>
      </c>
      <c r="Q100" s="7" t="s">
        <v>152</v>
      </c>
    </row>
    <row r="101" spans="1:17" ht="90" customHeight="1" x14ac:dyDescent="0.25">
      <c r="A101" s="1" t="s">
        <v>221</v>
      </c>
      <c r="B101" s="15">
        <v>41787</v>
      </c>
      <c r="C101" s="16">
        <v>41934</v>
      </c>
      <c r="D101" s="15" t="s">
        <v>476</v>
      </c>
      <c r="E101" s="16" t="s">
        <v>476</v>
      </c>
      <c r="F101" s="17" t="str">
        <f>+"02-DEC-2013"</f>
        <v>02-DEC-2013</v>
      </c>
      <c r="G101" s="47">
        <f t="shared" si="1"/>
        <v>471</v>
      </c>
      <c r="H101" s="1" t="str">
        <f>+""</f>
        <v/>
      </c>
      <c r="I101" s="18"/>
      <c r="J101" s="1"/>
      <c r="K101" s="16"/>
      <c r="L101" s="86" t="s">
        <v>19</v>
      </c>
      <c r="M101" s="1" t="s">
        <v>222</v>
      </c>
      <c r="N101" s="1" t="s">
        <v>13</v>
      </c>
      <c r="O101" s="1" t="s">
        <v>17</v>
      </c>
      <c r="P101" s="1" t="s">
        <v>15</v>
      </c>
      <c r="Q101" s="7" t="s">
        <v>28</v>
      </c>
    </row>
    <row r="102" spans="1:17" ht="90" customHeight="1" x14ac:dyDescent="0.25">
      <c r="A102" s="1" t="s">
        <v>225</v>
      </c>
      <c r="B102" s="15">
        <v>41878</v>
      </c>
      <c r="C102" s="16" t="s">
        <v>476</v>
      </c>
      <c r="D102" s="15" t="s">
        <v>476</v>
      </c>
      <c r="E102" s="16" t="s">
        <v>476</v>
      </c>
      <c r="F102" s="17" t="str">
        <f>+"02-DEC-2013"</f>
        <v>02-DEC-2013</v>
      </c>
      <c r="G102" s="47">
        <f t="shared" si="1"/>
        <v>471</v>
      </c>
      <c r="H102" s="1" t="str">
        <f>+""</f>
        <v/>
      </c>
      <c r="I102" s="18"/>
      <c r="J102" s="1"/>
      <c r="K102" s="16"/>
      <c r="L102" s="86" t="s">
        <v>19</v>
      </c>
      <c r="M102" s="1" t="s">
        <v>226</v>
      </c>
      <c r="N102" s="1" t="s">
        <v>13</v>
      </c>
      <c r="O102" s="1" t="s">
        <v>25</v>
      </c>
      <c r="P102" s="1" t="s">
        <v>41</v>
      </c>
      <c r="Q102" s="7" t="s">
        <v>149</v>
      </c>
    </row>
    <row r="103" spans="1:17" ht="90" customHeight="1" x14ac:dyDescent="0.25">
      <c r="A103" s="1" t="s">
        <v>223</v>
      </c>
      <c r="B103" s="15">
        <v>41765</v>
      </c>
      <c r="C103" s="16" t="s">
        <v>476</v>
      </c>
      <c r="D103" s="15" t="s">
        <v>476</v>
      </c>
      <c r="E103" s="16" t="s">
        <v>476</v>
      </c>
      <c r="F103" s="17" t="str">
        <f>+"04-DEC-2013"</f>
        <v>04-DEC-2013</v>
      </c>
      <c r="G103" s="47">
        <f t="shared" si="1"/>
        <v>469</v>
      </c>
      <c r="H103" s="1" t="str">
        <f>+""</f>
        <v/>
      </c>
      <c r="I103" s="18"/>
      <c r="J103" s="1"/>
      <c r="K103" s="16"/>
      <c r="L103" s="86" t="s">
        <v>19</v>
      </c>
      <c r="M103" s="1" t="s">
        <v>224</v>
      </c>
      <c r="N103" s="1" t="s">
        <v>13</v>
      </c>
      <c r="O103" s="1" t="s">
        <v>25</v>
      </c>
      <c r="P103" s="1" t="s">
        <v>41</v>
      </c>
      <c r="Q103" s="7" t="s">
        <v>49</v>
      </c>
    </row>
    <row r="104" spans="1:17" ht="90" customHeight="1" x14ac:dyDescent="0.25">
      <c r="A104" s="1" t="s">
        <v>343</v>
      </c>
      <c r="B104" s="15">
        <v>41759</v>
      </c>
      <c r="C104" s="16">
        <v>41822</v>
      </c>
      <c r="D104" s="15">
        <v>41974</v>
      </c>
      <c r="E104" s="16">
        <v>41780</v>
      </c>
      <c r="F104" s="17" t="str">
        <f>+"06-DEC-2013"</f>
        <v>06-DEC-2013</v>
      </c>
      <c r="G104" s="47">
        <f t="shared" si="1"/>
        <v>467</v>
      </c>
      <c r="H104" s="1" t="str">
        <f>+""</f>
        <v/>
      </c>
      <c r="I104" s="18"/>
      <c r="J104" s="1"/>
      <c r="K104" s="16"/>
      <c r="L104" s="86" t="s">
        <v>10</v>
      </c>
      <c r="M104" s="1" t="s">
        <v>344</v>
      </c>
      <c r="N104" s="1" t="s">
        <v>13</v>
      </c>
      <c r="O104" s="1" t="s">
        <v>25</v>
      </c>
      <c r="P104" s="1" t="s">
        <v>41</v>
      </c>
      <c r="Q104" s="7" t="s">
        <v>517</v>
      </c>
    </row>
    <row r="105" spans="1:17" ht="90" customHeight="1" x14ac:dyDescent="0.25">
      <c r="A105" s="1" t="s">
        <v>227</v>
      </c>
      <c r="B105" s="15">
        <v>41932</v>
      </c>
      <c r="C105" s="16">
        <v>41746</v>
      </c>
      <c r="D105" s="15">
        <v>42037</v>
      </c>
      <c r="E105" s="16" t="s">
        <v>476</v>
      </c>
      <c r="F105" s="17" t="str">
        <f>+"19-DEC-2013"</f>
        <v>19-DEC-2013</v>
      </c>
      <c r="G105" s="47">
        <f t="shared" si="1"/>
        <v>454</v>
      </c>
      <c r="H105" s="1" t="str">
        <f>+""</f>
        <v/>
      </c>
      <c r="I105" s="18"/>
      <c r="J105" s="1"/>
      <c r="K105" s="16"/>
      <c r="L105" s="86" t="s">
        <v>10</v>
      </c>
      <c r="M105" s="1" t="s">
        <v>583</v>
      </c>
      <c r="N105" s="1" t="s">
        <v>13</v>
      </c>
      <c r="O105" s="1" t="s">
        <v>59</v>
      </c>
      <c r="P105" s="1" t="s">
        <v>36</v>
      </c>
      <c r="Q105" s="7" t="s">
        <v>687</v>
      </c>
    </row>
    <row r="106" spans="1:17" ht="90" customHeight="1" x14ac:dyDescent="0.25">
      <c r="A106" s="1" t="s">
        <v>457</v>
      </c>
      <c r="B106" s="15">
        <v>41695</v>
      </c>
      <c r="C106" s="16">
        <v>41765</v>
      </c>
      <c r="D106" s="15" t="s">
        <v>476</v>
      </c>
      <c r="E106" s="16" t="s">
        <v>476</v>
      </c>
      <c r="F106" s="17" t="str">
        <f>+"19-DEC-2013"</f>
        <v>19-DEC-2013</v>
      </c>
      <c r="G106" s="47">
        <f t="shared" si="1"/>
        <v>454</v>
      </c>
      <c r="H106" s="1" t="str">
        <f>+""</f>
        <v/>
      </c>
      <c r="I106" s="18"/>
      <c r="J106" s="1"/>
      <c r="K106" s="16"/>
      <c r="L106" s="86" t="s">
        <v>10</v>
      </c>
      <c r="M106" s="1" t="s">
        <v>431</v>
      </c>
      <c r="N106" s="1" t="s">
        <v>13</v>
      </c>
      <c r="O106" s="1" t="s">
        <v>14</v>
      </c>
      <c r="P106" s="1" t="s">
        <v>41</v>
      </c>
      <c r="Q106" s="7" t="s">
        <v>263</v>
      </c>
    </row>
    <row r="107" spans="1:17" ht="101.25" customHeight="1" x14ac:dyDescent="0.25">
      <c r="A107" s="1" t="s">
        <v>458</v>
      </c>
      <c r="B107" s="15">
        <v>41681</v>
      </c>
      <c r="C107" s="16">
        <v>41821</v>
      </c>
      <c r="D107" s="15" t="s">
        <v>476</v>
      </c>
      <c r="E107" s="16" t="s">
        <v>476</v>
      </c>
      <c r="F107" s="17" t="str">
        <f>+"19-DEC-2013"</f>
        <v>19-DEC-2013</v>
      </c>
      <c r="G107" s="47">
        <f t="shared" si="1"/>
        <v>454</v>
      </c>
      <c r="H107" s="1" t="str">
        <f>+""</f>
        <v/>
      </c>
      <c r="I107" s="18"/>
      <c r="J107" s="1"/>
      <c r="K107" s="16"/>
      <c r="L107" s="86" t="s">
        <v>19</v>
      </c>
      <c r="M107" s="1" t="s">
        <v>459</v>
      </c>
      <c r="N107" s="1" t="s">
        <v>13</v>
      </c>
      <c r="O107" s="1" t="s">
        <v>17</v>
      </c>
      <c r="P107" s="1" t="s">
        <v>15</v>
      </c>
      <c r="Q107" s="7" t="s">
        <v>111</v>
      </c>
    </row>
    <row r="108" spans="1:17" ht="90" customHeight="1" x14ac:dyDescent="0.25">
      <c r="A108" s="1" t="s">
        <v>228</v>
      </c>
      <c r="B108" s="15">
        <v>41711</v>
      </c>
      <c r="C108" s="16">
        <v>41764</v>
      </c>
      <c r="D108" s="15" t="s">
        <v>476</v>
      </c>
      <c r="E108" s="16">
        <v>41733</v>
      </c>
      <c r="F108" s="17" t="str">
        <f>+"20-DEC-2013"</f>
        <v>20-DEC-2013</v>
      </c>
      <c r="G108" s="47">
        <f t="shared" si="1"/>
        <v>453</v>
      </c>
      <c r="H108" s="1" t="str">
        <f>+""</f>
        <v/>
      </c>
      <c r="I108" s="18"/>
      <c r="J108" s="1"/>
      <c r="K108" s="16"/>
      <c r="L108" s="86" t="s">
        <v>10</v>
      </c>
      <c r="M108" s="1" t="s">
        <v>229</v>
      </c>
      <c r="N108" s="1" t="s">
        <v>13</v>
      </c>
      <c r="O108" s="1" t="s">
        <v>59</v>
      </c>
      <c r="P108" s="1" t="s">
        <v>21</v>
      </c>
      <c r="Q108" s="7" t="s">
        <v>16</v>
      </c>
    </row>
    <row r="109" spans="1:17" ht="90" customHeight="1" x14ac:dyDescent="0.25">
      <c r="A109" s="1" t="s">
        <v>230</v>
      </c>
      <c r="B109" s="15">
        <v>41932</v>
      </c>
      <c r="C109" s="16" t="s">
        <v>476</v>
      </c>
      <c r="D109" s="15" t="s">
        <v>476</v>
      </c>
      <c r="E109" s="16">
        <v>42062</v>
      </c>
      <c r="F109" s="17" t="str">
        <f>+"23-DEC-2013"</f>
        <v>23-DEC-2013</v>
      </c>
      <c r="G109" s="47">
        <f t="shared" si="1"/>
        <v>450</v>
      </c>
      <c r="H109" s="1" t="str">
        <f>+""</f>
        <v/>
      </c>
      <c r="I109" s="18"/>
      <c r="J109" s="1"/>
      <c r="K109" s="16"/>
      <c r="L109" s="86" t="s">
        <v>19</v>
      </c>
      <c r="M109" s="1" t="s">
        <v>578</v>
      </c>
      <c r="N109" s="1" t="s">
        <v>13</v>
      </c>
      <c r="O109" s="1" t="s">
        <v>48</v>
      </c>
      <c r="P109" s="1" t="s">
        <v>652</v>
      </c>
      <c r="Q109" s="7" t="s">
        <v>97</v>
      </c>
    </row>
    <row r="110" spans="1:17" ht="90" customHeight="1" x14ac:dyDescent="0.25">
      <c r="A110" s="1" t="s">
        <v>231</v>
      </c>
      <c r="B110" s="15">
        <v>41730</v>
      </c>
      <c r="C110" s="16">
        <v>41746</v>
      </c>
      <c r="D110" s="15">
        <v>41807</v>
      </c>
      <c r="E110" s="16">
        <v>41855</v>
      </c>
      <c r="F110" s="17" t="str">
        <f>+"02-JAN-2014"</f>
        <v>02-JAN-2014</v>
      </c>
      <c r="G110" s="47">
        <f t="shared" si="1"/>
        <v>440</v>
      </c>
      <c r="H110" s="1" t="str">
        <f>+""</f>
        <v/>
      </c>
      <c r="I110" s="18"/>
      <c r="J110" s="1"/>
      <c r="K110" s="16"/>
      <c r="L110" s="86" t="s">
        <v>10</v>
      </c>
      <c r="M110" s="1" t="s">
        <v>582</v>
      </c>
      <c r="N110" s="1" t="s">
        <v>13</v>
      </c>
      <c r="O110" s="1" t="s">
        <v>17</v>
      </c>
      <c r="P110" s="1" t="s">
        <v>36</v>
      </c>
      <c r="Q110" s="7" t="s">
        <v>49</v>
      </c>
    </row>
    <row r="111" spans="1:17" ht="90" customHeight="1" x14ac:dyDescent="0.25">
      <c r="A111" s="1" t="s">
        <v>232</v>
      </c>
      <c r="B111" s="15">
        <v>41708</v>
      </c>
      <c r="C111" s="16">
        <v>41731</v>
      </c>
      <c r="D111" s="15">
        <v>41757</v>
      </c>
      <c r="E111" s="16">
        <v>41775</v>
      </c>
      <c r="F111" s="17" t="str">
        <f>+"10-JAN-2014"</f>
        <v>10-JAN-2014</v>
      </c>
      <c r="G111" s="47">
        <f t="shared" si="1"/>
        <v>432</v>
      </c>
      <c r="H111" s="1" t="str">
        <f>+""</f>
        <v/>
      </c>
      <c r="I111" s="18"/>
      <c r="J111" s="1"/>
      <c r="K111" s="16"/>
      <c r="L111" s="86" t="s">
        <v>10</v>
      </c>
      <c r="M111" s="1" t="s">
        <v>724</v>
      </c>
      <c r="N111" s="1" t="s">
        <v>13</v>
      </c>
      <c r="O111" s="1" t="s">
        <v>14</v>
      </c>
      <c r="P111" s="1" t="s">
        <v>41</v>
      </c>
      <c r="Q111" s="7" t="s">
        <v>541</v>
      </c>
    </row>
    <row r="112" spans="1:17" ht="90" customHeight="1" x14ac:dyDescent="0.25">
      <c r="A112" s="1" t="s">
        <v>345</v>
      </c>
      <c r="B112" s="15">
        <v>41792</v>
      </c>
      <c r="C112" s="16" t="s">
        <v>476</v>
      </c>
      <c r="D112" s="15" t="s">
        <v>476</v>
      </c>
      <c r="E112" s="16" t="s">
        <v>476</v>
      </c>
      <c r="F112" s="17" t="str">
        <f>+"10-JAN-2014"</f>
        <v>10-JAN-2014</v>
      </c>
      <c r="G112" s="47">
        <f t="shared" si="1"/>
        <v>432</v>
      </c>
      <c r="H112" s="1" t="str">
        <f>+""</f>
        <v/>
      </c>
      <c r="I112" s="18"/>
      <c r="J112" s="1"/>
      <c r="K112" s="16"/>
      <c r="L112" s="86" t="s">
        <v>10</v>
      </c>
      <c r="M112" s="1" t="s">
        <v>346</v>
      </c>
      <c r="N112" s="1" t="s">
        <v>13</v>
      </c>
      <c r="O112" s="1" t="s">
        <v>59</v>
      </c>
      <c r="P112" s="1" t="s">
        <v>21</v>
      </c>
      <c r="Q112" s="7" t="s">
        <v>33</v>
      </c>
    </row>
    <row r="113" spans="1:17" ht="90" customHeight="1" x14ac:dyDescent="0.25">
      <c r="A113" s="1" t="s">
        <v>387</v>
      </c>
      <c r="B113" s="15">
        <v>41746</v>
      </c>
      <c r="C113" s="16">
        <v>41802</v>
      </c>
      <c r="D113" s="15">
        <v>41842</v>
      </c>
      <c r="E113" s="16">
        <v>41908</v>
      </c>
      <c r="F113" s="17" t="str">
        <f>+"16-JAN-2014"</f>
        <v>16-JAN-2014</v>
      </c>
      <c r="G113" s="47">
        <f t="shared" si="1"/>
        <v>426</v>
      </c>
      <c r="H113" s="1" t="str">
        <f>+""</f>
        <v/>
      </c>
      <c r="I113" s="18"/>
      <c r="J113" s="1"/>
      <c r="K113" s="16"/>
      <c r="L113" s="86" t="s">
        <v>10</v>
      </c>
      <c r="M113" s="1" t="s">
        <v>581</v>
      </c>
      <c r="N113" s="1" t="s">
        <v>13</v>
      </c>
      <c r="O113" s="1" t="s">
        <v>48</v>
      </c>
      <c r="P113" s="1" t="s">
        <v>36</v>
      </c>
      <c r="Q113" s="7" t="s">
        <v>209</v>
      </c>
    </row>
    <row r="114" spans="1:17" ht="90" customHeight="1" x14ac:dyDescent="0.25">
      <c r="A114" s="1" t="s">
        <v>234</v>
      </c>
      <c r="B114" s="15">
        <v>41744</v>
      </c>
      <c r="C114" s="16">
        <v>41773</v>
      </c>
      <c r="D114" s="15">
        <v>41836</v>
      </c>
      <c r="E114" s="16" t="s">
        <v>476</v>
      </c>
      <c r="F114" s="17" t="str">
        <f>+"17-JAN-2014"</f>
        <v>17-JAN-2014</v>
      </c>
      <c r="G114" s="47">
        <f t="shared" si="1"/>
        <v>425</v>
      </c>
      <c r="H114" s="1" t="str">
        <f>+""</f>
        <v/>
      </c>
      <c r="I114" s="18"/>
      <c r="J114" s="1"/>
      <c r="K114" s="16"/>
      <c r="L114" s="86" t="s">
        <v>19</v>
      </c>
      <c r="M114" s="1" t="s">
        <v>621</v>
      </c>
      <c r="N114" s="1" t="s">
        <v>13</v>
      </c>
      <c r="O114" s="1" t="s">
        <v>17</v>
      </c>
      <c r="P114" s="1" t="s">
        <v>15</v>
      </c>
      <c r="Q114" s="7" t="s">
        <v>71</v>
      </c>
    </row>
    <row r="115" spans="1:17" ht="90" customHeight="1" x14ac:dyDescent="0.25">
      <c r="A115" s="1" t="s">
        <v>235</v>
      </c>
      <c r="B115" s="15">
        <v>41905</v>
      </c>
      <c r="C115" s="16" t="s">
        <v>476</v>
      </c>
      <c r="D115" s="15" t="s">
        <v>476</v>
      </c>
      <c r="E115" s="16" t="s">
        <v>476</v>
      </c>
      <c r="F115" s="17" t="str">
        <f>+"27-JAN-2014"</f>
        <v>27-JAN-2014</v>
      </c>
      <c r="G115" s="47">
        <f t="shared" si="1"/>
        <v>415</v>
      </c>
      <c r="H115" s="1" t="str">
        <f>+""</f>
        <v/>
      </c>
      <c r="I115" s="18"/>
      <c r="J115" s="1"/>
      <c r="K115" s="16"/>
      <c r="L115" s="86" t="s">
        <v>19</v>
      </c>
      <c r="M115" s="1" t="s">
        <v>236</v>
      </c>
      <c r="N115" s="1" t="s">
        <v>13</v>
      </c>
      <c r="O115" s="1" t="s">
        <v>25</v>
      </c>
      <c r="P115" s="1" t="s">
        <v>41</v>
      </c>
      <c r="Q115" s="7" t="s">
        <v>28</v>
      </c>
    </row>
    <row r="116" spans="1:17" ht="90" customHeight="1" x14ac:dyDescent="0.25">
      <c r="A116" s="1" t="s">
        <v>239</v>
      </c>
      <c r="B116" s="15">
        <v>41877</v>
      </c>
      <c r="C116" s="16" t="s">
        <v>476</v>
      </c>
      <c r="D116" s="15" t="s">
        <v>476</v>
      </c>
      <c r="E116" s="16" t="s">
        <v>476</v>
      </c>
      <c r="F116" s="17" t="str">
        <f>+"30-JAN-2014"</f>
        <v>30-JAN-2014</v>
      </c>
      <c r="G116" s="47">
        <f t="shared" si="1"/>
        <v>412</v>
      </c>
      <c r="H116" s="1" t="str">
        <f>+""</f>
        <v/>
      </c>
      <c r="I116" s="18"/>
      <c r="J116" s="1"/>
      <c r="K116" s="16"/>
      <c r="L116" s="86" t="s">
        <v>19</v>
      </c>
      <c r="M116" s="1" t="s">
        <v>240</v>
      </c>
      <c r="N116" s="1" t="s">
        <v>13</v>
      </c>
      <c r="O116" s="1" t="s">
        <v>25</v>
      </c>
      <c r="P116" s="1" t="s">
        <v>41</v>
      </c>
      <c r="Q116" s="7" t="s">
        <v>149</v>
      </c>
    </row>
    <row r="117" spans="1:17" ht="90" customHeight="1" x14ac:dyDescent="0.25">
      <c r="A117" s="1" t="s">
        <v>237</v>
      </c>
      <c r="B117" s="15">
        <v>41731</v>
      </c>
      <c r="C117" s="16">
        <v>41774</v>
      </c>
      <c r="D117" s="15">
        <v>42011</v>
      </c>
      <c r="E117" s="16">
        <v>42061</v>
      </c>
      <c r="F117" s="17" t="str">
        <f>+"31-JAN-2014"</f>
        <v>31-JAN-2014</v>
      </c>
      <c r="G117" s="47">
        <f t="shared" si="1"/>
        <v>411</v>
      </c>
      <c r="H117" s="1" t="str">
        <f>+""</f>
        <v/>
      </c>
      <c r="I117" s="18"/>
      <c r="J117" s="1"/>
      <c r="K117" s="16"/>
      <c r="L117" s="86" t="s">
        <v>10</v>
      </c>
      <c r="M117" s="1" t="s">
        <v>238</v>
      </c>
      <c r="N117" s="1" t="s">
        <v>13</v>
      </c>
      <c r="O117" s="1" t="s">
        <v>14</v>
      </c>
      <c r="P117" s="1" t="s">
        <v>21</v>
      </c>
      <c r="Q117" s="7" t="s">
        <v>47</v>
      </c>
    </row>
    <row r="118" spans="1:17" ht="90" customHeight="1" x14ac:dyDescent="0.25">
      <c r="A118" s="1" t="s">
        <v>241</v>
      </c>
      <c r="B118" s="15">
        <v>41878</v>
      </c>
      <c r="C118" s="16" t="s">
        <v>476</v>
      </c>
      <c r="D118" s="15" t="s">
        <v>476</v>
      </c>
      <c r="E118" s="16" t="s">
        <v>476</v>
      </c>
      <c r="F118" s="17" t="str">
        <f>+"31-JAN-2014"</f>
        <v>31-JAN-2014</v>
      </c>
      <c r="G118" s="47">
        <f t="shared" si="1"/>
        <v>411</v>
      </c>
      <c r="H118" s="1" t="str">
        <f>+""</f>
        <v/>
      </c>
      <c r="I118" s="18"/>
      <c r="J118" s="1"/>
      <c r="K118" s="16"/>
      <c r="L118" s="86" t="s">
        <v>19</v>
      </c>
      <c r="M118" s="1" t="s">
        <v>242</v>
      </c>
      <c r="N118" s="1" t="s">
        <v>13</v>
      </c>
      <c r="O118" s="1" t="s">
        <v>25</v>
      </c>
      <c r="P118" s="1" t="s">
        <v>41</v>
      </c>
      <c r="Q118" s="7" t="s">
        <v>149</v>
      </c>
    </row>
    <row r="119" spans="1:17" ht="90" customHeight="1" x14ac:dyDescent="0.25">
      <c r="A119" s="1" t="s">
        <v>460</v>
      </c>
      <c r="B119" s="15">
        <v>41746</v>
      </c>
      <c r="C119" s="16">
        <v>41779</v>
      </c>
      <c r="D119" s="15" t="s">
        <v>476</v>
      </c>
      <c r="E119" s="16" t="s">
        <v>476</v>
      </c>
      <c r="F119" s="17" t="str">
        <f>+"05-FEB-2014"</f>
        <v>05-FEB-2014</v>
      </c>
      <c r="G119" s="47">
        <f t="shared" si="1"/>
        <v>406</v>
      </c>
      <c r="H119" s="1" t="str">
        <f>+""</f>
        <v/>
      </c>
      <c r="I119" s="18"/>
      <c r="J119" s="1"/>
      <c r="K119" s="16"/>
      <c r="L119" s="86" t="s">
        <v>10</v>
      </c>
      <c r="M119" s="1" t="s">
        <v>579</v>
      </c>
      <c r="N119" s="1" t="s">
        <v>13</v>
      </c>
      <c r="O119" s="1" t="s">
        <v>14</v>
      </c>
      <c r="P119" s="1" t="s">
        <v>36</v>
      </c>
      <c r="Q119" s="7" t="s">
        <v>461</v>
      </c>
    </row>
    <row r="120" spans="1:17" ht="120.95" customHeight="1" x14ac:dyDescent="0.25">
      <c r="A120" s="1" t="s">
        <v>347</v>
      </c>
      <c r="B120" s="15">
        <v>41814</v>
      </c>
      <c r="C120" s="16" t="s">
        <v>476</v>
      </c>
      <c r="D120" s="15" t="s">
        <v>476</v>
      </c>
      <c r="E120" s="16" t="s">
        <v>476</v>
      </c>
      <c r="F120" s="17" t="str">
        <f>+"25-FEB-2014"</f>
        <v>25-FEB-2014</v>
      </c>
      <c r="G120" s="47">
        <f t="shared" si="1"/>
        <v>386</v>
      </c>
      <c r="H120" s="1" t="str">
        <f>+""</f>
        <v/>
      </c>
      <c r="I120" s="18"/>
      <c r="J120" s="1"/>
      <c r="K120" s="16"/>
      <c r="L120" s="86" t="s">
        <v>10</v>
      </c>
      <c r="M120" s="1" t="s">
        <v>348</v>
      </c>
      <c r="N120" s="1" t="s">
        <v>13</v>
      </c>
      <c r="O120" s="1" t="s">
        <v>17</v>
      </c>
      <c r="P120" s="1" t="s">
        <v>15</v>
      </c>
      <c r="Q120" s="7" t="s">
        <v>349</v>
      </c>
    </row>
    <row r="121" spans="1:17" ht="108" customHeight="1" x14ac:dyDescent="0.25">
      <c r="A121" s="1" t="s">
        <v>244</v>
      </c>
      <c r="B121" s="15">
        <v>41778</v>
      </c>
      <c r="C121" s="16">
        <v>41794</v>
      </c>
      <c r="D121" s="15" t="s">
        <v>476</v>
      </c>
      <c r="E121" s="16" t="s">
        <v>476</v>
      </c>
      <c r="F121" s="17" t="str">
        <f>+"28-FEB-2014"</f>
        <v>28-FEB-2014</v>
      </c>
      <c r="G121" s="47">
        <f t="shared" si="1"/>
        <v>383</v>
      </c>
      <c r="H121" s="1" t="str">
        <f>+""</f>
        <v/>
      </c>
      <c r="I121" s="18"/>
      <c r="J121" s="1"/>
      <c r="K121" s="16"/>
      <c r="L121" s="86" t="s">
        <v>10</v>
      </c>
      <c r="M121" s="1" t="s">
        <v>245</v>
      </c>
      <c r="N121" s="1" t="s">
        <v>13</v>
      </c>
      <c r="O121" s="1" t="s">
        <v>14</v>
      </c>
      <c r="P121" s="1" t="s">
        <v>21</v>
      </c>
      <c r="Q121" s="7" t="s">
        <v>47</v>
      </c>
    </row>
    <row r="122" spans="1:17" ht="90" customHeight="1" x14ac:dyDescent="0.25">
      <c r="A122" s="86" t="s">
        <v>250</v>
      </c>
      <c r="B122" s="15" t="s">
        <v>476</v>
      </c>
      <c r="C122" s="16" t="s">
        <v>476</v>
      </c>
      <c r="D122" s="15" t="s">
        <v>476</v>
      </c>
      <c r="E122" s="16" t="s">
        <v>476</v>
      </c>
      <c r="F122" s="17" t="str">
        <f>+"05-MAR-2014"</f>
        <v>05-MAR-2014</v>
      </c>
      <c r="G122" s="47">
        <f t="shared" si="1"/>
        <v>378</v>
      </c>
      <c r="H122" s="1" t="str">
        <f>+""</f>
        <v/>
      </c>
      <c r="I122" s="18"/>
      <c r="J122" s="1"/>
      <c r="K122" s="16"/>
      <c r="L122" s="86" t="s">
        <v>19</v>
      </c>
      <c r="M122" s="1" t="s">
        <v>251</v>
      </c>
      <c r="N122" s="1" t="s">
        <v>13</v>
      </c>
      <c r="O122" s="1" t="s">
        <v>25</v>
      </c>
      <c r="P122" s="86" t="s">
        <v>41</v>
      </c>
      <c r="Q122" s="89" t="s">
        <v>49</v>
      </c>
    </row>
    <row r="123" spans="1:17" ht="90" customHeight="1" x14ac:dyDescent="0.25">
      <c r="A123" s="1" t="s">
        <v>248</v>
      </c>
      <c r="B123" s="15" t="s">
        <v>476</v>
      </c>
      <c r="C123" s="16" t="s">
        <v>476</v>
      </c>
      <c r="D123" s="15" t="s">
        <v>476</v>
      </c>
      <c r="E123" s="16" t="s">
        <v>476</v>
      </c>
      <c r="F123" s="17" t="str">
        <f>+"10-MAR-2014"</f>
        <v>10-MAR-2014</v>
      </c>
      <c r="G123" s="47">
        <f t="shared" si="1"/>
        <v>373</v>
      </c>
      <c r="H123" s="1" t="str">
        <f>+""</f>
        <v/>
      </c>
      <c r="I123" s="18"/>
      <c r="J123" s="1"/>
      <c r="K123" s="16"/>
      <c r="L123" s="86" t="s">
        <v>19</v>
      </c>
      <c r="M123" s="1" t="s">
        <v>249</v>
      </c>
      <c r="N123" s="1" t="s">
        <v>13</v>
      </c>
      <c r="O123" s="1" t="s">
        <v>25</v>
      </c>
      <c r="P123" s="1" t="s">
        <v>36</v>
      </c>
      <c r="Q123" s="7" t="s">
        <v>58</v>
      </c>
    </row>
    <row r="124" spans="1:17" ht="112.7" customHeight="1" x14ac:dyDescent="0.25">
      <c r="A124" s="1" t="s">
        <v>462</v>
      </c>
      <c r="B124" s="15" t="s">
        <v>476</v>
      </c>
      <c r="C124" s="16" t="s">
        <v>476</v>
      </c>
      <c r="D124" s="15" t="s">
        <v>476</v>
      </c>
      <c r="E124" s="16" t="s">
        <v>476</v>
      </c>
      <c r="F124" s="17" t="str">
        <f>+"13-MAR-2014"</f>
        <v>13-MAR-2014</v>
      </c>
      <c r="G124" s="47">
        <f t="shared" si="1"/>
        <v>370</v>
      </c>
      <c r="H124" s="1" t="str">
        <f>+""</f>
        <v/>
      </c>
      <c r="I124" s="18"/>
      <c r="J124" s="1"/>
      <c r="K124" s="16"/>
      <c r="L124" s="86" t="s">
        <v>10</v>
      </c>
      <c r="M124" s="1" t="s">
        <v>463</v>
      </c>
      <c r="N124" s="1" t="s">
        <v>13</v>
      </c>
      <c r="O124" s="1" t="s">
        <v>59</v>
      </c>
      <c r="P124" s="1" t="s">
        <v>36</v>
      </c>
      <c r="Q124" s="7" t="s">
        <v>57</v>
      </c>
    </row>
    <row r="125" spans="1:17" ht="90" customHeight="1" x14ac:dyDescent="0.25">
      <c r="A125" s="1" t="s">
        <v>464</v>
      </c>
      <c r="B125" s="15">
        <v>41758</v>
      </c>
      <c r="C125" s="16">
        <v>41827</v>
      </c>
      <c r="D125" s="15" t="s">
        <v>476</v>
      </c>
      <c r="E125" s="16" t="s">
        <v>476</v>
      </c>
      <c r="F125" s="17" t="str">
        <f>+"13-MAR-2014"</f>
        <v>13-MAR-2014</v>
      </c>
      <c r="G125" s="47">
        <f t="shared" si="1"/>
        <v>370</v>
      </c>
      <c r="H125" s="1" t="str">
        <f>+""</f>
        <v/>
      </c>
      <c r="I125" s="18"/>
      <c r="J125" s="1"/>
      <c r="K125" s="16"/>
      <c r="L125" s="86" t="s">
        <v>19</v>
      </c>
      <c r="M125" s="1" t="s">
        <v>465</v>
      </c>
      <c r="N125" s="1" t="s">
        <v>13</v>
      </c>
      <c r="O125" s="1" t="s">
        <v>59</v>
      </c>
      <c r="P125" s="1" t="s">
        <v>36</v>
      </c>
      <c r="Q125" s="7" t="s">
        <v>57</v>
      </c>
    </row>
    <row r="126" spans="1:17" ht="106.5" customHeight="1" x14ac:dyDescent="0.25">
      <c r="A126" s="1" t="s">
        <v>246</v>
      </c>
      <c r="B126" s="15">
        <v>41843</v>
      </c>
      <c r="C126" s="16">
        <v>41915</v>
      </c>
      <c r="D126" s="15">
        <v>41990</v>
      </c>
      <c r="E126" s="16" t="s">
        <v>476</v>
      </c>
      <c r="F126" s="17" t="str">
        <f>+"14-MAR-2014"</f>
        <v>14-MAR-2014</v>
      </c>
      <c r="G126" s="47">
        <f t="shared" si="1"/>
        <v>369</v>
      </c>
      <c r="H126" s="1" t="str">
        <f>+""</f>
        <v/>
      </c>
      <c r="I126" s="18"/>
      <c r="J126" s="1"/>
      <c r="K126" s="16"/>
      <c r="L126" s="86" t="s">
        <v>10</v>
      </c>
      <c r="M126" s="1" t="s">
        <v>247</v>
      </c>
      <c r="N126" s="1" t="s">
        <v>13</v>
      </c>
      <c r="O126" s="1" t="s">
        <v>25</v>
      </c>
      <c r="P126" s="1" t="s">
        <v>36</v>
      </c>
      <c r="Q126" s="7" t="s">
        <v>28</v>
      </c>
    </row>
    <row r="127" spans="1:17" ht="90" customHeight="1" x14ac:dyDescent="0.25">
      <c r="A127" s="1" t="s">
        <v>252</v>
      </c>
      <c r="B127" s="15">
        <v>41829</v>
      </c>
      <c r="C127" s="16">
        <v>41844</v>
      </c>
      <c r="D127" s="15" t="s">
        <v>476</v>
      </c>
      <c r="E127" s="16" t="s">
        <v>476</v>
      </c>
      <c r="F127" s="17" t="str">
        <f>+"24-MAR-2014"</f>
        <v>24-MAR-2014</v>
      </c>
      <c r="G127" s="47">
        <f t="shared" si="1"/>
        <v>359</v>
      </c>
      <c r="H127" s="1" t="str">
        <f>+""</f>
        <v/>
      </c>
      <c r="I127" s="18"/>
      <c r="J127" s="1"/>
      <c r="K127" s="16"/>
      <c r="L127" s="86" t="s">
        <v>10</v>
      </c>
      <c r="M127" s="1" t="s">
        <v>253</v>
      </c>
      <c r="N127" s="1" t="s">
        <v>13</v>
      </c>
      <c r="O127" s="1" t="s">
        <v>14</v>
      </c>
      <c r="P127" s="1" t="s">
        <v>36</v>
      </c>
      <c r="Q127" s="7" t="s">
        <v>254</v>
      </c>
    </row>
    <row r="128" spans="1:17" ht="90" customHeight="1" x14ac:dyDescent="0.25">
      <c r="A128" s="82" t="s">
        <v>589</v>
      </c>
      <c r="B128" s="16" t="s">
        <v>476</v>
      </c>
      <c r="C128" s="16" t="s">
        <v>476</v>
      </c>
      <c r="D128" s="16" t="s">
        <v>476</v>
      </c>
      <c r="E128" s="16" t="s">
        <v>476</v>
      </c>
      <c r="F128" s="83" t="str">
        <f>+"24-MAR-2014"</f>
        <v>24-MAR-2014</v>
      </c>
      <c r="G128" s="47">
        <f t="shared" si="1"/>
        <v>359</v>
      </c>
      <c r="H128" s="1"/>
      <c r="I128" s="18"/>
      <c r="J128" s="1"/>
      <c r="K128" s="16"/>
      <c r="L128" s="86" t="s">
        <v>10</v>
      </c>
      <c r="M128" s="1" t="s">
        <v>593</v>
      </c>
      <c r="N128" s="1" t="s">
        <v>13</v>
      </c>
      <c r="O128" s="1" t="s">
        <v>17</v>
      </c>
      <c r="P128" s="82" t="s">
        <v>41</v>
      </c>
      <c r="Q128" s="83" t="s">
        <v>592</v>
      </c>
    </row>
    <row r="129" spans="1:17" ht="90" customHeight="1" x14ac:dyDescent="0.25">
      <c r="A129" s="1" t="s">
        <v>466</v>
      </c>
      <c r="B129" s="15" t="s">
        <v>476</v>
      </c>
      <c r="C129" s="16" t="s">
        <v>476</v>
      </c>
      <c r="D129" s="15" t="s">
        <v>476</v>
      </c>
      <c r="E129" s="16" t="s">
        <v>476</v>
      </c>
      <c r="F129" s="17" t="str">
        <f>+"27-MAR-2014"</f>
        <v>27-MAR-2014</v>
      </c>
      <c r="G129" s="47">
        <f t="shared" si="1"/>
        <v>356</v>
      </c>
      <c r="H129" s="1" t="str">
        <f>+""</f>
        <v/>
      </c>
      <c r="I129" s="18"/>
      <c r="J129" s="1"/>
      <c r="K129" s="16"/>
      <c r="L129" s="86" t="s">
        <v>19</v>
      </c>
      <c r="M129" s="1" t="s">
        <v>467</v>
      </c>
      <c r="N129" s="1" t="s">
        <v>13</v>
      </c>
      <c r="O129" s="1" t="s">
        <v>14</v>
      </c>
      <c r="P129" s="1" t="s">
        <v>36</v>
      </c>
      <c r="Q129" s="7" t="s">
        <v>108</v>
      </c>
    </row>
    <row r="130" spans="1:17" ht="90" customHeight="1" x14ac:dyDescent="0.25">
      <c r="A130" s="1" t="s">
        <v>255</v>
      </c>
      <c r="B130" s="15">
        <v>41778</v>
      </c>
      <c r="C130" s="16">
        <v>41789</v>
      </c>
      <c r="D130" s="15">
        <v>42038</v>
      </c>
      <c r="E130" s="16" t="s">
        <v>476</v>
      </c>
      <c r="F130" s="17" t="str">
        <f>+"01-APR-2014"</f>
        <v>01-APR-2014</v>
      </c>
      <c r="G130" s="47">
        <f t="shared" ref="G130:G193" si="2">DATE(2015, 3, 18)- F130</f>
        <v>351</v>
      </c>
      <c r="H130" s="1" t="str">
        <f>+""</f>
        <v/>
      </c>
      <c r="I130" s="18"/>
      <c r="J130" s="1"/>
      <c r="K130" s="16"/>
      <c r="L130" s="86" t="s">
        <v>10</v>
      </c>
      <c r="M130" s="1" t="s">
        <v>256</v>
      </c>
      <c r="N130" s="1" t="s">
        <v>13</v>
      </c>
      <c r="O130" s="1" t="s">
        <v>14</v>
      </c>
      <c r="P130" s="1" t="s">
        <v>21</v>
      </c>
      <c r="Q130" s="7" t="s">
        <v>71</v>
      </c>
    </row>
    <row r="131" spans="1:17" ht="78.2" customHeight="1" x14ac:dyDescent="0.25">
      <c r="A131" s="1" t="s">
        <v>266</v>
      </c>
      <c r="B131" s="15">
        <v>41814</v>
      </c>
      <c r="C131" s="16" t="s">
        <v>476</v>
      </c>
      <c r="D131" s="15" t="s">
        <v>476</v>
      </c>
      <c r="E131" s="16" t="s">
        <v>476</v>
      </c>
      <c r="F131" s="17" t="str">
        <f>+"04-APR-2014"</f>
        <v>04-APR-2014</v>
      </c>
      <c r="G131" s="47">
        <f t="shared" si="2"/>
        <v>348</v>
      </c>
      <c r="H131" s="1" t="str">
        <f>+""</f>
        <v/>
      </c>
      <c r="I131" s="18"/>
      <c r="J131" s="1"/>
      <c r="K131" s="16"/>
      <c r="L131" s="86" t="s">
        <v>10</v>
      </c>
      <c r="M131" s="1" t="s">
        <v>267</v>
      </c>
      <c r="N131" s="1" t="s">
        <v>13</v>
      </c>
      <c r="O131" s="1" t="s">
        <v>25</v>
      </c>
      <c r="P131" s="1" t="s">
        <v>41</v>
      </c>
      <c r="Q131" s="7" t="s">
        <v>58</v>
      </c>
    </row>
    <row r="132" spans="1:17" ht="90" customHeight="1" x14ac:dyDescent="0.25">
      <c r="A132" s="1" t="s">
        <v>257</v>
      </c>
      <c r="B132" s="15" t="s">
        <v>476</v>
      </c>
      <c r="C132" s="16" t="s">
        <v>476</v>
      </c>
      <c r="D132" s="15" t="s">
        <v>476</v>
      </c>
      <c r="E132" s="16" t="s">
        <v>476</v>
      </c>
      <c r="F132" s="17" t="str">
        <f>+"07-APR-2014"</f>
        <v>07-APR-2014</v>
      </c>
      <c r="G132" s="47">
        <f t="shared" si="2"/>
        <v>345</v>
      </c>
      <c r="H132" s="1" t="str">
        <f>+""</f>
        <v/>
      </c>
      <c r="I132" s="18"/>
      <c r="J132" s="1"/>
      <c r="K132" s="16"/>
      <c r="L132" s="86" t="s">
        <v>10</v>
      </c>
      <c r="M132" s="1" t="s">
        <v>258</v>
      </c>
      <c r="N132" s="1" t="s">
        <v>13</v>
      </c>
      <c r="O132" s="1" t="s">
        <v>14</v>
      </c>
      <c r="P132" s="1" t="s">
        <v>41</v>
      </c>
      <c r="Q132" s="7" t="s">
        <v>22</v>
      </c>
    </row>
    <row r="133" spans="1:17" ht="90" customHeight="1" x14ac:dyDescent="0.25">
      <c r="A133" s="1" t="s">
        <v>259</v>
      </c>
      <c r="B133" s="15">
        <v>41822</v>
      </c>
      <c r="C133" s="16">
        <v>41865</v>
      </c>
      <c r="D133" s="15">
        <v>41990</v>
      </c>
      <c r="E133" s="16" t="s">
        <v>476</v>
      </c>
      <c r="F133" s="17" t="str">
        <f>+"11-APR-2014"</f>
        <v>11-APR-2014</v>
      </c>
      <c r="G133" s="47">
        <f t="shared" si="2"/>
        <v>341</v>
      </c>
      <c r="H133" s="1" t="str">
        <f>+""</f>
        <v/>
      </c>
      <c r="I133" s="18"/>
      <c r="J133" s="1"/>
      <c r="K133" s="16"/>
      <c r="L133" s="86" t="s">
        <v>10</v>
      </c>
      <c r="M133" s="1" t="s">
        <v>260</v>
      </c>
      <c r="N133" s="1" t="s">
        <v>13</v>
      </c>
      <c r="O133" s="1" t="s">
        <v>25</v>
      </c>
      <c r="P133" s="1" t="s">
        <v>36</v>
      </c>
      <c r="Q133" s="7" t="s">
        <v>33</v>
      </c>
    </row>
    <row r="134" spans="1:17" ht="90" customHeight="1" x14ac:dyDescent="0.25">
      <c r="A134" s="1" t="s">
        <v>261</v>
      </c>
      <c r="B134" s="15">
        <v>41864</v>
      </c>
      <c r="C134" s="16">
        <v>41911</v>
      </c>
      <c r="D134" s="15" t="s">
        <v>476</v>
      </c>
      <c r="E134" s="16" t="s">
        <v>476</v>
      </c>
      <c r="F134" s="17" t="str">
        <f>+"11-APR-2014"</f>
        <v>11-APR-2014</v>
      </c>
      <c r="G134" s="47">
        <f t="shared" si="2"/>
        <v>341</v>
      </c>
      <c r="H134" s="1" t="str">
        <f>+""</f>
        <v/>
      </c>
      <c r="I134" s="18"/>
      <c r="J134" s="1"/>
      <c r="K134" s="16"/>
      <c r="L134" s="86" t="s">
        <v>10</v>
      </c>
      <c r="M134" s="1" t="s">
        <v>262</v>
      </c>
      <c r="N134" s="1" t="s">
        <v>13</v>
      </c>
      <c r="O134" s="1" t="s">
        <v>14</v>
      </c>
      <c r="P134" s="1" t="s">
        <v>36</v>
      </c>
      <c r="Q134" s="7" t="s">
        <v>152</v>
      </c>
    </row>
    <row r="135" spans="1:17" ht="98.45" customHeight="1" x14ac:dyDescent="0.25">
      <c r="A135" s="1" t="s">
        <v>264</v>
      </c>
      <c r="B135" s="15">
        <v>41961</v>
      </c>
      <c r="C135" s="16">
        <v>41968</v>
      </c>
      <c r="D135" s="15">
        <v>42082</v>
      </c>
      <c r="E135" s="16" t="s">
        <v>476</v>
      </c>
      <c r="F135" s="17" t="str">
        <f>+"15-APR-2014"</f>
        <v>15-APR-2014</v>
      </c>
      <c r="G135" s="47">
        <f t="shared" si="2"/>
        <v>337</v>
      </c>
      <c r="H135" s="1" t="str">
        <f>+""</f>
        <v/>
      </c>
      <c r="I135" s="18"/>
      <c r="J135" s="1"/>
      <c r="K135" s="16"/>
      <c r="L135" s="86" t="s">
        <v>10</v>
      </c>
      <c r="M135" s="1" t="s">
        <v>265</v>
      </c>
      <c r="N135" s="1" t="s">
        <v>13</v>
      </c>
      <c r="O135" s="1" t="s">
        <v>14</v>
      </c>
      <c r="P135" s="1" t="s">
        <v>21</v>
      </c>
      <c r="Q135" s="7" t="s">
        <v>71</v>
      </c>
    </row>
    <row r="136" spans="1:17" ht="90" customHeight="1" x14ac:dyDescent="0.25">
      <c r="A136" s="1" t="s">
        <v>270</v>
      </c>
      <c r="B136" s="15">
        <v>41821</v>
      </c>
      <c r="C136" s="16" t="s">
        <v>476</v>
      </c>
      <c r="D136" s="15" t="s">
        <v>476</v>
      </c>
      <c r="E136" s="16" t="s">
        <v>476</v>
      </c>
      <c r="F136" s="17" t="str">
        <f>+"22-APR-2014"</f>
        <v>22-APR-2014</v>
      </c>
      <c r="G136" s="47">
        <f t="shared" si="2"/>
        <v>330</v>
      </c>
      <c r="H136" s="1" t="str">
        <f>+""</f>
        <v/>
      </c>
      <c r="I136" s="18"/>
      <c r="J136" s="1"/>
      <c r="K136" s="16"/>
      <c r="L136" s="86" t="s">
        <v>10</v>
      </c>
      <c r="M136" s="1" t="s">
        <v>271</v>
      </c>
      <c r="N136" s="1" t="s">
        <v>13</v>
      </c>
      <c r="O136" s="1" t="s">
        <v>17</v>
      </c>
      <c r="P136" s="1" t="s">
        <v>21</v>
      </c>
      <c r="Q136" s="7" t="s">
        <v>653</v>
      </c>
    </row>
    <row r="137" spans="1:17" ht="90" customHeight="1" x14ac:dyDescent="0.25">
      <c r="A137" s="1" t="s">
        <v>272</v>
      </c>
      <c r="B137" s="15" t="s">
        <v>476</v>
      </c>
      <c r="C137" s="16" t="s">
        <v>476</v>
      </c>
      <c r="D137" s="15" t="s">
        <v>476</v>
      </c>
      <c r="E137" s="16" t="s">
        <v>476</v>
      </c>
      <c r="F137" s="17" t="str">
        <f>+"23-APR-2014"</f>
        <v>23-APR-2014</v>
      </c>
      <c r="G137" s="47">
        <f t="shared" si="2"/>
        <v>329</v>
      </c>
      <c r="H137" s="1" t="str">
        <f>+""</f>
        <v/>
      </c>
      <c r="I137" s="18"/>
      <c r="J137" s="1"/>
      <c r="K137" s="16"/>
      <c r="L137" s="86" t="s">
        <v>19</v>
      </c>
      <c r="M137" s="1" t="s">
        <v>273</v>
      </c>
      <c r="N137" s="1" t="s">
        <v>13</v>
      </c>
      <c r="O137" s="1" t="s">
        <v>25</v>
      </c>
      <c r="P137" s="1" t="s">
        <v>41</v>
      </c>
      <c r="Q137" s="7" t="s">
        <v>49</v>
      </c>
    </row>
    <row r="138" spans="1:17" ht="90" customHeight="1" x14ac:dyDescent="0.25">
      <c r="A138" s="1" t="s">
        <v>350</v>
      </c>
      <c r="B138" s="15" t="s">
        <v>477</v>
      </c>
      <c r="C138" s="16" t="s">
        <v>476</v>
      </c>
      <c r="D138" s="15" t="s">
        <v>476</v>
      </c>
      <c r="E138" s="16" t="s">
        <v>476</v>
      </c>
      <c r="F138" s="17" t="str">
        <f>+"25-APR-2014"</f>
        <v>25-APR-2014</v>
      </c>
      <c r="G138" s="47">
        <f t="shared" si="2"/>
        <v>327</v>
      </c>
      <c r="H138" s="1" t="str">
        <f>+""</f>
        <v/>
      </c>
      <c r="I138" s="18"/>
      <c r="J138" s="1"/>
      <c r="K138" s="16"/>
      <c r="L138" s="86"/>
      <c r="M138" s="1" t="s">
        <v>351</v>
      </c>
      <c r="N138" s="1" t="s">
        <v>13</v>
      </c>
      <c r="O138" s="1" t="s">
        <v>25</v>
      </c>
      <c r="P138" s="1" t="s">
        <v>36</v>
      </c>
      <c r="Q138" s="7" t="s">
        <v>47</v>
      </c>
    </row>
    <row r="139" spans="1:17" ht="90" customHeight="1" x14ac:dyDescent="0.25">
      <c r="A139" s="1" t="s">
        <v>352</v>
      </c>
      <c r="B139" s="15">
        <v>41852</v>
      </c>
      <c r="C139" s="16" t="s">
        <v>476</v>
      </c>
      <c r="D139" s="15" t="s">
        <v>476</v>
      </c>
      <c r="E139" s="16" t="s">
        <v>476</v>
      </c>
      <c r="F139" s="17" t="str">
        <f>+"25-APR-2014"</f>
        <v>25-APR-2014</v>
      </c>
      <c r="G139" s="47">
        <f t="shared" si="2"/>
        <v>327</v>
      </c>
      <c r="H139" s="1" t="str">
        <f>+""</f>
        <v/>
      </c>
      <c r="I139" s="18"/>
      <c r="J139" s="1"/>
      <c r="K139" s="16"/>
      <c r="L139" s="86" t="s">
        <v>10</v>
      </c>
      <c r="M139" s="1" t="s">
        <v>353</v>
      </c>
      <c r="N139" s="1" t="s">
        <v>13</v>
      </c>
      <c r="O139" s="1" t="s">
        <v>14</v>
      </c>
      <c r="P139" s="1" t="s">
        <v>21</v>
      </c>
      <c r="Q139" s="7" t="s">
        <v>28</v>
      </c>
    </row>
    <row r="140" spans="1:17" ht="90" customHeight="1" x14ac:dyDescent="0.25">
      <c r="A140" s="1" t="s">
        <v>268</v>
      </c>
      <c r="B140" s="15">
        <v>41813</v>
      </c>
      <c r="C140" s="16">
        <v>41848</v>
      </c>
      <c r="D140" s="15" t="s">
        <v>476</v>
      </c>
      <c r="E140" s="16" t="s">
        <v>476</v>
      </c>
      <c r="F140" s="17" t="str">
        <f>+"29-APR-2014"</f>
        <v>29-APR-2014</v>
      </c>
      <c r="G140" s="47">
        <f t="shared" si="2"/>
        <v>323</v>
      </c>
      <c r="H140" s="1" t="str">
        <f>+""</f>
        <v/>
      </c>
      <c r="I140" s="18"/>
      <c r="J140" s="1"/>
      <c r="K140" s="16"/>
      <c r="L140" s="86" t="s">
        <v>19</v>
      </c>
      <c r="M140" s="1" t="s">
        <v>269</v>
      </c>
      <c r="N140" s="1" t="s">
        <v>13</v>
      </c>
      <c r="O140" s="1" t="s">
        <v>14</v>
      </c>
      <c r="P140" s="1" t="s">
        <v>41</v>
      </c>
      <c r="Q140" s="7" t="s">
        <v>263</v>
      </c>
    </row>
    <row r="141" spans="1:17" ht="117" customHeight="1" x14ac:dyDescent="0.25">
      <c r="A141" s="1" t="s">
        <v>274</v>
      </c>
      <c r="B141" s="15">
        <v>41934</v>
      </c>
      <c r="C141" s="16" t="s">
        <v>476</v>
      </c>
      <c r="D141" s="15">
        <v>41992</v>
      </c>
      <c r="E141" s="16" t="s">
        <v>476</v>
      </c>
      <c r="F141" s="17" t="str">
        <f>+"30-APR-2014"</f>
        <v>30-APR-2014</v>
      </c>
      <c r="G141" s="47">
        <f t="shared" si="2"/>
        <v>322</v>
      </c>
      <c r="H141" s="1" t="str">
        <f>+""</f>
        <v/>
      </c>
      <c r="I141" s="18"/>
      <c r="J141" s="1"/>
      <c r="K141" s="16"/>
      <c r="L141" s="86" t="s">
        <v>19</v>
      </c>
      <c r="M141" s="1" t="s">
        <v>275</v>
      </c>
      <c r="N141" s="1" t="s">
        <v>13</v>
      </c>
      <c r="O141" s="1" t="s">
        <v>14</v>
      </c>
      <c r="P141" s="1" t="s">
        <v>41</v>
      </c>
      <c r="Q141" s="7" t="s">
        <v>108</v>
      </c>
    </row>
    <row r="142" spans="1:17" ht="90" customHeight="1" x14ac:dyDescent="0.25">
      <c r="A142" s="1" t="s">
        <v>278</v>
      </c>
      <c r="B142" s="15">
        <v>41813</v>
      </c>
      <c r="C142" s="16">
        <v>41848</v>
      </c>
      <c r="D142" s="15" t="s">
        <v>476</v>
      </c>
      <c r="E142" s="16" t="s">
        <v>476</v>
      </c>
      <c r="F142" s="17" t="str">
        <f>+"01-MAY-2014"</f>
        <v>01-MAY-2014</v>
      </c>
      <c r="G142" s="47">
        <f t="shared" si="2"/>
        <v>321</v>
      </c>
      <c r="H142" s="1" t="str">
        <f>+""</f>
        <v/>
      </c>
      <c r="I142" s="18"/>
      <c r="J142" s="1"/>
      <c r="K142" s="16"/>
      <c r="L142" s="86" t="s">
        <v>19</v>
      </c>
      <c r="M142" s="1" t="s">
        <v>279</v>
      </c>
      <c r="N142" s="1" t="s">
        <v>13</v>
      </c>
      <c r="O142" s="1" t="s">
        <v>14</v>
      </c>
      <c r="P142" s="1" t="s">
        <v>41</v>
      </c>
      <c r="Q142" s="7" t="s">
        <v>263</v>
      </c>
    </row>
    <row r="143" spans="1:17" ht="90" customHeight="1" x14ac:dyDescent="0.25">
      <c r="A143" s="1" t="s">
        <v>280</v>
      </c>
      <c r="B143" s="15">
        <v>41813</v>
      </c>
      <c r="C143" s="16">
        <v>41848</v>
      </c>
      <c r="D143" s="15" t="s">
        <v>476</v>
      </c>
      <c r="E143" s="16" t="s">
        <v>476</v>
      </c>
      <c r="F143" s="17" t="str">
        <f>+"01-MAY-2014"</f>
        <v>01-MAY-2014</v>
      </c>
      <c r="G143" s="47">
        <f t="shared" si="2"/>
        <v>321</v>
      </c>
      <c r="H143" s="1" t="str">
        <f>+""</f>
        <v/>
      </c>
      <c r="I143" s="18"/>
      <c r="J143" s="1"/>
      <c r="K143" s="16"/>
      <c r="L143" s="86" t="s">
        <v>19</v>
      </c>
      <c r="M143" s="1" t="s">
        <v>281</v>
      </c>
      <c r="N143" s="1" t="s">
        <v>13</v>
      </c>
      <c r="O143" s="1" t="s">
        <v>14</v>
      </c>
      <c r="P143" s="1" t="s">
        <v>41</v>
      </c>
      <c r="Q143" s="7" t="s">
        <v>263</v>
      </c>
    </row>
    <row r="144" spans="1:17" ht="90" customHeight="1" x14ac:dyDescent="0.25">
      <c r="A144" s="1" t="s">
        <v>282</v>
      </c>
      <c r="B144" s="15">
        <v>41813</v>
      </c>
      <c r="C144" s="16">
        <v>41848</v>
      </c>
      <c r="D144" s="15" t="s">
        <v>476</v>
      </c>
      <c r="E144" s="16" t="s">
        <v>476</v>
      </c>
      <c r="F144" s="17" t="str">
        <f>+"01-MAY-2014"</f>
        <v>01-MAY-2014</v>
      </c>
      <c r="G144" s="47">
        <f t="shared" si="2"/>
        <v>321</v>
      </c>
      <c r="H144" s="1" t="str">
        <f>+""</f>
        <v/>
      </c>
      <c r="I144" s="18"/>
      <c r="J144" s="1"/>
      <c r="K144" s="16"/>
      <c r="L144" s="86" t="s">
        <v>19</v>
      </c>
      <c r="M144" s="1" t="s">
        <v>283</v>
      </c>
      <c r="N144" s="1" t="s">
        <v>13</v>
      </c>
      <c r="O144" s="1" t="s">
        <v>14</v>
      </c>
      <c r="P144" s="1" t="s">
        <v>41</v>
      </c>
      <c r="Q144" s="7" t="s">
        <v>263</v>
      </c>
    </row>
    <row r="145" spans="1:17" ht="90" customHeight="1" x14ac:dyDescent="0.25">
      <c r="A145" s="1" t="s">
        <v>468</v>
      </c>
      <c r="B145" s="15">
        <v>41857</v>
      </c>
      <c r="C145" s="16" t="s">
        <v>476</v>
      </c>
      <c r="D145" s="15" t="s">
        <v>476</v>
      </c>
      <c r="E145" s="16" t="s">
        <v>476</v>
      </c>
      <c r="F145" s="17" t="str">
        <f>+"01-MAY-2014"</f>
        <v>01-MAY-2014</v>
      </c>
      <c r="G145" s="47">
        <f t="shared" si="2"/>
        <v>321</v>
      </c>
      <c r="H145" s="1" t="str">
        <f>+""</f>
        <v/>
      </c>
      <c r="I145" s="18"/>
      <c r="J145" s="1"/>
      <c r="K145" s="16"/>
      <c r="L145" s="86" t="s">
        <v>19</v>
      </c>
      <c r="M145" s="1" t="s">
        <v>469</v>
      </c>
      <c r="N145" s="1" t="s">
        <v>13</v>
      </c>
      <c r="O145" s="1" t="s">
        <v>25</v>
      </c>
      <c r="P145" s="1" t="s">
        <v>41</v>
      </c>
      <c r="Q145" s="7" t="s">
        <v>394</v>
      </c>
    </row>
    <row r="146" spans="1:17" ht="90" customHeight="1" x14ac:dyDescent="0.25">
      <c r="A146" s="1" t="s">
        <v>276</v>
      </c>
      <c r="B146" s="15" t="s">
        <v>476</v>
      </c>
      <c r="C146" s="16" t="s">
        <v>476</v>
      </c>
      <c r="D146" s="15" t="s">
        <v>476</v>
      </c>
      <c r="E146" s="16" t="s">
        <v>476</v>
      </c>
      <c r="F146" s="17" t="str">
        <f>+"02-MAY-2014"</f>
        <v>02-MAY-2014</v>
      </c>
      <c r="G146" s="47">
        <f t="shared" si="2"/>
        <v>320</v>
      </c>
      <c r="H146" s="1" t="str">
        <f>+""</f>
        <v/>
      </c>
      <c r="I146" s="18"/>
      <c r="J146" s="1"/>
      <c r="K146" s="16"/>
      <c r="L146" s="86" t="s">
        <v>19</v>
      </c>
      <c r="M146" s="1" t="s">
        <v>277</v>
      </c>
      <c r="N146" s="1" t="s">
        <v>13</v>
      </c>
      <c r="O146" s="1" t="s">
        <v>25</v>
      </c>
      <c r="P146" s="1" t="s">
        <v>36</v>
      </c>
      <c r="Q146" s="7" t="s">
        <v>149</v>
      </c>
    </row>
    <row r="147" spans="1:17" ht="90" customHeight="1" x14ac:dyDescent="0.25">
      <c r="A147" s="1" t="s">
        <v>358</v>
      </c>
      <c r="B147" s="15">
        <v>41866</v>
      </c>
      <c r="C147" s="16">
        <v>41932</v>
      </c>
      <c r="D147" s="15">
        <v>41991</v>
      </c>
      <c r="E147" s="16" t="s">
        <v>476</v>
      </c>
      <c r="F147" s="17" t="str">
        <f>+"02-MAY-2014"</f>
        <v>02-MAY-2014</v>
      </c>
      <c r="G147" s="47">
        <f t="shared" si="2"/>
        <v>320</v>
      </c>
      <c r="H147" s="1" t="str">
        <f>+""</f>
        <v/>
      </c>
      <c r="I147" s="18"/>
      <c r="J147" s="1"/>
      <c r="K147" s="16"/>
      <c r="L147" s="86" t="s">
        <v>10</v>
      </c>
      <c r="M147" s="1" t="s">
        <v>359</v>
      </c>
      <c r="N147" s="1" t="s">
        <v>13</v>
      </c>
      <c r="O147" s="1" t="s">
        <v>42</v>
      </c>
      <c r="P147" s="1" t="s">
        <v>41</v>
      </c>
      <c r="Q147" s="7" t="s">
        <v>54</v>
      </c>
    </row>
    <row r="148" spans="1:17" ht="90" customHeight="1" x14ac:dyDescent="0.25">
      <c r="A148" s="1" t="s">
        <v>354</v>
      </c>
      <c r="B148" s="15">
        <v>41863</v>
      </c>
      <c r="C148" s="16" t="s">
        <v>476</v>
      </c>
      <c r="D148" s="15">
        <v>42046</v>
      </c>
      <c r="E148" s="16" t="s">
        <v>476</v>
      </c>
      <c r="F148" s="17" t="str">
        <f>+"15-MAY-2014"</f>
        <v>15-MAY-2014</v>
      </c>
      <c r="G148" s="47">
        <f t="shared" si="2"/>
        <v>307</v>
      </c>
      <c r="H148" s="1" t="str">
        <f>+""</f>
        <v/>
      </c>
      <c r="I148" s="18"/>
      <c r="J148" s="1"/>
      <c r="K148" s="16"/>
      <c r="L148" s="86" t="s">
        <v>10</v>
      </c>
      <c r="M148" s="1" t="s">
        <v>355</v>
      </c>
      <c r="N148" s="1" t="s">
        <v>13</v>
      </c>
      <c r="O148" s="1" t="s">
        <v>25</v>
      </c>
      <c r="P148" s="1" t="s">
        <v>15</v>
      </c>
      <c r="Q148" s="7" t="s">
        <v>28</v>
      </c>
    </row>
    <row r="149" spans="1:17" ht="90" customHeight="1" x14ac:dyDescent="0.25">
      <c r="A149" s="1" t="s">
        <v>388</v>
      </c>
      <c r="B149" s="15" t="s">
        <v>476</v>
      </c>
      <c r="C149" s="16" t="s">
        <v>476</v>
      </c>
      <c r="D149" s="15" t="s">
        <v>476</v>
      </c>
      <c r="E149" s="16" t="s">
        <v>476</v>
      </c>
      <c r="F149" s="17" t="str">
        <f>+"15-MAY-2014"</f>
        <v>15-MAY-2014</v>
      </c>
      <c r="G149" s="47">
        <f t="shared" si="2"/>
        <v>307</v>
      </c>
      <c r="H149" s="1" t="str">
        <f>+""</f>
        <v/>
      </c>
      <c r="I149" s="18"/>
      <c r="J149" s="1"/>
      <c r="K149" s="16"/>
      <c r="L149" s="86" t="s">
        <v>19</v>
      </c>
      <c r="M149" s="1" t="s">
        <v>389</v>
      </c>
      <c r="N149" s="1" t="s">
        <v>13</v>
      </c>
      <c r="O149" s="1" t="s">
        <v>25</v>
      </c>
      <c r="P149" s="1" t="s">
        <v>15</v>
      </c>
      <c r="Q149" s="7" t="s">
        <v>71</v>
      </c>
    </row>
    <row r="150" spans="1:17" ht="90" customHeight="1" x14ac:dyDescent="0.25">
      <c r="A150" s="1" t="s">
        <v>470</v>
      </c>
      <c r="B150" s="15">
        <v>41864</v>
      </c>
      <c r="C150" s="16">
        <v>41908</v>
      </c>
      <c r="D150" s="15" t="s">
        <v>476</v>
      </c>
      <c r="E150" s="16" t="s">
        <v>476</v>
      </c>
      <c r="F150" s="17" t="str">
        <f>+"15-MAY-2014"</f>
        <v>15-MAY-2014</v>
      </c>
      <c r="G150" s="47">
        <f t="shared" si="2"/>
        <v>307</v>
      </c>
      <c r="H150" s="1" t="str">
        <f>+""</f>
        <v/>
      </c>
      <c r="I150" s="18"/>
      <c r="J150" s="1"/>
      <c r="K150" s="16"/>
      <c r="L150" s="86" t="s">
        <v>19</v>
      </c>
      <c r="M150" s="1" t="s">
        <v>471</v>
      </c>
      <c r="N150" s="1" t="s">
        <v>13</v>
      </c>
      <c r="O150" s="1" t="s">
        <v>42</v>
      </c>
      <c r="P150" s="1" t="s">
        <v>41</v>
      </c>
      <c r="Q150" s="7" t="s">
        <v>149</v>
      </c>
    </row>
    <row r="151" spans="1:17" ht="90" customHeight="1" x14ac:dyDescent="0.25">
      <c r="A151" s="1" t="s">
        <v>356</v>
      </c>
      <c r="B151" s="15">
        <v>41892</v>
      </c>
      <c r="C151" s="16">
        <v>41906</v>
      </c>
      <c r="D151" s="15">
        <v>42011</v>
      </c>
      <c r="E151" s="16" t="s">
        <v>476</v>
      </c>
      <c r="F151" s="17" t="str">
        <f>+"16-MAY-2014"</f>
        <v>16-MAY-2014</v>
      </c>
      <c r="G151" s="47">
        <f t="shared" si="2"/>
        <v>306</v>
      </c>
      <c r="H151" s="1" t="str">
        <f>+""</f>
        <v/>
      </c>
      <c r="I151" s="18"/>
      <c r="J151" s="1"/>
      <c r="K151" s="16"/>
      <c r="L151" s="86" t="s">
        <v>10</v>
      </c>
      <c r="M151" s="1" t="s">
        <v>721</v>
      </c>
      <c r="N151" s="1" t="s">
        <v>13</v>
      </c>
      <c r="O151" s="1" t="s">
        <v>14</v>
      </c>
      <c r="P151" s="1" t="s">
        <v>36</v>
      </c>
      <c r="Q151" s="7" t="s">
        <v>542</v>
      </c>
    </row>
    <row r="152" spans="1:17" ht="90" customHeight="1" x14ac:dyDescent="0.25">
      <c r="A152" s="1" t="s">
        <v>284</v>
      </c>
      <c r="B152" s="15">
        <v>41912</v>
      </c>
      <c r="C152" s="16" t="s">
        <v>476</v>
      </c>
      <c r="D152" s="15" t="s">
        <v>476</v>
      </c>
      <c r="E152" s="16" t="s">
        <v>476</v>
      </c>
      <c r="F152" s="17" t="str">
        <f>+"27-MAY-2014"</f>
        <v>27-MAY-2014</v>
      </c>
      <c r="G152" s="47">
        <f t="shared" si="2"/>
        <v>295</v>
      </c>
      <c r="H152" s="1" t="str">
        <f>+""</f>
        <v/>
      </c>
      <c r="I152" s="18"/>
      <c r="J152" s="1"/>
      <c r="K152" s="16"/>
      <c r="L152" s="86" t="s">
        <v>10</v>
      </c>
      <c r="M152" s="1" t="s">
        <v>285</v>
      </c>
      <c r="N152" s="1" t="s">
        <v>13</v>
      </c>
      <c r="O152" s="1" t="s">
        <v>14</v>
      </c>
      <c r="P152" s="1" t="s">
        <v>21</v>
      </c>
      <c r="Q152" s="7" t="s">
        <v>72</v>
      </c>
    </row>
    <row r="153" spans="1:17" ht="90" customHeight="1" x14ac:dyDescent="0.25">
      <c r="A153" s="1" t="s">
        <v>286</v>
      </c>
      <c r="B153" s="15">
        <v>41887</v>
      </c>
      <c r="C153" s="16">
        <v>42061</v>
      </c>
      <c r="D153" s="15">
        <v>41893</v>
      </c>
      <c r="E153" s="16">
        <v>41911</v>
      </c>
      <c r="F153" s="17" t="str">
        <f>+"30-MAY-2014"</f>
        <v>30-MAY-2014</v>
      </c>
      <c r="G153" s="47">
        <f t="shared" si="2"/>
        <v>292</v>
      </c>
      <c r="H153" s="1" t="str">
        <f>+""</f>
        <v/>
      </c>
      <c r="I153" s="18"/>
      <c r="J153" s="1"/>
      <c r="K153" s="16"/>
      <c r="L153" s="86" t="s">
        <v>10</v>
      </c>
      <c r="M153" s="1" t="s">
        <v>287</v>
      </c>
      <c r="N153" s="1" t="s">
        <v>13</v>
      </c>
      <c r="O153" s="1" t="s">
        <v>14</v>
      </c>
      <c r="P153" s="1" t="s">
        <v>21</v>
      </c>
      <c r="Q153" s="7" t="s">
        <v>49</v>
      </c>
    </row>
    <row r="154" spans="1:17" ht="90" customHeight="1" x14ac:dyDescent="0.25">
      <c r="A154" s="1" t="s">
        <v>288</v>
      </c>
      <c r="B154" s="15">
        <v>41848</v>
      </c>
      <c r="C154" s="16">
        <v>41855</v>
      </c>
      <c r="D154" s="15">
        <v>41989</v>
      </c>
      <c r="E154" s="53">
        <v>42040</v>
      </c>
      <c r="F154" s="17" t="str">
        <f>+"30-MAY-2014"</f>
        <v>30-MAY-2014</v>
      </c>
      <c r="G154" s="47">
        <f t="shared" si="2"/>
        <v>292</v>
      </c>
      <c r="H154" s="1" t="str">
        <f>+""</f>
        <v/>
      </c>
      <c r="I154" s="18"/>
      <c r="J154" s="1"/>
      <c r="K154" s="16"/>
      <c r="L154" s="86" t="s">
        <v>10</v>
      </c>
      <c r="M154" s="1" t="s">
        <v>289</v>
      </c>
      <c r="N154" s="1" t="s">
        <v>13</v>
      </c>
      <c r="O154" s="1" t="s">
        <v>14</v>
      </c>
      <c r="P154" s="1" t="s">
        <v>21</v>
      </c>
      <c r="Q154" s="7" t="s">
        <v>71</v>
      </c>
    </row>
    <row r="155" spans="1:17" ht="90" customHeight="1" x14ac:dyDescent="0.25">
      <c r="A155" s="1" t="s">
        <v>291</v>
      </c>
      <c r="B155" s="15">
        <v>41850</v>
      </c>
      <c r="C155" s="16">
        <v>41865</v>
      </c>
      <c r="D155" s="15" t="s">
        <v>476</v>
      </c>
      <c r="E155" s="16" t="s">
        <v>476</v>
      </c>
      <c r="F155" s="17" t="str">
        <f>+"02-JUN-2014"</f>
        <v>02-JUN-2014</v>
      </c>
      <c r="G155" s="47">
        <f t="shared" si="2"/>
        <v>289</v>
      </c>
      <c r="H155" s="1" t="str">
        <f>+""</f>
        <v/>
      </c>
      <c r="I155" s="18"/>
      <c r="J155" s="1"/>
      <c r="K155" s="16"/>
      <c r="L155" s="86" t="s">
        <v>10</v>
      </c>
      <c r="M155" s="1" t="s">
        <v>292</v>
      </c>
      <c r="N155" s="1" t="s">
        <v>13</v>
      </c>
      <c r="O155" s="1" t="s">
        <v>14</v>
      </c>
      <c r="P155" s="1" t="s">
        <v>21</v>
      </c>
      <c r="Q155" s="7" t="s">
        <v>65</v>
      </c>
    </row>
    <row r="156" spans="1:17" ht="90" customHeight="1" x14ac:dyDescent="0.25">
      <c r="A156" s="1" t="s">
        <v>293</v>
      </c>
      <c r="B156" s="15">
        <v>41850</v>
      </c>
      <c r="C156" s="16">
        <v>41865</v>
      </c>
      <c r="D156" s="15" t="s">
        <v>476</v>
      </c>
      <c r="E156" s="16" t="s">
        <v>476</v>
      </c>
      <c r="F156" s="17" t="str">
        <f>+"02-JUN-2014"</f>
        <v>02-JUN-2014</v>
      </c>
      <c r="G156" s="47">
        <f t="shared" si="2"/>
        <v>289</v>
      </c>
      <c r="H156" s="1" t="str">
        <f>+""</f>
        <v/>
      </c>
      <c r="I156" s="18"/>
      <c r="J156" s="1"/>
      <c r="K156" s="16"/>
      <c r="L156" s="86" t="s">
        <v>10</v>
      </c>
      <c r="M156" s="1" t="s">
        <v>294</v>
      </c>
      <c r="N156" s="1" t="s">
        <v>13</v>
      </c>
      <c r="O156" s="1" t="s">
        <v>14</v>
      </c>
      <c r="P156" s="1" t="s">
        <v>21</v>
      </c>
      <c r="Q156" s="7" t="s">
        <v>65</v>
      </c>
    </row>
    <row r="157" spans="1:17" ht="90" customHeight="1" x14ac:dyDescent="0.25">
      <c r="A157" s="1" t="s">
        <v>295</v>
      </c>
      <c r="B157" s="15">
        <v>41850</v>
      </c>
      <c r="C157" s="16">
        <v>41865</v>
      </c>
      <c r="D157" s="15" t="s">
        <v>476</v>
      </c>
      <c r="E157" s="16" t="s">
        <v>476</v>
      </c>
      <c r="F157" s="17" t="str">
        <f>+"02-JUN-2014"</f>
        <v>02-JUN-2014</v>
      </c>
      <c r="G157" s="47">
        <f t="shared" si="2"/>
        <v>289</v>
      </c>
      <c r="H157" s="1" t="str">
        <f>+""</f>
        <v/>
      </c>
      <c r="I157" s="18"/>
      <c r="J157" s="1"/>
      <c r="K157" s="16"/>
      <c r="L157" s="86" t="s">
        <v>10</v>
      </c>
      <c r="M157" s="1" t="s">
        <v>296</v>
      </c>
      <c r="N157" s="1" t="s">
        <v>13</v>
      </c>
      <c r="O157" s="1" t="s">
        <v>14</v>
      </c>
      <c r="P157" s="1" t="s">
        <v>21</v>
      </c>
      <c r="Q157" s="7" t="s">
        <v>65</v>
      </c>
    </row>
    <row r="158" spans="1:17" ht="90" customHeight="1" x14ac:dyDescent="0.25">
      <c r="A158" s="1" t="s">
        <v>297</v>
      </c>
      <c r="B158" s="15">
        <v>41891</v>
      </c>
      <c r="C158" s="16">
        <v>41901</v>
      </c>
      <c r="D158" s="15">
        <v>41947</v>
      </c>
      <c r="E158" s="16" t="s">
        <v>476</v>
      </c>
      <c r="F158" s="17" t="str">
        <f>+"11-JUN-2014"</f>
        <v>11-JUN-2014</v>
      </c>
      <c r="G158" s="47">
        <f t="shared" si="2"/>
        <v>280</v>
      </c>
      <c r="H158" s="1" t="str">
        <f>+""</f>
        <v/>
      </c>
      <c r="I158" s="18"/>
      <c r="J158" s="1"/>
      <c r="K158" s="16"/>
      <c r="L158" s="86" t="s">
        <v>10</v>
      </c>
      <c r="M158" s="1" t="s">
        <v>298</v>
      </c>
      <c r="N158" s="1" t="s">
        <v>13</v>
      </c>
      <c r="O158" s="1" t="s">
        <v>14</v>
      </c>
      <c r="P158" s="1" t="s">
        <v>21</v>
      </c>
      <c r="Q158" s="7" t="s">
        <v>28</v>
      </c>
    </row>
    <row r="159" spans="1:17" ht="90" customHeight="1" x14ac:dyDescent="0.25">
      <c r="A159" s="1" t="s">
        <v>528</v>
      </c>
      <c r="B159" s="15">
        <v>41929</v>
      </c>
      <c r="C159" s="16" t="s">
        <v>476</v>
      </c>
      <c r="D159" s="15" t="s">
        <v>476</v>
      </c>
      <c r="E159" s="16" t="s">
        <v>476</v>
      </c>
      <c r="F159" s="86" t="str">
        <f>+"13-JUN-2014"</f>
        <v>13-JUN-2014</v>
      </c>
      <c r="G159" s="47">
        <f t="shared" si="2"/>
        <v>278</v>
      </c>
      <c r="H159" s="1"/>
      <c r="I159" s="18"/>
      <c r="J159" s="1"/>
      <c r="K159" s="16"/>
      <c r="L159" s="86" t="s">
        <v>19</v>
      </c>
      <c r="M159" s="1" t="s">
        <v>544</v>
      </c>
      <c r="N159" s="1" t="s">
        <v>13</v>
      </c>
      <c r="O159" s="1" t="s">
        <v>48</v>
      </c>
      <c r="P159" s="1" t="s">
        <v>41</v>
      </c>
      <c r="Q159" s="7" t="s">
        <v>97</v>
      </c>
    </row>
    <row r="160" spans="1:17" ht="90" customHeight="1" x14ac:dyDescent="0.25">
      <c r="A160" s="1" t="s">
        <v>299</v>
      </c>
      <c r="B160" s="15" t="s">
        <v>476</v>
      </c>
      <c r="C160" s="16" t="s">
        <v>476</v>
      </c>
      <c r="D160" s="15" t="s">
        <v>476</v>
      </c>
      <c r="E160" s="16" t="s">
        <v>476</v>
      </c>
      <c r="F160" s="17" t="str">
        <f>+"17-JUN-2014"</f>
        <v>17-JUN-2014</v>
      </c>
      <c r="G160" s="47">
        <f t="shared" si="2"/>
        <v>274</v>
      </c>
      <c r="H160" s="1" t="str">
        <f>+""</f>
        <v/>
      </c>
      <c r="I160" s="18"/>
      <c r="J160" s="1"/>
      <c r="K160" s="16"/>
      <c r="L160" s="86" t="s">
        <v>19</v>
      </c>
      <c r="M160" s="1" t="s">
        <v>300</v>
      </c>
      <c r="N160" s="1" t="s">
        <v>13</v>
      </c>
      <c r="O160" s="1" t="s">
        <v>25</v>
      </c>
      <c r="P160" s="1" t="s">
        <v>36</v>
      </c>
      <c r="Q160" s="7" t="s">
        <v>33</v>
      </c>
    </row>
    <row r="161" spans="1:17" ht="90" customHeight="1" x14ac:dyDescent="0.25">
      <c r="A161" s="1" t="s">
        <v>301</v>
      </c>
      <c r="B161" s="15">
        <v>41899</v>
      </c>
      <c r="C161" s="16">
        <v>41908</v>
      </c>
      <c r="D161" s="15">
        <v>42198</v>
      </c>
      <c r="E161" s="16" t="s">
        <v>476</v>
      </c>
      <c r="F161" s="17" t="str">
        <f>+"20-JUN-2014"</f>
        <v>20-JUN-2014</v>
      </c>
      <c r="G161" s="47">
        <f t="shared" si="2"/>
        <v>271</v>
      </c>
      <c r="H161" s="1" t="str">
        <f>+""</f>
        <v/>
      </c>
      <c r="I161" s="18"/>
      <c r="J161" s="1"/>
      <c r="K161" s="16"/>
      <c r="L161" s="86" t="s">
        <v>10</v>
      </c>
      <c r="M161" s="1" t="s">
        <v>302</v>
      </c>
      <c r="N161" s="1" t="s">
        <v>13</v>
      </c>
      <c r="O161" s="1" t="s">
        <v>14</v>
      </c>
      <c r="P161" s="1" t="s">
        <v>21</v>
      </c>
      <c r="Q161" s="7" t="s">
        <v>47</v>
      </c>
    </row>
    <row r="162" spans="1:17" ht="90" customHeight="1" x14ac:dyDescent="0.25">
      <c r="A162" s="1" t="s">
        <v>390</v>
      </c>
      <c r="B162" s="15">
        <v>41932</v>
      </c>
      <c r="C162" s="16" t="s">
        <v>476</v>
      </c>
      <c r="D162" s="15">
        <v>42037</v>
      </c>
      <c r="E162" s="16" t="s">
        <v>476</v>
      </c>
      <c r="F162" s="17" t="str">
        <f>+"26-JUN-2014"</f>
        <v>26-JUN-2014</v>
      </c>
      <c r="G162" s="47">
        <f t="shared" si="2"/>
        <v>265</v>
      </c>
      <c r="H162" s="1" t="str">
        <f>+""</f>
        <v/>
      </c>
      <c r="I162" s="18"/>
      <c r="J162" s="1"/>
      <c r="K162" s="16"/>
      <c r="L162" s="86" t="s">
        <v>10</v>
      </c>
      <c r="M162" s="1" t="s">
        <v>391</v>
      </c>
      <c r="N162" s="1" t="s">
        <v>13</v>
      </c>
      <c r="O162" s="1" t="s">
        <v>59</v>
      </c>
      <c r="P162" s="1" t="s">
        <v>36</v>
      </c>
      <c r="Q162" s="7" t="s">
        <v>498</v>
      </c>
    </row>
    <row r="163" spans="1:17" ht="90" customHeight="1" x14ac:dyDescent="0.25">
      <c r="A163" s="1" t="s">
        <v>303</v>
      </c>
      <c r="B163" s="15">
        <v>41870</v>
      </c>
      <c r="C163" s="16" t="s">
        <v>476</v>
      </c>
      <c r="D163" s="15">
        <v>41981</v>
      </c>
      <c r="E163" s="16" t="s">
        <v>476</v>
      </c>
      <c r="F163" s="17" t="str">
        <f>+"27-JUN-2014"</f>
        <v>27-JUN-2014</v>
      </c>
      <c r="G163" s="47">
        <f t="shared" si="2"/>
        <v>264</v>
      </c>
      <c r="H163" s="1" t="str">
        <f>+""</f>
        <v/>
      </c>
      <c r="I163" s="18"/>
      <c r="J163" s="1"/>
      <c r="K163" s="16"/>
      <c r="L163" s="86" t="s">
        <v>10</v>
      </c>
      <c r="M163" s="1" t="s">
        <v>304</v>
      </c>
      <c r="N163" s="1" t="s">
        <v>13</v>
      </c>
      <c r="O163" s="1" t="s">
        <v>59</v>
      </c>
      <c r="P163" s="1" t="s">
        <v>36</v>
      </c>
      <c r="Q163" s="7" t="s">
        <v>97</v>
      </c>
    </row>
    <row r="164" spans="1:17" ht="90" customHeight="1" x14ac:dyDescent="0.25">
      <c r="A164" s="1" t="s">
        <v>472</v>
      </c>
      <c r="B164" s="15">
        <v>41942</v>
      </c>
      <c r="C164" s="16" t="s">
        <v>476</v>
      </c>
      <c r="D164" s="15" t="s">
        <v>476</v>
      </c>
      <c r="E164" s="16" t="s">
        <v>476</v>
      </c>
      <c r="F164" s="17" t="str">
        <f>+"10-JUL-2014"</f>
        <v>10-JUL-2014</v>
      </c>
      <c r="G164" s="47">
        <f t="shared" si="2"/>
        <v>251</v>
      </c>
      <c r="H164" s="1" t="str">
        <f>+""</f>
        <v/>
      </c>
      <c r="I164" s="18"/>
      <c r="J164" s="1"/>
      <c r="K164" s="16"/>
      <c r="L164" s="86" t="s">
        <v>19</v>
      </c>
      <c r="M164" s="1" t="s">
        <v>473</v>
      </c>
      <c r="N164" s="1" t="s">
        <v>13</v>
      </c>
      <c r="O164" s="1" t="s">
        <v>14</v>
      </c>
      <c r="P164" s="1" t="s">
        <v>41</v>
      </c>
      <c r="Q164" s="7" t="s">
        <v>474</v>
      </c>
    </row>
    <row r="165" spans="1:17" ht="114.2" customHeight="1" x14ac:dyDescent="0.25">
      <c r="A165" s="1" t="s">
        <v>481</v>
      </c>
      <c r="B165" s="15">
        <v>41906</v>
      </c>
      <c r="C165" s="16" t="s">
        <v>476</v>
      </c>
      <c r="D165" s="15" t="s">
        <v>476</v>
      </c>
      <c r="E165" s="16" t="s">
        <v>476</v>
      </c>
      <c r="F165" s="86" t="str">
        <f>+"11-JUL-2014"</f>
        <v>11-JUL-2014</v>
      </c>
      <c r="G165" s="47">
        <f t="shared" si="2"/>
        <v>250</v>
      </c>
      <c r="H165" s="1"/>
      <c r="I165" s="18"/>
      <c r="J165" s="1"/>
      <c r="K165" s="16"/>
      <c r="L165" s="86" t="s">
        <v>19</v>
      </c>
      <c r="M165" s="1" t="s">
        <v>580</v>
      </c>
      <c r="N165" s="1" t="s">
        <v>13</v>
      </c>
      <c r="O165" s="1" t="s">
        <v>17</v>
      </c>
      <c r="P165" s="1" t="s">
        <v>36</v>
      </c>
      <c r="Q165" s="7" t="s">
        <v>290</v>
      </c>
    </row>
    <row r="166" spans="1:17" ht="93.2" customHeight="1" x14ac:dyDescent="0.25">
      <c r="A166" s="1" t="s">
        <v>482</v>
      </c>
      <c r="B166" s="15">
        <v>41884</v>
      </c>
      <c r="C166" s="16">
        <v>41906</v>
      </c>
      <c r="D166" s="15" t="s">
        <v>476</v>
      </c>
      <c r="E166" s="24" t="s">
        <v>476</v>
      </c>
      <c r="F166" s="86" t="str">
        <f>+"15-JUL-2014"</f>
        <v>15-JUL-2014</v>
      </c>
      <c r="G166" s="47">
        <f t="shared" si="2"/>
        <v>246</v>
      </c>
      <c r="H166" s="1"/>
      <c r="I166" s="18"/>
      <c r="J166" s="1"/>
      <c r="K166" s="16"/>
      <c r="L166" s="86" t="s">
        <v>10</v>
      </c>
      <c r="M166" s="1" t="s">
        <v>485</v>
      </c>
      <c r="N166" s="1" t="s">
        <v>13</v>
      </c>
      <c r="O166" s="1" t="s">
        <v>17</v>
      </c>
      <c r="P166" s="1" t="s">
        <v>41</v>
      </c>
      <c r="Q166" s="7" t="s">
        <v>486</v>
      </c>
    </row>
    <row r="167" spans="1:17" ht="98.45" customHeight="1" x14ac:dyDescent="0.25">
      <c r="A167" s="1" t="s">
        <v>360</v>
      </c>
      <c r="B167" s="15" t="s">
        <v>476</v>
      </c>
      <c r="C167" s="16" t="s">
        <v>476</v>
      </c>
      <c r="D167" s="15" t="s">
        <v>476</v>
      </c>
      <c r="E167" s="16" t="s">
        <v>476</v>
      </c>
      <c r="F167" s="17" t="str">
        <f>+"17-JUL-2014"</f>
        <v>17-JUL-2014</v>
      </c>
      <c r="G167" s="47">
        <f t="shared" si="2"/>
        <v>244</v>
      </c>
      <c r="H167" s="1" t="str">
        <f>+""</f>
        <v/>
      </c>
      <c r="I167" s="18"/>
      <c r="J167" s="1"/>
      <c r="K167" s="16"/>
      <c r="L167" s="86" t="s">
        <v>10</v>
      </c>
      <c r="M167" s="1" t="s">
        <v>361</v>
      </c>
      <c r="N167" s="1" t="s">
        <v>13</v>
      </c>
      <c r="O167" s="1" t="s">
        <v>25</v>
      </c>
      <c r="P167" s="1" t="s">
        <v>21</v>
      </c>
      <c r="Q167" s="7" t="s">
        <v>134</v>
      </c>
    </row>
    <row r="168" spans="1:17" ht="129.19999999999999" customHeight="1" x14ac:dyDescent="0.25">
      <c r="A168" s="1" t="s">
        <v>488</v>
      </c>
      <c r="B168" s="15" t="s">
        <v>476</v>
      </c>
      <c r="C168" s="16" t="s">
        <v>476</v>
      </c>
      <c r="D168" s="15" t="s">
        <v>476</v>
      </c>
      <c r="E168" s="16" t="s">
        <v>476</v>
      </c>
      <c r="F168" s="16">
        <v>41838</v>
      </c>
      <c r="G168" s="47">
        <f t="shared" si="2"/>
        <v>243</v>
      </c>
      <c r="H168" s="1"/>
      <c r="I168" s="18"/>
      <c r="J168" s="1"/>
      <c r="K168" s="16"/>
      <c r="L168" s="86" t="s">
        <v>19</v>
      </c>
      <c r="M168" s="1" t="s">
        <v>689</v>
      </c>
      <c r="N168" s="1" t="s">
        <v>13</v>
      </c>
      <c r="O168" s="1" t="s">
        <v>25</v>
      </c>
      <c r="P168" s="1" t="s">
        <v>41</v>
      </c>
      <c r="Q168" s="7" t="s">
        <v>65</v>
      </c>
    </row>
    <row r="169" spans="1:17" ht="105.95" customHeight="1" x14ac:dyDescent="0.25">
      <c r="A169" s="1" t="s">
        <v>362</v>
      </c>
      <c r="B169" s="53">
        <v>42040</v>
      </c>
      <c r="C169" s="16" t="s">
        <v>476</v>
      </c>
      <c r="D169" s="15" t="s">
        <v>476</v>
      </c>
      <c r="E169" s="16" t="s">
        <v>476</v>
      </c>
      <c r="F169" s="17" t="str">
        <f>+"18-JUL-2014"</f>
        <v>18-JUL-2014</v>
      </c>
      <c r="G169" s="47">
        <f t="shared" si="2"/>
        <v>243</v>
      </c>
      <c r="H169" s="1" t="str">
        <f>+""</f>
        <v/>
      </c>
      <c r="I169" s="18"/>
      <c r="J169" s="1"/>
      <c r="K169" s="16"/>
      <c r="L169" s="86" t="s">
        <v>10</v>
      </c>
      <c r="M169" s="1" t="s">
        <v>363</v>
      </c>
      <c r="N169" s="1" t="s">
        <v>13</v>
      </c>
      <c r="O169" s="1" t="s">
        <v>17</v>
      </c>
      <c r="P169" s="1" t="s">
        <v>21</v>
      </c>
      <c r="Q169" s="7" t="s">
        <v>72</v>
      </c>
    </row>
    <row r="170" spans="1:17" ht="90" customHeight="1" x14ac:dyDescent="0.25">
      <c r="A170" s="82" t="s">
        <v>641</v>
      </c>
      <c r="B170" s="15">
        <v>41885</v>
      </c>
      <c r="C170" s="16">
        <v>41894</v>
      </c>
      <c r="D170" s="15">
        <v>41957</v>
      </c>
      <c r="E170" s="16" t="s">
        <v>476</v>
      </c>
      <c r="F170" s="86" t="str">
        <f>+"21-JUL-2014"</f>
        <v>21-JUL-2014</v>
      </c>
      <c r="G170" s="47">
        <f t="shared" si="2"/>
        <v>240</v>
      </c>
      <c r="H170" s="1"/>
      <c r="I170" s="18"/>
      <c r="J170" s="1"/>
      <c r="K170" s="16"/>
      <c r="L170" s="82" t="s">
        <v>10</v>
      </c>
      <c r="M170" s="1" t="s">
        <v>647</v>
      </c>
      <c r="N170" s="82" t="s">
        <v>13</v>
      </c>
      <c r="O170" s="82" t="s">
        <v>14</v>
      </c>
      <c r="P170" s="1" t="s">
        <v>21</v>
      </c>
      <c r="Q170" s="83" t="s">
        <v>22</v>
      </c>
    </row>
    <row r="171" spans="1:17" ht="112.7" customHeight="1" x14ac:dyDescent="0.25">
      <c r="A171" s="1" t="s">
        <v>483</v>
      </c>
      <c r="B171" s="15" t="s">
        <v>476</v>
      </c>
      <c r="C171" s="16" t="s">
        <v>476</v>
      </c>
      <c r="D171" s="15" t="s">
        <v>476</v>
      </c>
      <c r="E171" s="16" t="s">
        <v>476</v>
      </c>
      <c r="F171" s="86" t="str">
        <f>+"22-JUL-2014"</f>
        <v>22-JUL-2014</v>
      </c>
      <c r="G171" s="47">
        <f t="shared" si="2"/>
        <v>239</v>
      </c>
      <c r="H171" s="1"/>
      <c r="I171" s="18"/>
      <c r="J171" s="1"/>
      <c r="K171" s="16"/>
      <c r="L171" s="86" t="s">
        <v>19</v>
      </c>
      <c r="M171" s="1" t="s">
        <v>690</v>
      </c>
      <c r="N171" s="1" t="s">
        <v>13</v>
      </c>
      <c r="O171" s="1" t="s">
        <v>59</v>
      </c>
      <c r="P171" s="1" t="s">
        <v>36</v>
      </c>
      <c r="Q171" s="7" t="s">
        <v>290</v>
      </c>
    </row>
    <row r="172" spans="1:17" ht="110.25" customHeight="1" x14ac:dyDescent="0.25">
      <c r="A172" s="1" t="s">
        <v>484</v>
      </c>
      <c r="B172" s="15">
        <v>41898</v>
      </c>
      <c r="C172" s="16">
        <v>41908</v>
      </c>
      <c r="D172" s="15">
        <v>41974</v>
      </c>
      <c r="E172" s="16" t="s">
        <v>476</v>
      </c>
      <c r="F172" s="86" t="str">
        <f>+"01-AUG-2014"</f>
        <v>01-AUG-2014</v>
      </c>
      <c r="G172" s="47">
        <f t="shared" si="2"/>
        <v>229</v>
      </c>
      <c r="H172" s="1"/>
      <c r="I172" s="18"/>
      <c r="J172" s="1"/>
      <c r="K172" s="16"/>
      <c r="L172" s="86" t="s">
        <v>10</v>
      </c>
      <c r="M172" s="1" t="s">
        <v>691</v>
      </c>
      <c r="N172" s="1" t="s">
        <v>13</v>
      </c>
      <c r="O172" s="1" t="s">
        <v>14</v>
      </c>
      <c r="P172" s="1" t="s">
        <v>21</v>
      </c>
      <c r="Q172" s="7" t="s">
        <v>487</v>
      </c>
    </row>
    <row r="173" spans="1:17" ht="100.5" customHeight="1" x14ac:dyDescent="0.25">
      <c r="A173" s="1" t="s">
        <v>530</v>
      </c>
      <c r="B173" s="15" t="s">
        <v>476</v>
      </c>
      <c r="C173" s="15" t="s">
        <v>476</v>
      </c>
      <c r="D173" s="15" t="s">
        <v>476</v>
      </c>
      <c r="E173" s="15" t="s">
        <v>476</v>
      </c>
      <c r="F173" s="86" t="str">
        <f>+"04-AUG-2014"</f>
        <v>04-AUG-2014</v>
      </c>
      <c r="G173" s="47">
        <f t="shared" si="2"/>
        <v>226</v>
      </c>
      <c r="H173" s="1"/>
      <c r="I173" s="18"/>
      <c r="J173" s="1"/>
      <c r="K173" s="16"/>
      <c r="L173" s="86" t="s">
        <v>10</v>
      </c>
      <c r="M173" s="1" t="s">
        <v>546</v>
      </c>
      <c r="N173" s="1" t="s">
        <v>13</v>
      </c>
      <c r="O173" s="1" t="s">
        <v>14</v>
      </c>
      <c r="P173" s="1" t="s">
        <v>21</v>
      </c>
      <c r="Q173" s="7" t="s">
        <v>16</v>
      </c>
    </row>
    <row r="174" spans="1:17" ht="112.7" customHeight="1" x14ac:dyDescent="0.25">
      <c r="A174" s="1" t="s">
        <v>503</v>
      </c>
      <c r="B174" s="15" t="s">
        <v>476</v>
      </c>
      <c r="C174" s="16" t="s">
        <v>476</v>
      </c>
      <c r="D174" s="15" t="s">
        <v>476</v>
      </c>
      <c r="E174" s="16" t="s">
        <v>476</v>
      </c>
      <c r="F174" s="19">
        <v>41857</v>
      </c>
      <c r="G174" s="47">
        <f t="shared" si="2"/>
        <v>224</v>
      </c>
      <c r="H174" s="1"/>
      <c r="I174" s="18"/>
      <c r="J174" s="1"/>
      <c r="K174" s="16"/>
      <c r="L174" s="86" t="s">
        <v>10</v>
      </c>
      <c r="M174" s="1" t="s">
        <v>692</v>
      </c>
      <c r="N174" s="1" t="s">
        <v>13</v>
      </c>
      <c r="O174" s="1" t="s">
        <v>12</v>
      </c>
      <c r="P174" s="1" t="s">
        <v>652</v>
      </c>
      <c r="Q174" s="7" t="s">
        <v>504</v>
      </c>
    </row>
    <row r="175" spans="1:17" ht="90" customHeight="1" x14ac:dyDescent="0.25">
      <c r="A175" s="1" t="s">
        <v>531</v>
      </c>
      <c r="B175" s="53">
        <v>42040</v>
      </c>
      <c r="C175" s="16" t="s">
        <v>476</v>
      </c>
      <c r="D175" s="15" t="s">
        <v>476</v>
      </c>
      <c r="E175" s="16" t="s">
        <v>476</v>
      </c>
      <c r="F175" s="86" t="str">
        <f>+"06-AUG-2014"</f>
        <v>06-AUG-2014</v>
      </c>
      <c r="G175" s="47">
        <f t="shared" si="2"/>
        <v>224</v>
      </c>
      <c r="H175" s="1"/>
      <c r="I175" s="18"/>
      <c r="J175" s="1"/>
      <c r="K175" s="16"/>
      <c r="L175" s="86" t="s">
        <v>10</v>
      </c>
      <c r="M175" s="1" t="s">
        <v>547</v>
      </c>
      <c r="N175" s="1" t="s">
        <v>13</v>
      </c>
      <c r="O175" s="1" t="s">
        <v>17</v>
      </c>
      <c r="P175" s="1" t="s">
        <v>21</v>
      </c>
      <c r="Q175" s="7" t="s">
        <v>71</v>
      </c>
    </row>
    <row r="176" spans="1:17" ht="106.5" customHeight="1" x14ac:dyDescent="0.25">
      <c r="A176" s="1" t="s">
        <v>489</v>
      </c>
      <c r="B176" s="15">
        <v>41946</v>
      </c>
      <c r="C176" s="16">
        <v>41960</v>
      </c>
      <c r="D176" s="15">
        <v>42068</v>
      </c>
      <c r="E176" s="16" t="s">
        <v>476</v>
      </c>
      <c r="F176" s="16">
        <v>41859</v>
      </c>
      <c r="G176" s="47">
        <f t="shared" si="2"/>
        <v>222</v>
      </c>
      <c r="H176" s="1"/>
      <c r="I176" s="18"/>
      <c r="J176" s="1"/>
      <c r="K176" s="16"/>
      <c r="L176" s="86" t="s">
        <v>10</v>
      </c>
      <c r="M176" s="1" t="s">
        <v>693</v>
      </c>
      <c r="N176" s="1" t="s">
        <v>13</v>
      </c>
      <c r="O176" s="1" t="s">
        <v>59</v>
      </c>
      <c r="P176" s="1" t="s">
        <v>36</v>
      </c>
      <c r="Q176" s="7" t="s">
        <v>243</v>
      </c>
    </row>
    <row r="177" spans="1:17" ht="90" customHeight="1" x14ac:dyDescent="0.25">
      <c r="A177" s="1" t="s">
        <v>532</v>
      </c>
      <c r="B177" s="15" t="s">
        <v>476</v>
      </c>
      <c r="C177" s="16" t="s">
        <v>476</v>
      </c>
      <c r="D177" s="15" t="s">
        <v>476</v>
      </c>
      <c r="E177" s="16" t="s">
        <v>476</v>
      </c>
      <c r="F177" s="86" t="str">
        <f>+"13-AUG-2014"</f>
        <v>13-AUG-2014</v>
      </c>
      <c r="G177" s="47">
        <f t="shared" si="2"/>
        <v>217</v>
      </c>
      <c r="H177" s="1"/>
      <c r="I177" s="18"/>
      <c r="J177" s="1"/>
      <c r="K177" s="16"/>
      <c r="L177" s="86"/>
      <c r="M177" s="1" t="s">
        <v>548</v>
      </c>
      <c r="N177" s="1" t="s">
        <v>13</v>
      </c>
      <c r="O177" s="1" t="s">
        <v>25</v>
      </c>
      <c r="P177" s="1" t="s">
        <v>41</v>
      </c>
      <c r="Q177" s="7" t="s">
        <v>108</v>
      </c>
    </row>
    <row r="178" spans="1:17" ht="118.9" customHeight="1" x14ac:dyDescent="0.25">
      <c r="A178" s="1" t="s">
        <v>535</v>
      </c>
      <c r="B178" s="15" t="s">
        <v>476</v>
      </c>
      <c r="C178" s="16" t="s">
        <v>476</v>
      </c>
      <c r="D178" s="15" t="s">
        <v>476</v>
      </c>
      <c r="E178" s="16" t="s">
        <v>476</v>
      </c>
      <c r="F178" s="86" t="str">
        <f>+"14-AUG-2014"</f>
        <v>14-AUG-2014</v>
      </c>
      <c r="G178" s="47">
        <f t="shared" si="2"/>
        <v>216</v>
      </c>
      <c r="H178" s="1"/>
      <c r="I178" s="18"/>
      <c r="J178" s="1"/>
      <c r="K178" s="16"/>
      <c r="L178" s="86" t="s">
        <v>10</v>
      </c>
      <c r="M178" s="1" t="s">
        <v>551</v>
      </c>
      <c r="N178" s="1" t="s">
        <v>13</v>
      </c>
      <c r="O178" s="1" t="s">
        <v>25</v>
      </c>
      <c r="P178" s="1" t="s">
        <v>21</v>
      </c>
      <c r="Q178" s="7" t="s">
        <v>149</v>
      </c>
    </row>
    <row r="179" spans="1:17" ht="90" customHeight="1" x14ac:dyDescent="0.25">
      <c r="A179" s="1" t="s">
        <v>538</v>
      </c>
      <c r="B179" s="16" t="s">
        <v>476</v>
      </c>
      <c r="C179" s="16" t="s">
        <v>476</v>
      </c>
      <c r="D179" s="16" t="s">
        <v>476</v>
      </c>
      <c r="E179" s="16" t="s">
        <v>476</v>
      </c>
      <c r="F179" s="86" t="str">
        <f>+"14-AUG-2014"</f>
        <v>14-AUG-2014</v>
      </c>
      <c r="G179" s="47">
        <f t="shared" si="2"/>
        <v>216</v>
      </c>
      <c r="H179" s="1"/>
      <c r="I179" s="18"/>
      <c r="J179" s="1"/>
      <c r="K179" s="16"/>
      <c r="L179" s="86" t="s">
        <v>19</v>
      </c>
      <c r="M179" s="1" t="s">
        <v>554</v>
      </c>
      <c r="N179" s="1" t="s">
        <v>13</v>
      </c>
      <c r="O179" s="1" t="s">
        <v>14</v>
      </c>
      <c r="P179" s="1" t="s">
        <v>41</v>
      </c>
      <c r="Q179" s="7" t="s">
        <v>263</v>
      </c>
    </row>
    <row r="180" spans="1:17" ht="108" customHeight="1" x14ac:dyDescent="0.25">
      <c r="A180" s="1" t="s">
        <v>529</v>
      </c>
      <c r="B180" s="16">
        <v>41948</v>
      </c>
      <c r="C180" s="16" t="s">
        <v>476</v>
      </c>
      <c r="D180" s="16" t="s">
        <v>476</v>
      </c>
      <c r="E180" s="16" t="s">
        <v>476</v>
      </c>
      <c r="F180" s="86" t="str">
        <f>+"25-AUG-2014"</f>
        <v>25-AUG-2014</v>
      </c>
      <c r="G180" s="47">
        <f t="shared" si="2"/>
        <v>205</v>
      </c>
      <c r="H180" s="1"/>
      <c r="I180" s="18"/>
      <c r="J180" s="1"/>
      <c r="K180" s="16"/>
      <c r="L180" s="86" t="s">
        <v>19</v>
      </c>
      <c r="M180" s="1" t="s">
        <v>545</v>
      </c>
      <c r="N180" s="1" t="s">
        <v>13</v>
      </c>
      <c r="O180" s="1" t="s">
        <v>25</v>
      </c>
      <c r="P180" s="1" t="s">
        <v>36</v>
      </c>
      <c r="Q180" s="7" t="s">
        <v>181</v>
      </c>
    </row>
    <row r="181" spans="1:17" ht="90" customHeight="1" x14ac:dyDescent="0.25">
      <c r="A181" s="1" t="s">
        <v>533</v>
      </c>
      <c r="B181" s="23" t="s">
        <v>476</v>
      </c>
      <c r="C181" s="15" t="s">
        <v>476</v>
      </c>
      <c r="D181" s="15" t="s">
        <v>476</v>
      </c>
      <c r="E181" s="15" t="s">
        <v>476</v>
      </c>
      <c r="F181" s="86" t="str">
        <f>+"25-AUG-2014"</f>
        <v>25-AUG-2014</v>
      </c>
      <c r="G181" s="47">
        <f t="shared" si="2"/>
        <v>205</v>
      </c>
      <c r="H181" s="1"/>
      <c r="I181" s="18"/>
      <c r="J181" s="1"/>
      <c r="K181" s="16"/>
      <c r="L181" s="86"/>
      <c r="M181" s="1" t="s">
        <v>549</v>
      </c>
      <c r="N181" s="1" t="s">
        <v>13</v>
      </c>
      <c r="O181" s="1" t="s">
        <v>59</v>
      </c>
      <c r="P181" s="1" t="s">
        <v>41</v>
      </c>
      <c r="Q181" s="7" t="s">
        <v>33</v>
      </c>
    </row>
    <row r="182" spans="1:17" ht="90" customHeight="1" x14ac:dyDescent="0.25">
      <c r="A182" s="1" t="s">
        <v>536</v>
      </c>
      <c r="B182" s="15">
        <v>42019</v>
      </c>
      <c r="C182" s="15" t="s">
        <v>476</v>
      </c>
      <c r="D182" s="15" t="s">
        <v>476</v>
      </c>
      <c r="E182" s="15" t="s">
        <v>476</v>
      </c>
      <c r="F182" s="86" t="str">
        <f>+"28-AUG-2014"</f>
        <v>28-AUG-2014</v>
      </c>
      <c r="G182" s="47">
        <f t="shared" si="2"/>
        <v>202</v>
      </c>
      <c r="H182" s="1"/>
      <c r="I182" s="18"/>
      <c r="J182" s="1"/>
      <c r="K182" s="16"/>
      <c r="L182" s="86" t="s">
        <v>10</v>
      </c>
      <c r="M182" s="1" t="s">
        <v>552</v>
      </c>
      <c r="N182" s="1" t="s">
        <v>13</v>
      </c>
      <c r="O182" s="1" t="s">
        <v>48</v>
      </c>
      <c r="P182" s="1" t="s">
        <v>41</v>
      </c>
      <c r="Q182" s="7" t="s">
        <v>108</v>
      </c>
    </row>
    <row r="183" spans="1:17" ht="90" customHeight="1" x14ac:dyDescent="0.25">
      <c r="A183" s="1" t="s">
        <v>518</v>
      </c>
      <c r="B183" s="15">
        <v>41906</v>
      </c>
      <c r="C183" s="16">
        <v>41962</v>
      </c>
      <c r="D183" s="15" t="s">
        <v>476</v>
      </c>
      <c r="E183" s="16" t="s">
        <v>476</v>
      </c>
      <c r="F183" s="16">
        <v>41879</v>
      </c>
      <c r="G183" s="47">
        <f t="shared" si="2"/>
        <v>202</v>
      </c>
      <c r="H183" s="1"/>
      <c r="I183" s="18"/>
      <c r="J183" s="1"/>
      <c r="K183" s="16"/>
      <c r="L183" s="86" t="s">
        <v>10</v>
      </c>
      <c r="M183" s="1" t="s">
        <v>519</v>
      </c>
      <c r="N183" s="1" t="s">
        <v>13</v>
      </c>
      <c r="O183" s="1" t="s">
        <v>14</v>
      </c>
      <c r="P183" s="1" t="s">
        <v>41</v>
      </c>
      <c r="Q183" s="7" t="s">
        <v>520</v>
      </c>
    </row>
    <row r="184" spans="1:17" ht="90" customHeight="1" x14ac:dyDescent="0.25">
      <c r="A184" s="1" t="s">
        <v>539</v>
      </c>
      <c r="B184" s="15">
        <v>41962</v>
      </c>
      <c r="C184" s="16" t="s">
        <v>476</v>
      </c>
      <c r="D184" s="15" t="s">
        <v>476</v>
      </c>
      <c r="E184" s="16">
        <v>42055</v>
      </c>
      <c r="F184" s="86" t="str">
        <f>+"28-AUG-2014"</f>
        <v>28-AUG-2014</v>
      </c>
      <c r="G184" s="47">
        <f t="shared" si="2"/>
        <v>202</v>
      </c>
      <c r="H184" s="1"/>
      <c r="I184" s="18"/>
      <c r="J184" s="1"/>
      <c r="K184" s="16"/>
      <c r="L184" s="86" t="s">
        <v>19</v>
      </c>
      <c r="M184" s="1" t="s">
        <v>555</v>
      </c>
      <c r="N184" s="1" t="s">
        <v>13</v>
      </c>
      <c r="O184" s="1" t="s">
        <v>42</v>
      </c>
      <c r="P184" s="1" t="s">
        <v>21</v>
      </c>
      <c r="Q184" s="7" t="s">
        <v>33</v>
      </c>
    </row>
    <row r="185" spans="1:17" ht="90" customHeight="1" x14ac:dyDescent="0.25">
      <c r="A185" s="1" t="s">
        <v>515</v>
      </c>
      <c r="B185" s="15">
        <v>41964</v>
      </c>
      <c r="C185" s="16">
        <v>42068</v>
      </c>
      <c r="D185" s="15" t="s">
        <v>476</v>
      </c>
      <c r="E185" s="16" t="s">
        <v>476</v>
      </c>
      <c r="F185" s="16">
        <v>41885</v>
      </c>
      <c r="G185" s="47">
        <f t="shared" si="2"/>
        <v>196</v>
      </c>
      <c r="H185" s="1"/>
      <c r="I185" s="18"/>
      <c r="J185" s="1"/>
      <c r="K185" s="16"/>
      <c r="L185" s="86" t="s">
        <v>19</v>
      </c>
      <c r="M185" s="1" t="s">
        <v>516</v>
      </c>
      <c r="N185" s="1" t="s">
        <v>13</v>
      </c>
      <c r="O185" s="1" t="s">
        <v>17</v>
      </c>
      <c r="P185" s="1" t="s">
        <v>41</v>
      </c>
      <c r="Q185" s="7" t="s">
        <v>633</v>
      </c>
    </row>
    <row r="186" spans="1:17" ht="98.45" customHeight="1" x14ac:dyDescent="0.25">
      <c r="A186" s="1" t="s">
        <v>505</v>
      </c>
      <c r="B186" s="15" t="s">
        <v>476</v>
      </c>
      <c r="C186" s="16" t="s">
        <v>476</v>
      </c>
      <c r="D186" s="15" t="s">
        <v>476</v>
      </c>
      <c r="E186" s="16" t="s">
        <v>476</v>
      </c>
      <c r="F186" s="16" t="str">
        <f>+"10-SEP-2014"</f>
        <v>10-SEP-2014</v>
      </c>
      <c r="G186" s="47">
        <f t="shared" si="2"/>
        <v>189</v>
      </c>
      <c r="H186" s="1"/>
      <c r="I186" s="18"/>
      <c r="J186" s="1"/>
      <c r="K186" s="16"/>
      <c r="L186" s="86" t="s">
        <v>19</v>
      </c>
      <c r="M186" s="1" t="s">
        <v>507</v>
      </c>
      <c r="N186" s="1" t="s">
        <v>13</v>
      </c>
      <c r="O186" s="1" t="s">
        <v>14</v>
      </c>
      <c r="P186" s="1" t="s">
        <v>21</v>
      </c>
      <c r="Q186" s="7" t="s">
        <v>509</v>
      </c>
    </row>
    <row r="187" spans="1:17" ht="90" customHeight="1" x14ac:dyDescent="0.25">
      <c r="A187" s="1" t="s">
        <v>506</v>
      </c>
      <c r="B187" s="23" t="s">
        <v>476</v>
      </c>
      <c r="C187" s="16" t="s">
        <v>476</v>
      </c>
      <c r="D187" s="15" t="s">
        <v>476</v>
      </c>
      <c r="E187" s="16" t="s">
        <v>476</v>
      </c>
      <c r="F187" s="16" t="str">
        <f>+"10-SEP-2014"</f>
        <v>10-SEP-2014</v>
      </c>
      <c r="G187" s="47">
        <f t="shared" si="2"/>
        <v>189</v>
      </c>
      <c r="H187" s="1"/>
      <c r="I187" s="18"/>
      <c r="J187" s="1"/>
      <c r="K187" s="16"/>
      <c r="L187" s="86"/>
      <c r="M187" s="1" t="s">
        <v>508</v>
      </c>
      <c r="N187" s="1" t="s">
        <v>13</v>
      </c>
      <c r="O187" s="1" t="s">
        <v>14</v>
      </c>
      <c r="P187" s="1" t="s">
        <v>41</v>
      </c>
      <c r="Q187" s="7" t="s">
        <v>510</v>
      </c>
    </row>
    <row r="188" spans="1:17" ht="90" customHeight="1" x14ac:dyDescent="0.25">
      <c r="A188" s="1" t="s">
        <v>511</v>
      </c>
      <c r="B188" s="15" t="s">
        <v>476</v>
      </c>
      <c r="C188" s="16" t="s">
        <v>476</v>
      </c>
      <c r="D188" s="15" t="s">
        <v>476</v>
      </c>
      <c r="E188" s="16" t="s">
        <v>476</v>
      </c>
      <c r="F188" s="17" t="str">
        <f>+"17-SEP-2014"</f>
        <v>17-SEP-2014</v>
      </c>
      <c r="G188" s="47">
        <f t="shared" si="2"/>
        <v>182</v>
      </c>
      <c r="H188" s="1"/>
      <c r="I188" s="18"/>
      <c r="J188" s="1"/>
      <c r="K188" s="16"/>
      <c r="L188" s="86"/>
      <c r="M188" s="1" t="s">
        <v>512</v>
      </c>
      <c r="N188" s="1" t="s">
        <v>13</v>
      </c>
      <c r="O188" s="1" t="s">
        <v>25</v>
      </c>
      <c r="P188" s="1" t="s">
        <v>41</v>
      </c>
      <c r="Q188" s="7" t="s">
        <v>514</v>
      </c>
    </row>
    <row r="189" spans="1:17" ht="90" customHeight="1" x14ac:dyDescent="0.25">
      <c r="A189" s="11" t="s">
        <v>521</v>
      </c>
      <c r="B189" s="15" t="s">
        <v>476</v>
      </c>
      <c r="C189" s="15" t="s">
        <v>476</v>
      </c>
      <c r="D189" s="15" t="s">
        <v>476</v>
      </c>
      <c r="E189" s="15" t="s">
        <v>476</v>
      </c>
      <c r="F189" s="15">
        <v>41907</v>
      </c>
      <c r="G189" s="47">
        <f t="shared" si="2"/>
        <v>174</v>
      </c>
      <c r="H189" s="11"/>
      <c r="I189" s="20"/>
      <c r="J189" s="11"/>
      <c r="K189" s="15"/>
      <c r="L189" s="11" t="s">
        <v>19</v>
      </c>
      <c r="M189" s="11" t="s">
        <v>522</v>
      </c>
      <c r="N189" s="11" t="s">
        <v>13</v>
      </c>
      <c r="O189" s="11" t="s">
        <v>25</v>
      </c>
      <c r="P189" s="11" t="s">
        <v>36</v>
      </c>
      <c r="Q189" s="12" t="s">
        <v>513</v>
      </c>
    </row>
    <row r="190" spans="1:17" ht="90" customHeight="1" x14ac:dyDescent="0.25">
      <c r="A190" s="11" t="s">
        <v>523</v>
      </c>
      <c r="B190" s="15">
        <v>41988</v>
      </c>
      <c r="C190" s="15" t="s">
        <v>476</v>
      </c>
      <c r="D190" s="15" t="s">
        <v>476</v>
      </c>
      <c r="E190" s="15" t="s">
        <v>476</v>
      </c>
      <c r="F190" s="15">
        <v>41913</v>
      </c>
      <c r="G190" s="47">
        <f t="shared" si="2"/>
        <v>168</v>
      </c>
      <c r="H190" s="11"/>
      <c r="I190" s="20"/>
      <c r="J190" s="11"/>
      <c r="K190" s="15"/>
      <c r="L190" s="11" t="s">
        <v>19</v>
      </c>
      <c r="M190" s="11" t="s">
        <v>524</v>
      </c>
      <c r="N190" s="11" t="s">
        <v>13</v>
      </c>
      <c r="O190" s="11" t="s">
        <v>25</v>
      </c>
      <c r="P190" s="11" t="s">
        <v>36</v>
      </c>
      <c r="Q190" s="12" t="s">
        <v>513</v>
      </c>
    </row>
    <row r="191" spans="1:17" ht="96.4" customHeight="1" x14ac:dyDescent="0.25">
      <c r="A191" s="11" t="s">
        <v>525</v>
      </c>
      <c r="B191" s="15" t="s">
        <v>476</v>
      </c>
      <c r="C191" s="15" t="s">
        <v>476</v>
      </c>
      <c r="D191" s="15" t="s">
        <v>476</v>
      </c>
      <c r="E191" s="15" t="s">
        <v>476</v>
      </c>
      <c r="F191" s="15">
        <v>41914</v>
      </c>
      <c r="G191" s="47">
        <f t="shared" si="2"/>
        <v>167</v>
      </c>
      <c r="H191" s="11"/>
      <c r="I191" s="20"/>
      <c r="J191" s="11"/>
      <c r="K191" s="15"/>
      <c r="L191" s="11" t="s">
        <v>19</v>
      </c>
      <c r="M191" s="11" t="s">
        <v>694</v>
      </c>
      <c r="N191" s="11" t="s">
        <v>13</v>
      </c>
      <c r="O191" s="11" t="s">
        <v>25</v>
      </c>
      <c r="P191" s="11" t="s">
        <v>36</v>
      </c>
      <c r="Q191" s="12" t="s">
        <v>513</v>
      </c>
    </row>
    <row r="192" spans="1:17" ht="98.45" customHeight="1" x14ac:dyDescent="0.25">
      <c r="A192" s="1" t="s">
        <v>540</v>
      </c>
      <c r="B192" s="15">
        <v>41978</v>
      </c>
      <c r="C192" s="15">
        <v>42009</v>
      </c>
      <c r="D192" s="15" t="s">
        <v>476</v>
      </c>
      <c r="E192" s="15" t="s">
        <v>476</v>
      </c>
      <c r="F192" s="86" t="str">
        <f>+"02-OCT-2014"</f>
        <v>02-OCT-2014</v>
      </c>
      <c r="G192" s="47">
        <f t="shared" si="2"/>
        <v>167</v>
      </c>
      <c r="H192" s="1"/>
      <c r="I192" s="18"/>
      <c r="J192" s="1"/>
      <c r="K192" s="16"/>
      <c r="L192" s="86" t="s">
        <v>19</v>
      </c>
      <c r="M192" s="1" t="s">
        <v>556</v>
      </c>
      <c r="N192" s="1" t="s">
        <v>13</v>
      </c>
      <c r="O192" s="1" t="s">
        <v>14</v>
      </c>
      <c r="P192" s="1" t="s">
        <v>21</v>
      </c>
      <c r="Q192" s="7" t="s">
        <v>65</v>
      </c>
    </row>
    <row r="193" spans="1:17" ht="135.19999999999999" customHeight="1" x14ac:dyDescent="0.25">
      <c r="A193" s="1" t="s">
        <v>537</v>
      </c>
      <c r="B193" s="15" t="s">
        <v>476</v>
      </c>
      <c r="C193" s="15" t="s">
        <v>476</v>
      </c>
      <c r="D193" s="15" t="s">
        <v>476</v>
      </c>
      <c r="E193" s="15" t="s">
        <v>476</v>
      </c>
      <c r="F193" s="86" t="str">
        <f>+"09-OCT-2014"</f>
        <v>09-OCT-2014</v>
      </c>
      <c r="G193" s="47">
        <f t="shared" si="2"/>
        <v>160</v>
      </c>
      <c r="H193" s="1"/>
      <c r="I193" s="18"/>
      <c r="J193" s="48"/>
      <c r="K193" s="16"/>
      <c r="L193" s="86"/>
      <c r="M193" s="1" t="s">
        <v>553</v>
      </c>
      <c r="N193" s="1" t="s">
        <v>13</v>
      </c>
      <c r="O193" s="1" t="s">
        <v>14</v>
      </c>
      <c r="P193" s="1" t="s">
        <v>21</v>
      </c>
      <c r="Q193" s="7" t="s">
        <v>16</v>
      </c>
    </row>
    <row r="194" spans="1:17" ht="73.349999999999994" customHeight="1" x14ac:dyDescent="0.25">
      <c r="A194" s="82" t="s">
        <v>564</v>
      </c>
      <c r="B194" s="15" t="s">
        <v>476</v>
      </c>
      <c r="C194" s="15" t="s">
        <v>476</v>
      </c>
      <c r="D194" s="15" t="s">
        <v>476</v>
      </c>
      <c r="E194" s="15" t="s">
        <v>476</v>
      </c>
      <c r="F194" s="86" t="str">
        <f>+"16-OCT-2014"</f>
        <v>16-OCT-2014</v>
      </c>
      <c r="G194" s="47">
        <f t="shared" ref="G194:G257" si="3">DATE(2015, 3, 18)- F194</f>
        <v>153</v>
      </c>
      <c r="H194" s="1"/>
      <c r="I194" s="18"/>
      <c r="J194" s="1"/>
      <c r="K194" s="87"/>
      <c r="L194" s="82"/>
      <c r="M194" s="1" t="s">
        <v>574</v>
      </c>
      <c r="N194" s="1" t="s">
        <v>13</v>
      </c>
      <c r="O194" s="82" t="s">
        <v>17</v>
      </c>
      <c r="P194" s="1" t="s">
        <v>36</v>
      </c>
      <c r="Q194" s="7" t="s">
        <v>54</v>
      </c>
    </row>
    <row r="195" spans="1:17" ht="146.1" customHeight="1" x14ac:dyDescent="0.25">
      <c r="A195" s="82" t="s">
        <v>565</v>
      </c>
      <c r="B195" s="15" t="s">
        <v>476</v>
      </c>
      <c r="C195" s="15" t="s">
        <v>476</v>
      </c>
      <c r="D195" s="15" t="s">
        <v>476</v>
      </c>
      <c r="E195" s="15" t="s">
        <v>476</v>
      </c>
      <c r="F195" s="86" t="str">
        <f>+"16-OCT-2014"</f>
        <v>16-OCT-2014</v>
      </c>
      <c r="G195" s="47">
        <f t="shared" si="3"/>
        <v>153</v>
      </c>
      <c r="H195" s="1"/>
      <c r="I195" s="18"/>
      <c r="J195" s="1"/>
      <c r="K195" s="87"/>
      <c r="L195" s="82" t="s">
        <v>19</v>
      </c>
      <c r="M195" s="1" t="s">
        <v>695</v>
      </c>
      <c r="N195" s="1" t="s">
        <v>13</v>
      </c>
      <c r="O195" s="82" t="s">
        <v>12</v>
      </c>
      <c r="P195" s="1" t="s">
        <v>41</v>
      </c>
      <c r="Q195" s="7" t="s">
        <v>72</v>
      </c>
    </row>
    <row r="196" spans="1:17" ht="134.44999999999999" customHeight="1" x14ac:dyDescent="0.25">
      <c r="A196" s="82" t="s">
        <v>566</v>
      </c>
      <c r="B196" s="15">
        <v>41990</v>
      </c>
      <c r="C196" s="15">
        <v>42010</v>
      </c>
      <c r="D196" s="15" t="s">
        <v>476</v>
      </c>
      <c r="E196" s="15" t="s">
        <v>476</v>
      </c>
      <c r="F196" s="86" t="str">
        <f>+"16-OCT-2014"</f>
        <v>16-OCT-2014</v>
      </c>
      <c r="G196" s="47">
        <f t="shared" si="3"/>
        <v>153</v>
      </c>
      <c r="H196" s="1"/>
      <c r="I196" s="18"/>
      <c r="J196" s="1"/>
      <c r="K196" s="87"/>
      <c r="L196" s="82" t="s">
        <v>19</v>
      </c>
      <c r="M196" s="1" t="s">
        <v>696</v>
      </c>
      <c r="N196" s="1" t="s">
        <v>13</v>
      </c>
      <c r="O196" s="82" t="s">
        <v>14</v>
      </c>
      <c r="P196" s="1" t="s">
        <v>21</v>
      </c>
      <c r="Q196" s="7" t="s">
        <v>263</v>
      </c>
    </row>
    <row r="197" spans="1:17" ht="105.75" customHeight="1" x14ac:dyDescent="0.25">
      <c r="A197" s="82" t="s">
        <v>590</v>
      </c>
      <c r="B197" s="15" t="s">
        <v>476</v>
      </c>
      <c r="C197" s="15" t="s">
        <v>476</v>
      </c>
      <c r="D197" s="15" t="s">
        <v>476</v>
      </c>
      <c r="E197" s="15" t="s">
        <v>476</v>
      </c>
      <c r="F197" s="83" t="str">
        <f>+"17-OCT-2014"</f>
        <v>17-OCT-2014</v>
      </c>
      <c r="G197" s="47">
        <f t="shared" si="3"/>
        <v>152</v>
      </c>
      <c r="H197" s="1"/>
      <c r="I197" s="18"/>
      <c r="J197" s="1"/>
      <c r="K197" s="16"/>
      <c r="L197" s="86"/>
      <c r="M197" s="1" t="s">
        <v>594</v>
      </c>
      <c r="N197" s="1" t="s">
        <v>13</v>
      </c>
      <c r="O197" s="1" t="s">
        <v>25</v>
      </c>
      <c r="P197" s="82" t="s">
        <v>36</v>
      </c>
      <c r="Q197" s="7" t="s">
        <v>209</v>
      </c>
    </row>
    <row r="198" spans="1:17" ht="110.25" customHeight="1" x14ac:dyDescent="0.25">
      <c r="A198" s="82" t="s">
        <v>586</v>
      </c>
      <c r="B198" s="15" t="s">
        <v>476</v>
      </c>
      <c r="C198" s="15">
        <v>42069</v>
      </c>
      <c r="D198" s="15" t="s">
        <v>476</v>
      </c>
      <c r="E198" s="15" t="s">
        <v>476</v>
      </c>
      <c r="F198" s="83" t="str">
        <f>+"30-OCT-2014"</f>
        <v>30-OCT-2014</v>
      </c>
      <c r="G198" s="47">
        <f t="shared" si="3"/>
        <v>139</v>
      </c>
      <c r="H198" s="11"/>
      <c r="I198" s="20"/>
      <c r="J198" s="11"/>
      <c r="K198" s="15"/>
      <c r="L198" s="11" t="s">
        <v>10</v>
      </c>
      <c r="M198" s="1" t="s">
        <v>697</v>
      </c>
      <c r="N198" s="11" t="s">
        <v>13</v>
      </c>
      <c r="O198" s="11" t="s">
        <v>14</v>
      </c>
      <c r="P198" s="82" t="s">
        <v>36</v>
      </c>
      <c r="Q198" s="7" t="s">
        <v>622</v>
      </c>
    </row>
    <row r="199" spans="1:17" ht="114.75" customHeight="1" x14ac:dyDescent="0.25">
      <c r="A199" s="82" t="s">
        <v>591</v>
      </c>
      <c r="B199" s="15" t="s">
        <v>476</v>
      </c>
      <c r="C199" s="15" t="s">
        <v>476</v>
      </c>
      <c r="D199" s="15" t="s">
        <v>476</v>
      </c>
      <c r="E199" s="15" t="s">
        <v>476</v>
      </c>
      <c r="F199" s="83" t="str">
        <f>+"06-NOV-2014"</f>
        <v>06-NOV-2014</v>
      </c>
      <c r="G199" s="47">
        <f t="shared" si="3"/>
        <v>132</v>
      </c>
      <c r="H199" s="1"/>
      <c r="I199" s="18"/>
      <c r="J199" s="1"/>
      <c r="K199" s="16"/>
      <c r="L199" s="86" t="s">
        <v>19</v>
      </c>
      <c r="M199" s="1" t="s">
        <v>595</v>
      </c>
      <c r="N199" s="1" t="s">
        <v>13</v>
      </c>
      <c r="O199" s="82" t="s">
        <v>12</v>
      </c>
      <c r="P199" s="82" t="s">
        <v>41</v>
      </c>
      <c r="Q199" s="7" t="s">
        <v>290</v>
      </c>
    </row>
    <row r="200" spans="1:17" ht="90" customHeight="1" x14ac:dyDescent="0.25">
      <c r="A200" s="82" t="s">
        <v>619</v>
      </c>
      <c r="B200" s="15" t="s">
        <v>476</v>
      </c>
      <c r="C200" s="15" t="s">
        <v>476</v>
      </c>
      <c r="D200" s="15" t="s">
        <v>476</v>
      </c>
      <c r="E200" s="15" t="s">
        <v>476</v>
      </c>
      <c r="F200" s="83" t="str">
        <f>+"10-NOV-2014"</f>
        <v>10-NOV-2014</v>
      </c>
      <c r="G200" s="47">
        <f t="shared" si="3"/>
        <v>128</v>
      </c>
      <c r="H200" s="1"/>
      <c r="I200" s="18"/>
      <c r="J200" s="1"/>
      <c r="K200" s="82"/>
      <c r="L200" s="82"/>
      <c r="M200" s="1" t="s">
        <v>698</v>
      </c>
      <c r="N200" s="82" t="s">
        <v>13</v>
      </c>
      <c r="O200" s="82" t="s">
        <v>14</v>
      </c>
      <c r="P200" s="83" t="s">
        <v>36</v>
      </c>
      <c r="Q200" s="43" t="s">
        <v>88</v>
      </c>
    </row>
    <row r="201" spans="1:17" ht="90" customHeight="1" x14ac:dyDescent="0.25">
      <c r="A201" s="82" t="s">
        <v>587</v>
      </c>
      <c r="B201" s="15">
        <v>42012</v>
      </c>
      <c r="C201" s="53">
        <v>42040</v>
      </c>
      <c r="D201" s="15" t="s">
        <v>476</v>
      </c>
      <c r="E201" s="15" t="s">
        <v>476</v>
      </c>
      <c r="F201" s="83" t="str">
        <f>+"14-NOV-2014"</f>
        <v>14-NOV-2014</v>
      </c>
      <c r="G201" s="47">
        <f t="shared" si="3"/>
        <v>124</v>
      </c>
      <c r="H201" s="11"/>
      <c r="I201" s="20"/>
      <c r="J201" s="11"/>
      <c r="K201" s="15"/>
      <c r="L201" s="11" t="s">
        <v>10</v>
      </c>
      <c r="M201" s="1" t="s">
        <v>722</v>
      </c>
      <c r="N201" s="11" t="s">
        <v>13</v>
      </c>
      <c r="O201" s="11" t="s">
        <v>14</v>
      </c>
      <c r="P201" s="82" t="s">
        <v>36</v>
      </c>
      <c r="Q201" s="7" t="s">
        <v>173</v>
      </c>
    </row>
    <row r="202" spans="1:17" ht="90" customHeight="1" x14ac:dyDescent="0.25">
      <c r="A202" s="82" t="s">
        <v>588</v>
      </c>
      <c r="B202" s="15">
        <v>42012</v>
      </c>
      <c r="C202" s="15" t="s">
        <v>476</v>
      </c>
      <c r="D202" s="15" t="s">
        <v>476</v>
      </c>
      <c r="E202" s="15" t="s">
        <v>476</v>
      </c>
      <c r="F202" s="83" t="str">
        <f>+"14-NOV-2014"</f>
        <v>14-NOV-2014</v>
      </c>
      <c r="G202" s="47">
        <f t="shared" si="3"/>
        <v>124</v>
      </c>
      <c r="H202" s="11"/>
      <c r="I202" s="20"/>
      <c r="J202" s="11"/>
      <c r="K202" s="15"/>
      <c r="L202" s="11" t="s">
        <v>10</v>
      </c>
      <c r="M202" s="1" t="s">
        <v>699</v>
      </c>
      <c r="N202" s="11" t="s">
        <v>13</v>
      </c>
      <c r="O202" s="11" t="s">
        <v>59</v>
      </c>
      <c r="P202" s="82" t="s">
        <v>36</v>
      </c>
      <c r="Q202" s="7" t="s">
        <v>173</v>
      </c>
    </row>
    <row r="203" spans="1:17" ht="128.44999999999999" customHeight="1" x14ac:dyDescent="0.25">
      <c r="A203" s="1" t="s">
        <v>597</v>
      </c>
      <c r="B203" s="15" t="s">
        <v>476</v>
      </c>
      <c r="C203" s="15" t="s">
        <v>476</v>
      </c>
      <c r="D203" s="15" t="s">
        <v>476</v>
      </c>
      <c r="E203" s="15" t="s">
        <v>476</v>
      </c>
      <c r="F203" s="83" t="str">
        <f>+"18-NOV-2014"</f>
        <v>18-NOV-2014</v>
      </c>
      <c r="G203" s="47">
        <f t="shared" si="3"/>
        <v>120</v>
      </c>
      <c r="H203" s="11"/>
      <c r="I203" s="20"/>
      <c r="J203" s="11"/>
      <c r="K203" s="15"/>
      <c r="L203" s="82" t="s">
        <v>10</v>
      </c>
      <c r="M203" s="1" t="s">
        <v>700</v>
      </c>
      <c r="N203" s="82" t="s">
        <v>13</v>
      </c>
      <c r="O203" s="82" t="s">
        <v>14</v>
      </c>
      <c r="P203" s="83" t="s">
        <v>15</v>
      </c>
      <c r="Q203" s="89" t="s">
        <v>88</v>
      </c>
    </row>
    <row r="204" spans="1:17" ht="90" customHeight="1" x14ac:dyDescent="0.25">
      <c r="A204" s="1" t="s">
        <v>598</v>
      </c>
      <c r="B204" s="15" t="s">
        <v>476</v>
      </c>
      <c r="C204" s="15" t="s">
        <v>476</v>
      </c>
      <c r="D204" s="15" t="s">
        <v>476</v>
      </c>
      <c r="E204" s="15" t="s">
        <v>476</v>
      </c>
      <c r="F204" s="83" t="str">
        <f>+"18-NOV-2014"</f>
        <v>18-NOV-2014</v>
      </c>
      <c r="G204" s="47">
        <f t="shared" si="3"/>
        <v>120</v>
      </c>
      <c r="H204" s="11"/>
      <c r="I204" s="20"/>
      <c r="J204" s="11"/>
      <c r="K204" s="15"/>
      <c r="L204" s="82" t="s">
        <v>10</v>
      </c>
      <c r="M204" s="1" t="s">
        <v>701</v>
      </c>
      <c r="N204" s="82" t="s">
        <v>13</v>
      </c>
      <c r="O204" s="82" t="s">
        <v>42</v>
      </c>
      <c r="P204" s="83" t="s">
        <v>15</v>
      </c>
      <c r="Q204" s="7" t="s">
        <v>88</v>
      </c>
    </row>
    <row r="205" spans="1:17" ht="102.2" customHeight="1" x14ac:dyDescent="0.25">
      <c r="A205" s="1" t="s">
        <v>599</v>
      </c>
      <c r="B205" s="15" t="s">
        <v>476</v>
      </c>
      <c r="C205" s="15" t="s">
        <v>476</v>
      </c>
      <c r="D205" s="15" t="s">
        <v>476</v>
      </c>
      <c r="E205" s="15" t="s">
        <v>476</v>
      </c>
      <c r="F205" s="83" t="str">
        <f>+"18-NOV-2014"</f>
        <v>18-NOV-2014</v>
      </c>
      <c r="G205" s="47">
        <f t="shared" si="3"/>
        <v>120</v>
      </c>
      <c r="H205" s="11"/>
      <c r="I205" s="20"/>
      <c r="J205" s="11"/>
      <c r="K205" s="15"/>
      <c r="L205" s="82" t="s">
        <v>10</v>
      </c>
      <c r="M205" s="1" t="s">
        <v>702</v>
      </c>
      <c r="N205" s="82" t="s">
        <v>13</v>
      </c>
      <c r="O205" s="82" t="s">
        <v>42</v>
      </c>
      <c r="P205" s="83" t="s">
        <v>15</v>
      </c>
      <c r="Q205" s="7" t="s">
        <v>88</v>
      </c>
    </row>
    <row r="206" spans="1:17" ht="90" customHeight="1" x14ac:dyDescent="0.25">
      <c r="A206" s="1" t="s">
        <v>600</v>
      </c>
      <c r="B206" s="15" t="s">
        <v>476</v>
      </c>
      <c r="C206" s="15" t="s">
        <v>476</v>
      </c>
      <c r="D206" s="15" t="s">
        <v>476</v>
      </c>
      <c r="E206" s="15" t="s">
        <v>476</v>
      </c>
      <c r="F206" s="83" t="str">
        <f>+"18-NOV-2014"</f>
        <v>18-NOV-2014</v>
      </c>
      <c r="G206" s="47">
        <f t="shared" si="3"/>
        <v>120</v>
      </c>
      <c r="H206" s="11"/>
      <c r="I206" s="20"/>
      <c r="J206" s="11"/>
      <c r="K206" s="15"/>
      <c r="L206" s="82" t="s">
        <v>10</v>
      </c>
      <c r="M206" s="1" t="s">
        <v>703</v>
      </c>
      <c r="N206" s="82" t="s">
        <v>13</v>
      </c>
      <c r="O206" s="82" t="s">
        <v>59</v>
      </c>
      <c r="P206" s="83" t="s">
        <v>15</v>
      </c>
      <c r="Q206" s="7" t="s">
        <v>88</v>
      </c>
    </row>
    <row r="207" spans="1:17" ht="168.4" customHeight="1" x14ac:dyDescent="0.25">
      <c r="A207" s="1" t="s">
        <v>606</v>
      </c>
      <c r="B207" s="15" t="s">
        <v>476</v>
      </c>
      <c r="C207" s="15" t="s">
        <v>476</v>
      </c>
      <c r="D207" s="15" t="s">
        <v>476</v>
      </c>
      <c r="E207" s="15" t="s">
        <v>476</v>
      </c>
      <c r="F207" s="83" t="str">
        <f>+"20-NOV-2014"</f>
        <v>20-NOV-2014</v>
      </c>
      <c r="G207" s="47">
        <f t="shared" si="3"/>
        <v>118</v>
      </c>
      <c r="H207" s="1"/>
      <c r="I207" s="18"/>
      <c r="J207" s="1"/>
      <c r="K207" s="16"/>
      <c r="L207" s="82" t="s">
        <v>10</v>
      </c>
      <c r="M207" s="1" t="s">
        <v>704</v>
      </c>
      <c r="N207" s="82" t="s">
        <v>13</v>
      </c>
      <c r="O207" s="82" t="s">
        <v>59</v>
      </c>
      <c r="P207" s="1" t="s">
        <v>36</v>
      </c>
      <c r="Q207" s="7" t="s">
        <v>209</v>
      </c>
    </row>
    <row r="208" spans="1:17" ht="120.95" customHeight="1" x14ac:dyDescent="0.25">
      <c r="A208" s="1" t="s">
        <v>601</v>
      </c>
      <c r="B208" s="15" t="s">
        <v>476</v>
      </c>
      <c r="C208" s="15">
        <v>42068</v>
      </c>
      <c r="D208" s="15" t="s">
        <v>476</v>
      </c>
      <c r="E208" s="15" t="s">
        <v>476</v>
      </c>
      <c r="F208" s="83" t="str">
        <f>+"21-NOV-2014"</f>
        <v>21-NOV-2014</v>
      </c>
      <c r="G208" s="47">
        <f t="shared" si="3"/>
        <v>117</v>
      </c>
      <c r="H208" s="11"/>
      <c r="I208" s="20"/>
      <c r="J208" s="11"/>
      <c r="K208" s="15"/>
      <c r="L208" s="82" t="s">
        <v>10</v>
      </c>
      <c r="M208" s="1" t="s">
        <v>705</v>
      </c>
      <c r="N208" s="82" t="s">
        <v>13</v>
      </c>
      <c r="O208" s="82" t="s">
        <v>14</v>
      </c>
      <c r="P208" s="83" t="s">
        <v>21</v>
      </c>
      <c r="Q208" s="7" t="s">
        <v>254</v>
      </c>
    </row>
    <row r="209" spans="1:17" ht="105.75" customHeight="1" x14ac:dyDescent="0.25">
      <c r="A209" s="1" t="s">
        <v>602</v>
      </c>
      <c r="B209" s="15" t="s">
        <v>476</v>
      </c>
      <c r="C209" s="15" t="s">
        <v>476</v>
      </c>
      <c r="D209" s="15" t="s">
        <v>476</v>
      </c>
      <c r="E209" s="15" t="s">
        <v>476</v>
      </c>
      <c r="F209" s="83" t="str">
        <f>+"24-NOV-2014"</f>
        <v>24-NOV-2014</v>
      </c>
      <c r="G209" s="47">
        <f t="shared" si="3"/>
        <v>114</v>
      </c>
      <c r="H209" s="11"/>
      <c r="I209" s="20"/>
      <c r="J209" s="11"/>
      <c r="K209" s="15"/>
      <c r="L209" s="82" t="s">
        <v>10</v>
      </c>
      <c r="M209" s="1" t="s">
        <v>706</v>
      </c>
      <c r="N209" s="82" t="s">
        <v>13</v>
      </c>
      <c r="O209" s="82" t="s">
        <v>17</v>
      </c>
      <c r="P209" s="83" t="s">
        <v>36</v>
      </c>
      <c r="Q209" s="7" t="s">
        <v>72</v>
      </c>
    </row>
    <row r="210" spans="1:17" ht="108" customHeight="1" x14ac:dyDescent="0.25">
      <c r="A210" s="1" t="s">
        <v>603</v>
      </c>
      <c r="B210" s="15">
        <v>42018</v>
      </c>
      <c r="C210" s="15" t="s">
        <v>476</v>
      </c>
      <c r="D210" s="15" t="s">
        <v>476</v>
      </c>
      <c r="E210" s="15" t="s">
        <v>476</v>
      </c>
      <c r="F210" s="83" t="str">
        <f>+"25-NOV-2014"</f>
        <v>25-NOV-2014</v>
      </c>
      <c r="G210" s="47">
        <f t="shared" si="3"/>
        <v>113</v>
      </c>
      <c r="H210" s="11"/>
      <c r="I210" s="20"/>
      <c r="J210" s="11"/>
      <c r="K210" s="15"/>
      <c r="L210" s="82" t="s">
        <v>10</v>
      </c>
      <c r="M210" s="1" t="s">
        <v>707</v>
      </c>
      <c r="N210" s="82" t="s">
        <v>13</v>
      </c>
      <c r="O210" s="82" t="s">
        <v>14</v>
      </c>
      <c r="P210" s="83" t="s">
        <v>21</v>
      </c>
      <c r="Q210" s="7" t="s">
        <v>243</v>
      </c>
    </row>
    <row r="211" spans="1:17" ht="112.15" customHeight="1" x14ac:dyDescent="0.25">
      <c r="A211" s="1" t="s">
        <v>604</v>
      </c>
      <c r="B211" s="15" t="s">
        <v>476</v>
      </c>
      <c r="C211" s="15">
        <v>42076</v>
      </c>
      <c r="D211" s="15" t="s">
        <v>476</v>
      </c>
      <c r="E211" s="15" t="s">
        <v>476</v>
      </c>
      <c r="F211" s="83" t="str">
        <f>+"26-NOV-2014"</f>
        <v>26-NOV-2014</v>
      </c>
      <c r="G211" s="47">
        <f t="shared" si="3"/>
        <v>112</v>
      </c>
      <c r="H211" s="11"/>
      <c r="I211" s="20"/>
      <c r="J211" s="11"/>
      <c r="K211" s="15"/>
      <c r="L211" s="82" t="s">
        <v>10</v>
      </c>
      <c r="M211" s="1" t="s">
        <v>708</v>
      </c>
      <c r="N211" s="82" t="s">
        <v>13</v>
      </c>
      <c r="O211" s="82" t="s">
        <v>14</v>
      </c>
      <c r="P211" s="83" t="s">
        <v>21</v>
      </c>
      <c r="Q211" s="7" t="s">
        <v>254</v>
      </c>
    </row>
    <row r="212" spans="1:17" ht="109.35" customHeight="1" x14ac:dyDescent="0.25">
      <c r="A212" s="82" t="s">
        <v>642</v>
      </c>
      <c r="B212" s="15">
        <v>42044</v>
      </c>
      <c r="C212" s="15">
        <v>42072</v>
      </c>
      <c r="D212" s="15" t="s">
        <v>476</v>
      </c>
      <c r="E212" s="15" t="s">
        <v>476</v>
      </c>
      <c r="F212" s="83" t="str">
        <f>+"26-NOV-2014"</f>
        <v>26-NOV-2014</v>
      </c>
      <c r="G212" s="47">
        <f t="shared" si="3"/>
        <v>112</v>
      </c>
      <c r="H212" s="1"/>
      <c r="I212" s="18"/>
      <c r="J212" s="1"/>
      <c r="K212" s="82"/>
      <c r="L212" s="82" t="s">
        <v>10</v>
      </c>
      <c r="M212" s="1" t="s">
        <v>648</v>
      </c>
      <c r="N212" s="82" t="s">
        <v>13</v>
      </c>
      <c r="O212" s="87" t="s">
        <v>25</v>
      </c>
      <c r="P212" s="1" t="s">
        <v>21</v>
      </c>
      <c r="Q212" s="83" t="s">
        <v>181</v>
      </c>
    </row>
    <row r="213" spans="1:17" ht="132.4" customHeight="1" x14ac:dyDescent="0.25">
      <c r="A213" s="1" t="s">
        <v>605</v>
      </c>
      <c r="B213" s="15" t="s">
        <v>476</v>
      </c>
      <c r="C213" s="15" t="s">
        <v>476</v>
      </c>
      <c r="D213" s="15" t="s">
        <v>476</v>
      </c>
      <c r="E213" s="15" t="s">
        <v>476</v>
      </c>
      <c r="F213" s="83" t="str">
        <f>+"01-DEC-2014"</f>
        <v>01-DEC-2014</v>
      </c>
      <c r="G213" s="47">
        <f t="shared" si="3"/>
        <v>107</v>
      </c>
      <c r="H213" s="1"/>
      <c r="I213" s="18"/>
      <c r="J213" s="1"/>
      <c r="K213" s="82"/>
      <c r="L213" s="82" t="s">
        <v>10</v>
      </c>
      <c r="M213" s="1" t="s">
        <v>709</v>
      </c>
      <c r="N213" s="82" t="s">
        <v>13</v>
      </c>
      <c r="O213" s="82" t="s">
        <v>608</v>
      </c>
      <c r="P213" s="83" t="s">
        <v>15</v>
      </c>
      <c r="Q213" s="7" t="s">
        <v>108</v>
      </c>
    </row>
    <row r="214" spans="1:17" ht="90" customHeight="1" x14ac:dyDescent="0.25">
      <c r="A214" s="82" t="s">
        <v>624</v>
      </c>
      <c r="B214" s="15" t="s">
        <v>476</v>
      </c>
      <c r="C214" s="15" t="s">
        <v>476</v>
      </c>
      <c r="D214" s="15" t="s">
        <v>476</v>
      </c>
      <c r="E214" s="15" t="s">
        <v>476</v>
      </c>
      <c r="F214" s="83" t="str">
        <f>+"03-DEC-2014"</f>
        <v>03-DEC-2014</v>
      </c>
      <c r="G214" s="47">
        <f t="shared" si="3"/>
        <v>105</v>
      </c>
      <c r="H214" s="11"/>
      <c r="I214" s="20"/>
      <c r="J214" s="11"/>
      <c r="K214" s="15"/>
      <c r="L214" s="82" t="s">
        <v>19</v>
      </c>
      <c r="M214" s="1" t="s">
        <v>710</v>
      </c>
      <c r="N214" s="82" t="s">
        <v>13</v>
      </c>
      <c r="O214" s="82" t="s">
        <v>25</v>
      </c>
      <c r="P214" s="1" t="s">
        <v>36</v>
      </c>
      <c r="Q214" s="83" t="s">
        <v>653</v>
      </c>
    </row>
    <row r="215" spans="1:17" ht="90" customHeight="1" x14ac:dyDescent="0.25">
      <c r="A215" s="82" t="s">
        <v>626</v>
      </c>
      <c r="B215" s="15" t="s">
        <v>476</v>
      </c>
      <c r="C215" s="23" t="s">
        <v>476</v>
      </c>
      <c r="D215" s="15" t="s">
        <v>476</v>
      </c>
      <c r="E215" s="15" t="s">
        <v>476</v>
      </c>
      <c r="F215" s="83" t="str">
        <f>+"03-DEC-2014"</f>
        <v>03-DEC-2014</v>
      </c>
      <c r="G215" s="47">
        <f t="shared" si="3"/>
        <v>105</v>
      </c>
      <c r="H215" s="11"/>
      <c r="I215" s="20"/>
      <c r="J215" s="11"/>
      <c r="K215" s="15"/>
      <c r="L215" s="82" t="s">
        <v>10</v>
      </c>
      <c r="M215" s="1" t="s">
        <v>723</v>
      </c>
      <c r="N215" s="82" t="s">
        <v>13</v>
      </c>
      <c r="O215" s="82" t="s">
        <v>14</v>
      </c>
      <c r="P215" s="1" t="s">
        <v>36</v>
      </c>
      <c r="Q215" s="83" t="s">
        <v>474</v>
      </c>
    </row>
    <row r="216" spans="1:17" ht="135.94999999999999" customHeight="1" x14ac:dyDescent="0.25">
      <c r="A216" s="82" t="s">
        <v>625</v>
      </c>
      <c r="B216" s="15" t="s">
        <v>476</v>
      </c>
      <c r="C216" s="15" t="s">
        <v>476</v>
      </c>
      <c r="D216" s="15" t="s">
        <v>476</v>
      </c>
      <c r="E216" s="15" t="s">
        <v>476</v>
      </c>
      <c r="F216" s="83" t="str">
        <f>+"05-DEC-2014"</f>
        <v>05-DEC-2014</v>
      </c>
      <c r="G216" s="47">
        <f t="shared" si="3"/>
        <v>103</v>
      </c>
      <c r="H216" s="11"/>
      <c r="I216" s="20"/>
      <c r="J216" s="11"/>
      <c r="K216" s="15"/>
      <c r="L216" s="82" t="s">
        <v>10</v>
      </c>
      <c r="M216" s="1" t="s">
        <v>711</v>
      </c>
      <c r="N216" s="82" t="s">
        <v>13</v>
      </c>
      <c r="O216" s="82" t="s">
        <v>14</v>
      </c>
      <c r="P216" s="1" t="s">
        <v>41</v>
      </c>
      <c r="Q216" s="87" t="s">
        <v>49</v>
      </c>
    </row>
    <row r="217" spans="1:17" ht="90" customHeight="1" x14ac:dyDescent="0.25">
      <c r="A217" s="82" t="s">
        <v>644</v>
      </c>
      <c r="B217" s="15">
        <v>42031</v>
      </c>
      <c r="C217" s="15" t="s">
        <v>476</v>
      </c>
      <c r="D217" s="15" t="s">
        <v>476</v>
      </c>
      <c r="E217" s="15" t="s">
        <v>476</v>
      </c>
      <c r="F217" s="83" t="str">
        <f>+"08-DEC-2014"</f>
        <v>08-DEC-2014</v>
      </c>
      <c r="G217" s="47">
        <f t="shared" si="3"/>
        <v>100</v>
      </c>
      <c r="H217" s="1"/>
      <c r="I217" s="18"/>
      <c r="J217" s="1"/>
      <c r="K217" s="82"/>
      <c r="L217" s="82" t="s">
        <v>10</v>
      </c>
      <c r="M217" s="1" t="s">
        <v>649</v>
      </c>
      <c r="N217" s="82" t="s">
        <v>13</v>
      </c>
      <c r="O217" s="87" t="s">
        <v>25</v>
      </c>
      <c r="P217" s="1" t="s">
        <v>15</v>
      </c>
      <c r="Q217" s="83" t="s">
        <v>181</v>
      </c>
    </row>
    <row r="218" spans="1:17" ht="117.75" customHeight="1" x14ac:dyDescent="0.25">
      <c r="A218" s="82" t="s">
        <v>627</v>
      </c>
      <c r="B218" s="15" t="s">
        <v>476</v>
      </c>
      <c r="C218" s="15" t="s">
        <v>476</v>
      </c>
      <c r="D218" s="15" t="s">
        <v>476</v>
      </c>
      <c r="E218" s="15" t="s">
        <v>476</v>
      </c>
      <c r="F218" s="83" t="str">
        <f>+"10-DEC-2014"</f>
        <v>10-DEC-2014</v>
      </c>
      <c r="G218" s="47">
        <f t="shared" si="3"/>
        <v>98</v>
      </c>
      <c r="H218" s="11"/>
      <c r="I218" s="20"/>
      <c r="J218" s="11"/>
      <c r="K218" s="15"/>
      <c r="L218" s="82" t="s">
        <v>10</v>
      </c>
      <c r="M218" s="1" t="s">
        <v>712</v>
      </c>
      <c r="N218" s="82" t="s">
        <v>13</v>
      </c>
      <c r="O218" s="82" t="s">
        <v>14</v>
      </c>
      <c r="P218" s="1" t="s">
        <v>21</v>
      </c>
      <c r="Q218" s="87" t="s">
        <v>137</v>
      </c>
    </row>
    <row r="219" spans="1:17" ht="71.45" customHeight="1" x14ac:dyDescent="0.25">
      <c r="A219" s="82" t="s">
        <v>657</v>
      </c>
      <c r="B219" s="15" t="s">
        <v>476</v>
      </c>
      <c r="C219" s="15" t="s">
        <v>476</v>
      </c>
      <c r="D219" s="15" t="s">
        <v>476</v>
      </c>
      <c r="E219" s="15" t="s">
        <v>476</v>
      </c>
      <c r="F219" s="86" t="str">
        <f>+"12-DEC-2014"</f>
        <v>12-DEC-2014</v>
      </c>
      <c r="G219" s="47">
        <f t="shared" si="3"/>
        <v>96</v>
      </c>
      <c r="H219" s="11"/>
      <c r="I219" s="20"/>
      <c r="J219" s="11"/>
      <c r="K219" s="15"/>
      <c r="L219" s="86" t="s">
        <v>10</v>
      </c>
      <c r="M219" s="1" t="s">
        <v>675</v>
      </c>
      <c r="N219" s="1" t="s">
        <v>13</v>
      </c>
      <c r="O219" s="1" t="s">
        <v>17</v>
      </c>
      <c r="P219" s="1" t="s">
        <v>652</v>
      </c>
      <c r="Q219" s="83" t="s">
        <v>592</v>
      </c>
    </row>
    <row r="220" spans="1:17" ht="79.5" customHeight="1" x14ac:dyDescent="0.25">
      <c r="A220" s="82" t="s">
        <v>643</v>
      </c>
      <c r="B220" s="15" t="s">
        <v>476</v>
      </c>
      <c r="C220" s="15" t="s">
        <v>476</v>
      </c>
      <c r="D220" s="15" t="s">
        <v>476</v>
      </c>
      <c r="E220" s="15" t="s">
        <v>476</v>
      </c>
      <c r="F220" s="83" t="str">
        <f>+"12-DEC-2014"</f>
        <v>12-DEC-2014</v>
      </c>
      <c r="G220" s="47">
        <f t="shared" si="3"/>
        <v>96</v>
      </c>
      <c r="H220" s="1"/>
      <c r="I220" s="18"/>
      <c r="J220" s="1"/>
      <c r="K220" s="82"/>
      <c r="L220" s="82"/>
      <c r="M220" s="1" t="s">
        <v>713</v>
      </c>
      <c r="N220" s="1" t="s">
        <v>13</v>
      </c>
      <c r="O220" s="1" t="s">
        <v>25</v>
      </c>
      <c r="P220" s="1" t="s">
        <v>36</v>
      </c>
      <c r="Q220" s="7" t="s">
        <v>54</v>
      </c>
    </row>
    <row r="221" spans="1:17" ht="99.2" customHeight="1" x14ac:dyDescent="0.25">
      <c r="A221" s="82" t="s">
        <v>628</v>
      </c>
      <c r="B221" s="15" t="s">
        <v>476</v>
      </c>
      <c r="C221" s="15" t="s">
        <v>476</v>
      </c>
      <c r="D221" s="15" t="s">
        <v>476</v>
      </c>
      <c r="E221" s="15" t="s">
        <v>476</v>
      </c>
      <c r="F221" s="83" t="str">
        <f>+"15-DEC-2014"</f>
        <v>15-DEC-2014</v>
      </c>
      <c r="G221" s="47">
        <f t="shared" si="3"/>
        <v>93</v>
      </c>
      <c r="H221" s="11"/>
      <c r="I221" s="20"/>
      <c r="J221" s="11"/>
      <c r="K221" s="15"/>
      <c r="L221" s="82" t="s">
        <v>19</v>
      </c>
      <c r="M221" s="1" t="s">
        <v>714</v>
      </c>
      <c r="N221" s="82" t="s">
        <v>13</v>
      </c>
      <c r="O221" s="82" t="s">
        <v>17</v>
      </c>
      <c r="P221" s="1" t="s">
        <v>41</v>
      </c>
      <c r="Q221" s="87" t="s">
        <v>71</v>
      </c>
    </row>
    <row r="222" spans="1:17" ht="90" customHeight="1" x14ac:dyDescent="0.25">
      <c r="A222" s="82" t="s">
        <v>656</v>
      </c>
      <c r="B222" s="15" t="s">
        <v>476</v>
      </c>
      <c r="C222" s="15" t="s">
        <v>476</v>
      </c>
      <c r="D222" s="15" t="s">
        <v>476</v>
      </c>
      <c r="E222" s="15" t="s">
        <v>476</v>
      </c>
      <c r="F222" s="86" t="str">
        <f>+"15-DEC-2014"</f>
        <v>15-DEC-2014</v>
      </c>
      <c r="G222" s="47">
        <f t="shared" si="3"/>
        <v>93</v>
      </c>
      <c r="H222" s="11"/>
      <c r="I222" s="20"/>
      <c r="J222" s="11"/>
      <c r="K222" s="15"/>
      <c r="L222" s="86" t="s">
        <v>10</v>
      </c>
      <c r="M222" s="1" t="s">
        <v>715</v>
      </c>
      <c r="N222" s="1" t="s">
        <v>13</v>
      </c>
      <c r="O222" s="1" t="s">
        <v>14</v>
      </c>
      <c r="P222" s="1" t="s">
        <v>15</v>
      </c>
      <c r="Q222" s="83" t="s">
        <v>653</v>
      </c>
    </row>
    <row r="223" spans="1:17" ht="90" customHeight="1" x14ac:dyDescent="0.25">
      <c r="A223" s="82" t="s">
        <v>655</v>
      </c>
      <c r="B223" s="15" t="s">
        <v>476</v>
      </c>
      <c r="C223" s="15" t="s">
        <v>476</v>
      </c>
      <c r="D223" s="15" t="s">
        <v>476</v>
      </c>
      <c r="E223" s="15" t="s">
        <v>476</v>
      </c>
      <c r="F223" s="86" t="str">
        <f>+"17-DEC-2014"</f>
        <v>17-DEC-2014</v>
      </c>
      <c r="G223" s="47">
        <f t="shared" si="3"/>
        <v>91</v>
      </c>
      <c r="H223" s="11"/>
      <c r="I223" s="20"/>
      <c r="J223" s="11"/>
      <c r="K223" s="15"/>
      <c r="L223" s="86" t="s">
        <v>19</v>
      </c>
      <c r="M223" s="1" t="s">
        <v>674</v>
      </c>
      <c r="N223" s="1" t="s">
        <v>13</v>
      </c>
      <c r="O223" s="1" t="s">
        <v>25</v>
      </c>
      <c r="P223" s="1" t="s">
        <v>652</v>
      </c>
      <c r="Q223" s="83" t="s">
        <v>653</v>
      </c>
    </row>
    <row r="224" spans="1:17" ht="90" customHeight="1" x14ac:dyDescent="0.25">
      <c r="A224" s="82" t="s">
        <v>658</v>
      </c>
      <c r="B224" s="15" t="s">
        <v>476</v>
      </c>
      <c r="C224" s="15" t="s">
        <v>476</v>
      </c>
      <c r="D224" s="15" t="s">
        <v>476</v>
      </c>
      <c r="E224" s="15" t="s">
        <v>476</v>
      </c>
      <c r="F224" s="86" t="str">
        <f>+"17-DEC-2014"</f>
        <v>17-DEC-2014</v>
      </c>
      <c r="G224" s="47">
        <f t="shared" si="3"/>
        <v>91</v>
      </c>
      <c r="H224" s="11"/>
      <c r="I224" s="20"/>
      <c r="J224" s="11"/>
      <c r="K224" s="15"/>
      <c r="L224" s="86" t="s">
        <v>10</v>
      </c>
      <c r="M224" s="1" t="s">
        <v>676</v>
      </c>
      <c r="N224" s="1" t="s">
        <v>13</v>
      </c>
      <c r="O224" s="1" t="s">
        <v>59</v>
      </c>
      <c r="P224" s="1" t="s">
        <v>36</v>
      </c>
      <c r="Q224" s="83" t="s">
        <v>16</v>
      </c>
    </row>
    <row r="225" spans="1:17" ht="90" customHeight="1" x14ac:dyDescent="0.25">
      <c r="A225" s="82" t="s">
        <v>663</v>
      </c>
      <c r="B225" s="15" t="s">
        <v>476</v>
      </c>
      <c r="C225" s="15" t="s">
        <v>476</v>
      </c>
      <c r="D225" s="15" t="s">
        <v>476</v>
      </c>
      <c r="E225" s="15" t="s">
        <v>476</v>
      </c>
      <c r="F225" s="86" t="str">
        <f>+"17-DEC-2014"</f>
        <v>17-DEC-2014</v>
      </c>
      <c r="G225" s="47">
        <f t="shared" si="3"/>
        <v>91</v>
      </c>
      <c r="H225" s="11"/>
      <c r="I225" s="20"/>
      <c r="J225" s="11"/>
      <c r="K225" s="15"/>
      <c r="L225" s="86" t="s">
        <v>19</v>
      </c>
      <c r="M225" s="1" t="s">
        <v>681</v>
      </c>
      <c r="N225" s="1" t="s">
        <v>13</v>
      </c>
      <c r="O225" s="1" t="s">
        <v>25</v>
      </c>
      <c r="P225" s="1" t="s">
        <v>36</v>
      </c>
      <c r="Q225" s="83" t="s">
        <v>662</v>
      </c>
    </row>
    <row r="226" spans="1:17" ht="90" customHeight="1" x14ac:dyDescent="0.25">
      <c r="A226" s="82" t="s">
        <v>659</v>
      </c>
      <c r="B226" s="15" t="s">
        <v>476</v>
      </c>
      <c r="C226" s="15">
        <v>42081</v>
      </c>
      <c r="D226" s="15" t="s">
        <v>476</v>
      </c>
      <c r="E226" s="15" t="s">
        <v>476</v>
      </c>
      <c r="F226" s="86" t="str">
        <f>+"18-DEC-2014"</f>
        <v>18-DEC-2014</v>
      </c>
      <c r="G226" s="47">
        <f t="shared" si="3"/>
        <v>90</v>
      </c>
      <c r="H226" s="11"/>
      <c r="I226" s="20"/>
      <c r="J226" s="11"/>
      <c r="K226" s="15"/>
      <c r="L226" s="86" t="s">
        <v>10</v>
      </c>
      <c r="M226" s="1" t="s">
        <v>677</v>
      </c>
      <c r="N226" s="1" t="s">
        <v>13</v>
      </c>
      <c r="O226" s="1" t="s">
        <v>59</v>
      </c>
      <c r="P226" s="86" t="s">
        <v>36</v>
      </c>
      <c r="Q226" s="83" t="s">
        <v>71</v>
      </c>
    </row>
    <row r="227" spans="1:17" ht="90" customHeight="1" x14ac:dyDescent="0.25">
      <c r="A227" s="82" t="s">
        <v>670</v>
      </c>
      <c r="B227" s="15" t="s">
        <v>476</v>
      </c>
      <c r="C227" s="15" t="s">
        <v>476</v>
      </c>
      <c r="D227" s="15" t="s">
        <v>476</v>
      </c>
      <c r="E227" s="15" t="s">
        <v>476</v>
      </c>
      <c r="F227" s="86" t="str">
        <f>+"18-DEC-2014"</f>
        <v>18-DEC-2014</v>
      </c>
      <c r="G227" s="47">
        <f t="shared" si="3"/>
        <v>90</v>
      </c>
      <c r="H227" s="1"/>
      <c r="I227" s="18"/>
      <c r="J227" s="1"/>
      <c r="K227" s="16"/>
      <c r="L227" s="86" t="s">
        <v>19</v>
      </c>
      <c r="M227" s="1" t="s">
        <v>686</v>
      </c>
      <c r="N227" s="1" t="s">
        <v>13</v>
      </c>
      <c r="O227" s="82" t="s">
        <v>14</v>
      </c>
      <c r="P227" s="1" t="s">
        <v>41</v>
      </c>
      <c r="Q227" s="83" t="s">
        <v>662</v>
      </c>
    </row>
    <row r="228" spans="1:17" ht="90" customHeight="1" x14ac:dyDescent="0.25">
      <c r="A228" s="82" t="s">
        <v>661</v>
      </c>
      <c r="B228" s="15" t="s">
        <v>476</v>
      </c>
      <c r="C228" s="15" t="s">
        <v>476</v>
      </c>
      <c r="D228" s="15" t="s">
        <v>476</v>
      </c>
      <c r="E228" s="15" t="s">
        <v>476</v>
      </c>
      <c r="F228" s="86" t="str">
        <f>+"19-DEC-2014"</f>
        <v>19-DEC-2014</v>
      </c>
      <c r="G228" s="47">
        <f t="shared" si="3"/>
        <v>89</v>
      </c>
      <c r="H228" s="11"/>
      <c r="I228" s="20"/>
      <c r="J228" s="11"/>
      <c r="K228" s="15"/>
      <c r="L228" s="86" t="s">
        <v>19</v>
      </c>
      <c r="M228" s="1" t="s">
        <v>680</v>
      </c>
      <c r="N228" s="1" t="s">
        <v>13</v>
      </c>
      <c r="O228" s="1" t="s">
        <v>25</v>
      </c>
      <c r="P228" s="1" t="s">
        <v>652</v>
      </c>
      <c r="Q228" s="83" t="s">
        <v>662</v>
      </c>
    </row>
    <row r="229" spans="1:17" ht="90" customHeight="1" x14ac:dyDescent="0.25">
      <c r="A229" s="82" t="s">
        <v>664</v>
      </c>
      <c r="B229" s="15" t="s">
        <v>476</v>
      </c>
      <c r="C229" s="15" t="s">
        <v>476</v>
      </c>
      <c r="D229" s="15" t="s">
        <v>476</v>
      </c>
      <c r="E229" s="15" t="s">
        <v>476</v>
      </c>
      <c r="F229" s="86" t="str">
        <f>+"19-DEC-2014"</f>
        <v>19-DEC-2014</v>
      </c>
      <c r="G229" s="47">
        <f t="shared" si="3"/>
        <v>89</v>
      </c>
      <c r="H229" s="11"/>
      <c r="I229" s="20"/>
      <c r="J229" s="11"/>
      <c r="K229" s="15"/>
      <c r="L229" s="86" t="s">
        <v>10</v>
      </c>
      <c r="M229" s="1" t="s">
        <v>679</v>
      </c>
      <c r="N229" s="1" t="s">
        <v>13</v>
      </c>
      <c r="O229" s="1" t="s">
        <v>14</v>
      </c>
      <c r="P229" s="1" t="s">
        <v>652</v>
      </c>
      <c r="Q229" s="83" t="s">
        <v>97</v>
      </c>
    </row>
    <row r="230" spans="1:17" ht="90" customHeight="1" x14ac:dyDescent="0.25">
      <c r="A230" s="82" t="s">
        <v>668</v>
      </c>
      <c r="B230" s="15" t="s">
        <v>476</v>
      </c>
      <c r="C230" s="15" t="s">
        <v>476</v>
      </c>
      <c r="D230" s="15">
        <v>42059</v>
      </c>
      <c r="E230" s="15" t="s">
        <v>476</v>
      </c>
      <c r="F230" s="86" t="str">
        <f>+"19-DEC-2014"</f>
        <v>19-DEC-2014</v>
      </c>
      <c r="G230" s="47">
        <f t="shared" si="3"/>
        <v>89</v>
      </c>
      <c r="H230" s="1"/>
      <c r="I230" s="18"/>
      <c r="J230" s="1"/>
      <c r="K230" s="82"/>
      <c r="L230" s="86" t="s">
        <v>10</v>
      </c>
      <c r="M230" s="1" t="s">
        <v>685</v>
      </c>
      <c r="N230" s="1" t="s">
        <v>13</v>
      </c>
      <c r="O230" s="1" t="s">
        <v>14</v>
      </c>
      <c r="P230" s="1" t="s">
        <v>652</v>
      </c>
      <c r="Q230" s="83" t="s">
        <v>108</v>
      </c>
    </row>
    <row r="231" spans="1:17" ht="115.5" customHeight="1" x14ac:dyDescent="0.25">
      <c r="A231" s="82" t="s">
        <v>660</v>
      </c>
      <c r="B231" s="15" t="s">
        <v>476</v>
      </c>
      <c r="C231" s="15" t="s">
        <v>476</v>
      </c>
      <c r="D231" s="15" t="s">
        <v>476</v>
      </c>
      <c r="E231" s="15" t="s">
        <v>476</v>
      </c>
      <c r="F231" s="86" t="str">
        <f>+"22-DEC-2014"</f>
        <v>22-DEC-2014</v>
      </c>
      <c r="G231" s="47">
        <f t="shared" si="3"/>
        <v>86</v>
      </c>
      <c r="H231" s="11"/>
      <c r="I231" s="20"/>
      <c r="J231" s="11"/>
      <c r="K231" s="15"/>
      <c r="L231" s="86" t="s">
        <v>19</v>
      </c>
      <c r="M231" s="1" t="s">
        <v>678</v>
      </c>
      <c r="N231" s="1" t="s">
        <v>13</v>
      </c>
      <c r="O231" s="1" t="s">
        <v>25</v>
      </c>
      <c r="P231" s="1" t="s">
        <v>652</v>
      </c>
      <c r="Q231" s="83" t="s">
        <v>653</v>
      </c>
    </row>
    <row r="232" spans="1:17" ht="110.85" customHeight="1" x14ac:dyDescent="0.25">
      <c r="A232" s="82" t="s">
        <v>665</v>
      </c>
      <c r="B232" s="15" t="s">
        <v>476</v>
      </c>
      <c r="C232" s="15" t="s">
        <v>476</v>
      </c>
      <c r="D232" s="15" t="s">
        <v>476</v>
      </c>
      <c r="E232" s="15" t="s">
        <v>476</v>
      </c>
      <c r="F232" s="86" t="str">
        <f>+"24-DEC-2014"</f>
        <v>24-DEC-2014</v>
      </c>
      <c r="G232" s="47">
        <f t="shared" si="3"/>
        <v>84</v>
      </c>
      <c r="H232" s="11"/>
      <c r="I232" s="20"/>
      <c r="J232" s="11"/>
      <c r="K232" s="15"/>
      <c r="L232" s="86" t="s">
        <v>19</v>
      </c>
      <c r="M232" s="1" t="s">
        <v>682</v>
      </c>
      <c r="N232" s="1" t="s">
        <v>13</v>
      </c>
      <c r="O232" s="1" t="s">
        <v>25</v>
      </c>
      <c r="P232" s="1" t="s">
        <v>36</v>
      </c>
      <c r="Q232" s="83" t="s">
        <v>662</v>
      </c>
    </row>
    <row r="233" spans="1:17" ht="90" customHeight="1" x14ac:dyDescent="0.25">
      <c r="A233" s="82" t="s">
        <v>666</v>
      </c>
      <c r="B233" s="15" t="s">
        <v>476</v>
      </c>
      <c r="C233" s="15" t="s">
        <v>476</v>
      </c>
      <c r="D233" s="15" t="s">
        <v>476</v>
      </c>
      <c r="E233" s="15" t="s">
        <v>476</v>
      </c>
      <c r="F233" s="86" t="str">
        <f>+"02-JAN-2015"</f>
        <v>02-JAN-2015</v>
      </c>
      <c r="G233" s="47">
        <f t="shared" si="3"/>
        <v>75</v>
      </c>
      <c r="H233" s="11"/>
      <c r="I233" s="20"/>
      <c r="J233" s="11"/>
      <c r="K233" s="15"/>
      <c r="L233" s="86" t="s">
        <v>10</v>
      </c>
      <c r="M233" s="1" t="s">
        <v>683</v>
      </c>
      <c r="N233" s="1" t="s">
        <v>13</v>
      </c>
      <c r="O233" s="1" t="s">
        <v>17</v>
      </c>
      <c r="P233" s="1" t="s">
        <v>652</v>
      </c>
      <c r="Q233" s="83" t="s">
        <v>149</v>
      </c>
    </row>
    <row r="234" spans="1:17" s="88" customFormat="1" ht="90" customHeight="1" x14ac:dyDescent="0.25">
      <c r="A234" s="82" t="s">
        <v>667</v>
      </c>
      <c r="B234" s="15" t="s">
        <v>476</v>
      </c>
      <c r="C234" s="15" t="s">
        <v>476</v>
      </c>
      <c r="D234" s="15" t="s">
        <v>476</v>
      </c>
      <c r="E234" s="15" t="s">
        <v>476</v>
      </c>
      <c r="F234" s="93" t="str">
        <f>+"05-JAN-2015"</f>
        <v>05-JAN-2015</v>
      </c>
      <c r="G234" s="47">
        <f t="shared" si="3"/>
        <v>72</v>
      </c>
      <c r="H234" s="92"/>
      <c r="I234" s="20"/>
      <c r="J234" s="11"/>
      <c r="K234" s="15"/>
      <c r="L234" s="86" t="s">
        <v>10</v>
      </c>
      <c r="M234" s="86" t="s">
        <v>684</v>
      </c>
      <c r="N234" s="86" t="s">
        <v>13</v>
      </c>
      <c r="O234" s="86" t="s">
        <v>17</v>
      </c>
      <c r="P234" s="86" t="s">
        <v>652</v>
      </c>
      <c r="Q234" s="83" t="s">
        <v>49</v>
      </c>
    </row>
    <row r="235" spans="1:17" ht="90" customHeight="1" x14ac:dyDescent="0.25">
      <c r="A235" s="87" t="s">
        <v>732</v>
      </c>
      <c r="B235" s="15" t="s">
        <v>476</v>
      </c>
      <c r="C235" s="15" t="s">
        <v>476</v>
      </c>
      <c r="D235" s="15" t="s">
        <v>476</v>
      </c>
      <c r="E235" s="15" t="s">
        <v>476</v>
      </c>
      <c r="F235" s="94">
        <v>42012</v>
      </c>
      <c r="G235" s="47">
        <f t="shared" si="3"/>
        <v>69</v>
      </c>
      <c r="H235" s="11"/>
      <c r="I235" s="20"/>
      <c r="J235" s="11"/>
      <c r="K235" s="15"/>
      <c r="L235" s="82" t="s">
        <v>10</v>
      </c>
      <c r="M235" s="83" t="s">
        <v>749</v>
      </c>
      <c r="N235" s="87" t="s">
        <v>13</v>
      </c>
      <c r="O235" s="87" t="s">
        <v>48</v>
      </c>
      <c r="P235" s="83" t="s">
        <v>652</v>
      </c>
      <c r="Q235" s="83" t="s">
        <v>108</v>
      </c>
    </row>
    <row r="236" spans="1:17" ht="90" x14ac:dyDescent="0.25">
      <c r="A236" s="87" t="s">
        <v>733</v>
      </c>
      <c r="B236" s="15" t="s">
        <v>476</v>
      </c>
      <c r="C236" s="15" t="s">
        <v>476</v>
      </c>
      <c r="D236" s="15" t="s">
        <v>476</v>
      </c>
      <c r="E236" s="15" t="s">
        <v>476</v>
      </c>
      <c r="F236" s="94">
        <v>42017</v>
      </c>
      <c r="G236" s="47">
        <f t="shared" si="3"/>
        <v>64</v>
      </c>
      <c r="H236" s="11"/>
      <c r="I236" s="20"/>
      <c r="J236" s="11"/>
      <c r="K236" s="15"/>
      <c r="L236" s="86" t="s">
        <v>19</v>
      </c>
      <c r="M236" s="83" t="s">
        <v>750</v>
      </c>
      <c r="N236" s="87" t="s">
        <v>13</v>
      </c>
      <c r="O236" s="87" t="s">
        <v>25</v>
      </c>
      <c r="P236" s="83" t="s">
        <v>652</v>
      </c>
      <c r="Q236" s="83" t="s">
        <v>653</v>
      </c>
    </row>
    <row r="237" spans="1:17" ht="90" x14ac:dyDescent="0.25">
      <c r="A237" s="87" t="s">
        <v>736</v>
      </c>
      <c r="B237" s="15" t="s">
        <v>476</v>
      </c>
      <c r="C237" s="15" t="s">
        <v>476</v>
      </c>
      <c r="D237" s="15" t="s">
        <v>476</v>
      </c>
      <c r="E237" s="15" t="s">
        <v>476</v>
      </c>
      <c r="F237" s="94">
        <v>42019</v>
      </c>
      <c r="G237" s="47">
        <f t="shared" si="3"/>
        <v>62</v>
      </c>
      <c r="H237" s="1"/>
      <c r="I237" s="18"/>
      <c r="J237" s="1"/>
      <c r="K237" s="16"/>
      <c r="L237" s="82" t="s">
        <v>19</v>
      </c>
      <c r="M237" s="83" t="s">
        <v>753</v>
      </c>
      <c r="N237" s="87" t="s">
        <v>13</v>
      </c>
      <c r="O237" s="87" t="s">
        <v>59</v>
      </c>
      <c r="P237" s="83" t="s">
        <v>41</v>
      </c>
      <c r="Q237" s="83" t="s">
        <v>243</v>
      </c>
    </row>
    <row r="238" spans="1:17" ht="90" x14ac:dyDescent="0.25">
      <c r="A238" s="87" t="s">
        <v>734</v>
      </c>
      <c r="B238" s="15" t="s">
        <v>476</v>
      </c>
      <c r="C238" s="15" t="s">
        <v>476</v>
      </c>
      <c r="D238" s="15" t="s">
        <v>476</v>
      </c>
      <c r="E238" s="15" t="s">
        <v>476</v>
      </c>
      <c r="F238" s="94">
        <v>42020</v>
      </c>
      <c r="G238" s="47">
        <f t="shared" si="3"/>
        <v>61</v>
      </c>
      <c r="H238" s="11"/>
      <c r="I238" s="20"/>
      <c r="J238" s="11"/>
      <c r="K238" s="15"/>
      <c r="L238" s="82" t="s">
        <v>19</v>
      </c>
      <c r="M238" s="83" t="s">
        <v>751</v>
      </c>
      <c r="N238" s="87" t="s">
        <v>13</v>
      </c>
      <c r="O238" s="87" t="s">
        <v>25</v>
      </c>
      <c r="P238" s="83" t="s">
        <v>652</v>
      </c>
      <c r="Q238" s="83" t="s">
        <v>662</v>
      </c>
    </row>
    <row r="239" spans="1:17" ht="90" x14ac:dyDescent="0.25">
      <c r="A239" s="87" t="s">
        <v>735</v>
      </c>
      <c r="B239" s="15" t="s">
        <v>476</v>
      </c>
      <c r="C239" s="15" t="s">
        <v>476</v>
      </c>
      <c r="D239" s="15" t="s">
        <v>476</v>
      </c>
      <c r="E239" s="15" t="s">
        <v>476</v>
      </c>
      <c r="F239" s="94">
        <v>42026</v>
      </c>
      <c r="G239" s="47">
        <f t="shared" si="3"/>
        <v>55</v>
      </c>
      <c r="H239" s="11"/>
      <c r="I239" s="20"/>
      <c r="J239" s="11"/>
      <c r="K239" s="15"/>
      <c r="L239" s="82" t="s">
        <v>19</v>
      </c>
      <c r="M239" s="83" t="s">
        <v>752</v>
      </c>
      <c r="N239" s="87" t="s">
        <v>13</v>
      </c>
      <c r="O239" s="87" t="s">
        <v>25</v>
      </c>
      <c r="P239" s="83" t="s">
        <v>652</v>
      </c>
      <c r="Q239" s="83" t="s">
        <v>49</v>
      </c>
    </row>
    <row r="240" spans="1:17" ht="60" x14ac:dyDescent="0.25">
      <c r="A240" s="87" t="s">
        <v>761</v>
      </c>
      <c r="B240" s="15" t="s">
        <v>476</v>
      </c>
      <c r="C240" s="15" t="s">
        <v>476</v>
      </c>
      <c r="D240" s="15" t="s">
        <v>476</v>
      </c>
      <c r="E240" s="15" t="s">
        <v>476</v>
      </c>
      <c r="F240" s="94">
        <v>42032</v>
      </c>
      <c r="G240" s="47">
        <f t="shared" si="3"/>
        <v>49</v>
      </c>
      <c r="H240" s="1"/>
      <c r="I240" s="18"/>
      <c r="J240" s="1"/>
      <c r="K240" s="82"/>
      <c r="L240" s="82" t="s">
        <v>10</v>
      </c>
      <c r="M240" s="83" t="s">
        <v>776</v>
      </c>
      <c r="N240" s="87" t="s">
        <v>13</v>
      </c>
      <c r="O240" s="87" t="s">
        <v>17</v>
      </c>
      <c r="P240" s="83" t="s">
        <v>15</v>
      </c>
      <c r="Q240" s="83" t="s">
        <v>108</v>
      </c>
    </row>
    <row r="241" spans="1:17" ht="60" x14ac:dyDescent="0.25">
      <c r="A241" s="87" t="s">
        <v>754</v>
      </c>
      <c r="B241" s="15" t="s">
        <v>476</v>
      </c>
      <c r="C241" s="15" t="s">
        <v>476</v>
      </c>
      <c r="D241" s="15" t="s">
        <v>476</v>
      </c>
      <c r="E241" s="15" t="s">
        <v>476</v>
      </c>
      <c r="F241" s="94">
        <v>42034</v>
      </c>
      <c r="G241" s="47">
        <f t="shared" si="3"/>
        <v>47</v>
      </c>
      <c r="H241" s="11"/>
      <c r="I241" s="20"/>
      <c r="J241" s="11"/>
      <c r="K241" s="15"/>
      <c r="L241" s="82" t="s">
        <v>10</v>
      </c>
      <c r="M241" s="83" t="s">
        <v>769</v>
      </c>
      <c r="N241" s="87" t="s">
        <v>13</v>
      </c>
      <c r="O241" s="87" t="s">
        <v>14</v>
      </c>
      <c r="P241" s="83" t="s">
        <v>652</v>
      </c>
      <c r="Q241" s="83" t="s">
        <v>134</v>
      </c>
    </row>
    <row r="242" spans="1:17" ht="60" x14ac:dyDescent="0.25">
      <c r="A242" s="87" t="s">
        <v>759</v>
      </c>
      <c r="B242" s="15" t="s">
        <v>476</v>
      </c>
      <c r="C242" s="15" t="s">
        <v>476</v>
      </c>
      <c r="D242" s="15" t="s">
        <v>476</v>
      </c>
      <c r="E242" s="15" t="s">
        <v>476</v>
      </c>
      <c r="F242" s="94">
        <v>42034</v>
      </c>
      <c r="G242" s="47">
        <f t="shared" si="3"/>
        <v>47</v>
      </c>
      <c r="H242" s="11"/>
      <c r="I242" s="20"/>
      <c r="J242" s="11"/>
      <c r="K242" s="15"/>
      <c r="L242" s="82" t="s">
        <v>10</v>
      </c>
      <c r="M242" s="83" t="s">
        <v>774</v>
      </c>
      <c r="N242" s="87" t="s">
        <v>13</v>
      </c>
      <c r="O242" s="87" t="s">
        <v>14</v>
      </c>
      <c r="P242" s="83" t="s">
        <v>652</v>
      </c>
      <c r="Q242" s="83" t="s">
        <v>134</v>
      </c>
    </row>
    <row r="243" spans="1:17" ht="60" x14ac:dyDescent="0.25">
      <c r="A243" s="87" t="s">
        <v>755</v>
      </c>
      <c r="B243" s="15" t="s">
        <v>476</v>
      </c>
      <c r="C243" s="15" t="s">
        <v>476</v>
      </c>
      <c r="D243" s="15" t="s">
        <v>476</v>
      </c>
      <c r="E243" s="15" t="s">
        <v>476</v>
      </c>
      <c r="F243" s="94">
        <v>42037</v>
      </c>
      <c r="G243" s="47">
        <f t="shared" si="3"/>
        <v>44</v>
      </c>
      <c r="H243" s="11"/>
      <c r="I243" s="20"/>
      <c r="J243" s="11"/>
      <c r="K243" s="15"/>
      <c r="L243" s="82" t="s">
        <v>10</v>
      </c>
      <c r="M243" s="83" t="s">
        <v>770</v>
      </c>
      <c r="N243" s="87" t="s">
        <v>13</v>
      </c>
      <c r="O243" s="87" t="s">
        <v>59</v>
      </c>
      <c r="P243" s="83" t="s">
        <v>15</v>
      </c>
      <c r="Q243" s="83" t="s">
        <v>88</v>
      </c>
    </row>
    <row r="244" spans="1:17" ht="90" x14ac:dyDescent="0.25">
      <c r="A244" s="87" t="s">
        <v>756</v>
      </c>
      <c r="B244" s="15" t="s">
        <v>476</v>
      </c>
      <c r="C244" s="15" t="s">
        <v>476</v>
      </c>
      <c r="D244" s="15" t="s">
        <v>476</v>
      </c>
      <c r="E244" s="15" t="s">
        <v>476</v>
      </c>
      <c r="F244" s="94">
        <v>42037</v>
      </c>
      <c r="G244" s="47">
        <f t="shared" si="3"/>
        <v>44</v>
      </c>
      <c r="H244" s="11"/>
      <c r="I244" s="20"/>
      <c r="J244" s="11"/>
      <c r="K244" s="15"/>
      <c r="L244" s="82" t="s">
        <v>10</v>
      </c>
      <c r="M244" s="83" t="s">
        <v>771</v>
      </c>
      <c r="N244" s="87" t="s">
        <v>13</v>
      </c>
      <c r="O244" s="87" t="s">
        <v>14</v>
      </c>
      <c r="P244" s="83" t="s">
        <v>15</v>
      </c>
      <c r="Q244" s="83" t="s">
        <v>88</v>
      </c>
    </row>
    <row r="245" spans="1:17" ht="60" x14ac:dyDescent="0.25">
      <c r="A245" s="87" t="s">
        <v>757</v>
      </c>
      <c r="B245" s="15" t="s">
        <v>476</v>
      </c>
      <c r="C245" s="15" t="s">
        <v>476</v>
      </c>
      <c r="D245" s="15" t="s">
        <v>476</v>
      </c>
      <c r="E245" s="15" t="s">
        <v>476</v>
      </c>
      <c r="F245" s="94">
        <v>42037</v>
      </c>
      <c r="G245" s="47">
        <f t="shared" si="3"/>
        <v>44</v>
      </c>
      <c r="H245" s="11"/>
      <c r="I245" s="20"/>
      <c r="J245" s="11"/>
      <c r="K245" s="15"/>
      <c r="L245" s="82" t="s">
        <v>10</v>
      </c>
      <c r="M245" s="83" t="s">
        <v>772</v>
      </c>
      <c r="N245" s="87" t="s">
        <v>13</v>
      </c>
      <c r="O245" s="87" t="s">
        <v>14</v>
      </c>
      <c r="P245" s="83" t="s">
        <v>15</v>
      </c>
      <c r="Q245" s="83" t="s">
        <v>88</v>
      </c>
    </row>
    <row r="246" spans="1:17" ht="30" x14ac:dyDescent="0.25">
      <c r="A246" s="87" t="s">
        <v>758</v>
      </c>
      <c r="B246" s="15" t="s">
        <v>476</v>
      </c>
      <c r="C246" s="15" t="s">
        <v>476</v>
      </c>
      <c r="D246" s="15">
        <v>42079</v>
      </c>
      <c r="E246" s="15" t="s">
        <v>476</v>
      </c>
      <c r="F246" s="94">
        <v>42038</v>
      </c>
      <c r="G246" s="47">
        <f t="shared" si="3"/>
        <v>43</v>
      </c>
      <c r="H246" s="11"/>
      <c r="I246" s="20"/>
      <c r="J246" s="11"/>
      <c r="K246" s="15"/>
      <c r="L246" s="82" t="s">
        <v>10</v>
      </c>
      <c r="M246" s="83" t="s">
        <v>773</v>
      </c>
      <c r="N246" s="87" t="s">
        <v>13</v>
      </c>
      <c r="O246" s="87" t="s">
        <v>25</v>
      </c>
      <c r="P246" s="83" t="s">
        <v>36</v>
      </c>
      <c r="Q246" s="83" t="s">
        <v>762</v>
      </c>
    </row>
    <row r="247" spans="1:17" ht="75" x14ac:dyDescent="0.25">
      <c r="A247" s="87" t="s">
        <v>760</v>
      </c>
      <c r="B247" s="15" t="s">
        <v>476</v>
      </c>
      <c r="C247" s="15" t="s">
        <v>476</v>
      </c>
      <c r="D247" s="15" t="s">
        <v>476</v>
      </c>
      <c r="E247" s="15" t="s">
        <v>476</v>
      </c>
      <c r="F247" s="94">
        <v>42044</v>
      </c>
      <c r="G247" s="47">
        <f t="shared" si="3"/>
        <v>37</v>
      </c>
      <c r="H247" s="11"/>
      <c r="I247" s="20"/>
      <c r="J247" s="11"/>
      <c r="K247" s="15"/>
      <c r="L247" s="82" t="s">
        <v>10</v>
      </c>
      <c r="M247" s="83" t="s">
        <v>775</v>
      </c>
      <c r="N247" s="87" t="s">
        <v>13</v>
      </c>
      <c r="O247" s="87" t="s">
        <v>14</v>
      </c>
      <c r="P247" s="83" t="s">
        <v>36</v>
      </c>
      <c r="Q247" s="83" t="s">
        <v>596</v>
      </c>
    </row>
    <row r="248" spans="1:17" x14ac:dyDescent="0.25">
      <c r="G248" s="36"/>
      <c r="J248" s="36"/>
    </row>
    <row r="249" spans="1:17" x14ac:dyDescent="0.25">
      <c r="G249" s="36"/>
      <c r="J249" s="36"/>
    </row>
    <row r="250" spans="1:17" x14ac:dyDescent="0.25">
      <c r="G250" s="36"/>
      <c r="J250" s="36"/>
    </row>
    <row r="251" spans="1:17" x14ac:dyDescent="0.25">
      <c r="G251" s="36"/>
      <c r="J251" s="36"/>
    </row>
    <row r="252" spans="1:17" x14ac:dyDescent="0.25">
      <c r="G252" s="36"/>
      <c r="J252" s="36"/>
    </row>
    <row r="253" spans="1:17" x14ac:dyDescent="0.25">
      <c r="G253" s="36"/>
      <c r="J253" s="36"/>
    </row>
    <row r="254" spans="1:17" x14ac:dyDescent="0.25">
      <c r="G254" s="36"/>
      <c r="J254" s="36"/>
    </row>
    <row r="255" spans="1:17" x14ac:dyDescent="0.25">
      <c r="G255" s="36"/>
      <c r="J255" s="36"/>
    </row>
    <row r="256" spans="1:17" x14ac:dyDescent="0.25">
      <c r="G256" s="36"/>
      <c r="J256" s="36"/>
    </row>
    <row r="257" spans="1:17" x14ac:dyDescent="0.25">
      <c r="G257" s="36"/>
      <c r="J257" s="36"/>
    </row>
    <row r="258" spans="1:17" x14ac:dyDescent="0.25">
      <c r="G258" s="36"/>
      <c r="J258" s="36"/>
    </row>
    <row r="259" spans="1:17" x14ac:dyDescent="0.25">
      <c r="A259" s="5"/>
      <c r="B259" s="5"/>
      <c r="C259" s="5"/>
      <c r="D259" s="5"/>
      <c r="E259" s="5"/>
      <c r="F259" s="49"/>
      <c r="G259" s="36"/>
      <c r="J259" s="36"/>
      <c r="K259" s="5"/>
      <c r="N259" s="5"/>
      <c r="O259" s="5"/>
      <c r="P259" s="5"/>
      <c r="Q259" s="5"/>
    </row>
    <row r="260" spans="1:17" x14ac:dyDescent="0.25">
      <c r="A260" s="5"/>
      <c r="B260" s="5"/>
      <c r="C260" s="5"/>
      <c r="D260" s="5"/>
      <c r="E260" s="5"/>
      <c r="F260" s="49"/>
      <c r="G260" s="36"/>
      <c r="J260" s="36"/>
      <c r="K260" s="5"/>
      <c r="N260" s="5"/>
      <c r="O260" s="5"/>
      <c r="P260" s="5"/>
      <c r="Q260" s="5"/>
    </row>
    <row r="261" spans="1:17" x14ac:dyDescent="0.25">
      <c r="A261" s="5"/>
      <c r="B261" s="5"/>
      <c r="C261" s="5"/>
      <c r="D261" s="5"/>
      <c r="E261" s="5"/>
      <c r="F261" s="49"/>
      <c r="G261" s="36"/>
      <c r="J261" s="36"/>
      <c r="K261" s="5"/>
      <c r="N261" s="5"/>
      <c r="O261" s="5"/>
      <c r="P261" s="5"/>
      <c r="Q261" s="5"/>
    </row>
    <row r="262" spans="1:17" x14ac:dyDescent="0.25">
      <c r="A262" s="5"/>
      <c r="B262" s="5"/>
      <c r="C262" s="5"/>
      <c r="D262" s="5"/>
      <c r="E262" s="5"/>
      <c r="F262" s="49"/>
      <c r="G262" s="36"/>
      <c r="J262" s="36"/>
      <c r="K262" s="5"/>
      <c r="N262" s="5"/>
      <c r="O262" s="5"/>
      <c r="P262" s="5"/>
      <c r="Q262" s="5"/>
    </row>
    <row r="263" spans="1:17" x14ac:dyDescent="0.25">
      <c r="A263" s="5"/>
      <c r="B263" s="5"/>
      <c r="C263" s="5"/>
      <c r="D263" s="5"/>
      <c r="E263" s="5"/>
      <c r="F263" s="49"/>
      <c r="G263" s="36"/>
      <c r="J263" s="36"/>
      <c r="K263" s="5"/>
      <c r="N263" s="5"/>
      <c r="O263" s="5"/>
      <c r="P263" s="5"/>
      <c r="Q263" s="5"/>
    </row>
    <row r="264" spans="1:17" x14ac:dyDescent="0.25">
      <c r="A264" s="5"/>
      <c r="B264" s="5"/>
      <c r="C264" s="5"/>
      <c r="D264" s="5"/>
      <c r="E264" s="5"/>
      <c r="F264" s="49"/>
      <c r="G264" s="36"/>
      <c r="J264" s="36"/>
      <c r="K264" s="5"/>
      <c r="N264" s="5"/>
      <c r="O264" s="5"/>
      <c r="P264" s="5"/>
      <c r="Q264" s="5"/>
    </row>
    <row r="265" spans="1:17" x14ac:dyDescent="0.25">
      <c r="A265" s="5"/>
      <c r="B265" s="5"/>
      <c r="C265" s="5"/>
      <c r="D265" s="5"/>
      <c r="E265" s="5"/>
      <c r="F265" s="49"/>
      <c r="G265" s="36"/>
      <c r="J265" s="36"/>
      <c r="K265" s="5"/>
      <c r="N265" s="5"/>
      <c r="O265" s="5"/>
      <c r="P265" s="5"/>
      <c r="Q265" s="5"/>
    </row>
    <row r="266" spans="1:17" x14ac:dyDescent="0.25">
      <c r="A266" s="5"/>
      <c r="B266" s="5"/>
      <c r="C266" s="5"/>
      <c r="D266" s="5"/>
      <c r="E266" s="5"/>
      <c r="F266" s="49"/>
      <c r="G266" s="36"/>
      <c r="J266" s="36"/>
      <c r="K266" s="5"/>
      <c r="N266" s="5"/>
      <c r="O266" s="5"/>
      <c r="P266" s="5"/>
      <c r="Q266" s="5"/>
    </row>
    <row r="267" spans="1:17" x14ac:dyDescent="0.25">
      <c r="A267" s="5"/>
      <c r="B267" s="5"/>
      <c r="C267" s="5"/>
      <c r="D267" s="5"/>
      <c r="E267" s="5"/>
      <c r="F267" s="49"/>
      <c r="G267" s="36"/>
      <c r="J267" s="36"/>
      <c r="K267" s="5"/>
      <c r="N267" s="5"/>
      <c r="O267" s="5"/>
      <c r="P267" s="5"/>
      <c r="Q267" s="5"/>
    </row>
    <row r="268" spans="1:17" x14ac:dyDescent="0.25">
      <c r="A268" s="5"/>
      <c r="B268" s="5"/>
      <c r="C268" s="5"/>
      <c r="D268" s="5"/>
      <c r="E268" s="5"/>
      <c r="F268" s="49"/>
      <c r="G268" s="36"/>
      <c r="J268" s="36"/>
      <c r="K268" s="5"/>
      <c r="N268" s="5"/>
      <c r="O268" s="5"/>
      <c r="P268" s="5"/>
      <c r="Q268" s="5"/>
    </row>
    <row r="269" spans="1:17" x14ac:dyDescent="0.25">
      <c r="A269" s="5"/>
      <c r="B269" s="5"/>
      <c r="C269" s="5"/>
      <c r="D269" s="5"/>
      <c r="E269" s="5"/>
      <c r="F269" s="49"/>
      <c r="G269" s="36"/>
      <c r="J269" s="36"/>
      <c r="K269" s="5"/>
      <c r="N269" s="5"/>
      <c r="O269" s="5"/>
      <c r="P269" s="5"/>
      <c r="Q269" s="5"/>
    </row>
    <row r="270" spans="1:17" x14ac:dyDescent="0.25">
      <c r="A270" s="5"/>
      <c r="B270" s="5"/>
      <c r="C270" s="5"/>
      <c r="D270" s="5"/>
      <c r="E270" s="5"/>
      <c r="F270" s="49"/>
      <c r="G270" s="36"/>
      <c r="J270" s="36"/>
      <c r="K270" s="5"/>
      <c r="N270" s="5"/>
      <c r="O270" s="5"/>
      <c r="P270" s="5"/>
      <c r="Q270" s="5"/>
    </row>
    <row r="271" spans="1:17" x14ac:dyDescent="0.25">
      <c r="A271" s="5"/>
      <c r="B271" s="5"/>
      <c r="C271" s="5"/>
      <c r="D271" s="5"/>
      <c r="E271" s="5"/>
      <c r="F271" s="49"/>
      <c r="G271" s="36"/>
      <c r="J271" s="36"/>
      <c r="K271" s="5"/>
      <c r="N271" s="5"/>
      <c r="O271" s="5"/>
      <c r="P271" s="5"/>
      <c r="Q271" s="5"/>
    </row>
    <row r="272" spans="1:17" x14ac:dyDescent="0.25">
      <c r="A272" s="5"/>
      <c r="B272" s="5"/>
      <c r="C272" s="5"/>
      <c r="D272" s="5"/>
      <c r="E272" s="5"/>
      <c r="F272" s="49"/>
      <c r="G272" s="36"/>
      <c r="J272" s="36"/>
      <c r="K272" s="5"/>
      <c r="N272" s="5"/>
      <c r="O272" s="5"/>
      <c r="P272" s="5"/>
      <c r="Q272" s="5"/>
    </row>
    <row r="273" spans="1:17" x14ac:dyDescent="0.25">
      <c r="A273" s="5"/>
      <c r="B273" s="5"/>
      <c r="C273" s="5"/>
      <c r="D273" s="5"/>
      <c r="E273" s="5"/>
      <c r="F273" s="49"/>
      <c r="G273" s="36"/>
      <c r="J273" s="36"/>
      <c r="K273" s="5"/>
      <c r="N273" s="5"/>
      <c r="O273" s="5"/>
      <c r="P273" s="5"/>
      <c r="Q273" s="5"/>
    </row>
    <row r="274" spans="1:17" x14ac:dyDescent="0.25">
      <c r="A274" s="5"/>
      <c r="B274" s="5"/>
      <c r="C274" s="5"/>
      <c r="D274" s="5"/>
      <c r="E274" s="5"/>
      <c r="F274" s="49"/>
      <c r="G274" s="36"/>
      <c r="J274" s="36"/>
      <c r="K274" s="5"/>
      <c r="N274" s="5"/>
      <c r="O274" s="5"/>
      <c r="P274" s="5"/>
      <c r="Q274" s="5"/>
    </row>
    <row r="275" spans="1:17" x14ac:dyDescent="0.25">
      <c r="A275" s="5"/>
      <c r="B275" s="5"/>
      <c r="C275" s="5"/>
      <c r="D275" s="5"/>
      <c r="E275" s="5"/>
      <c r="F275" s="49"/>
      <c r="G275" s="36"/>
      <c r="J275" s="36"/>
      <c r="K275" s="5"/>
      <c r="N275" s="5"/>
      <c r="O275" s="5"/>
      <c r="P275" s="5"/>
      <c r="Q275" s="5"/>
    </row>
    <row r="276" spans="1:17" x14ac:dyDescent="0.25">
      <c r="A276" s="5"/>
      <c r="B276" s="5"/>
      <c r="C276" s="5"/>
      <c r="D276" s="5"/>
      <c r="E276" s="5"/>
      <c r="F276" s="49"/>
      <c r="G276" s="36"/>
      <c r="J276" s="36"/>
      <c r="K276" s="5"/>
      <c r="N276" s="5"/>
      <c r="O276" s="5"/>
      <c r="P276" s="5"/>
      <c r="Q276" s="5"/>
    </row>
    <row r="277" spans="1:17" x14ac:dyDescent="0.25">
      <c r="A277" s="5"/>
      <c r="B277" s="5"/>
      <c r="C277" s="5"/>
      <c r="D277" s="5"/>
      <c r="E277" s="5"/>
      <c r="F277" s="49"/>
      <c r="G277" s="36"/>
      <c r="J277" s="36"/>
      <c r="K277" s="5"/>
      <c r="N277" s="5"/>
      <c r="O277" s="5"/>
      <c r="P277" s="5"/>
      <c r="Q277" s="5"/>
    </row>
    <row r="278" spans="1:17" x14ac:dyDescent="0.25">
      <c r="A278" s="5"/>
      <c r="B278" s="5"/>
      <c r="C278" s="5"/>
      <c r="D278" s="5"/>
      <c r="E278" s="5"/>
      <c r="F278" s="49"/>
      <c r="G278" s="36"/>
      <c r="J278" s="36"/>
      <c r="K278" s="5"/>
      <c r="N278" s="5"/>
      <c r="O278" s="5"/>
      <c r="P278" s="5"/>
      <c r="Q278" s="5"/>
    </row>
    <row r="279" spans="1:17" x14ac:dyDescent="0.25">
      <c r="A279" s="5"/>
      <c r="B279" s="5"/>
      <c r="C279" s="5"/>
      <c r="D279" s="5"/>
      <c r="E279" s="5"/>
      <c r="F279" s="49"/>
      <c r="G279" s="36"/>
      <c r="J279" s="36"/>
      <c r="K279" s="5"/>
      <c r="N279" s="5"/>
      <c r="O279" s="5"/>
      <c r="P279" s="5"/>
      <c r="Q279" s="5"/>
    </row>
    <row r="280" spans="1:17" x14ac:dyDescent="0.25">
      <c r="A280" s="5"/>
      <c r="B280" s="5"/>
      <c r="C280" s="5"/>
      <c r="D280" s="5"/>
      <c r="E280" s="5"/>
      <c r="F280" s="49"/>
      <c r="G280" s="36"/>
      <c r="J280" s="36"/>
      <c r="K280" s="5"/>
      <c r="N280" s="5"/>
      <c r="O280" s="5"/>
      <c r="P280" s="5"/>
      <c r="Q280" s="5"/>
    </row>
    <row r="281" spans="1:17" x14ac:dyDescent="0.25">
      <c r="A281" s="5"/>
      <c r="B281" s="5"/>
      <c r="C281" s="5"/>
      <c r="D281" s="5"/>
      <c r="E281" s="5"/>
      <c r="F281" s="49"/>
      <c r="G281" s="36"/>
      <c r="J281" s="36"/>
      <c r="K281" s="5"/>
      <c r="N281" s="5"/>
      <c r="O281" s="5"/>
      <c r="P281" s="5"/>
      <c r="Q281" s="5"/>
    </row>
    <row r="282" spans="1:17" x14ac:dyDescent="0.25">
      <c r="A282" s="5"/>
      <c r="B282" s="5"/>
      <c r="C282" s="5"/>
      <c r="D282" s="5"/>
      <c r="E282" s="5"/>
      <c r="F282" s="49"/>
      <c r="G282" s="36"/>
      <c r="J282" s="36"/>
      <c r="K282" s="5"/>
      <c r="N282" s="5"/>
      <c r="O282" s="5"/>
      <c r="P282" s="5"/>
      <c r="Q282" s="5"/>
    </row>
    <row r="283" spans="1:17" x14ac:dyDescent="0.25">
      <c r="A283" s="5"/>
      <c r="B283" s="5"/>
      <c r="C283" s="5"/>
      <c r="D283" s="5"/>
      <c r="E283" s="5"/>
      <c r="F283" s="49"/>
      <c r="G283" s="36"/>
      <c r="J283" s="36"/>
      <c r="K283" s="5"/>
      <c r="N283" s="5"/>
      <c r="O283" s="5"/>
      <c r="P283" s="5"/>
      <c r="Q283" s="5"/>
    </row>
    <row r="284" spans="1:17" x14ac:dyDescent="0.25">
      <c r="A284" s="5"/>
      <c r="B284" s="5"/>
      <c r="C284" s="5"/>
      <c r="D284" s="5"/>
      <c r="E284" s="5"/>
      <c r="F284" s="49"/>
      <c r="G284" s="36"/>
      <c r="J284" s="36"/>
      <c r="K284" s="5"/>
      <c r="N284" s="5"/>
      <c r="O284" s="5"/>
      <c r="P284" s="5"/>
      <c r="Q284" s="5"/>
    </row>
    <row r="285" spans="1:17" x14ac:dyDescent="0.25">
      <c r="A285" s="5"/>
      <c r="B285" s="5"/>
      <c r="C285" s="5"/>
      <c r="D285" s="5"/>
      <c r="E285" s="5"/>
      <c r="F285" s="49"/>
      <c r="G285" s="36"/>
      <c r="J285" s="36"/>
      <c r="K285" s="5"/>
      <c r="N285" s="5"/>
      <c r="O285" s="5"/>
      <c r="P285" s="5"/>
      <c r="Q285" s="5"/>
    </row>
    <row r="286" spans="1:17" x14ac:dyDescent="0.25">
      <c r="A286" s="5"/>
      <c r="B286" s="5"/>
      <c r="C286" s="5"/>
      <c r="D286" s="5"/>
      <c r="E286" s="5"/>
      <c r="F286" s="49"/>
      <c r="G286" s="36"/>
      <c r="J286" s="36"/>
      <c r="K286" s="5"/>
      <c r="N286" s="5"/>
      <c r="O286" s="5"/>
      <c r="P286" s="5"/>
      <c r="Q286" s="5"/>
    </row>
    <row r="287" spans="1:17" x14ac:dyDescent="0.25">
      <c r="A287" s="5"/>
      <c r="B287" s="5"/>
      <c r="C287" s="5"/>
      <c r="D287" s="5"/>
      <c r="E287" s="5"/>
      <c r="F287" s="49"/>
      <c r="G287" s="36"/>
      <c r="J287" s="36"/>
      <c r="K287" s="5"/>
      <c r="N287" s="5"/>
      <c r="O287" s="5"/>
      <c r="P287" s="5"/>
      <c r="Q287" s="5"/>
    </row>
    <row r="288" spans="1:17" x14ac:dyDescent="0.25">
      <c r="A288" s="5"/>
      <c r="B288" s="5"/>
      <c r="C288" s="5"/>
      <c r="D288" s="5"/>
      <c r="E288" s="5"/>
      <c r="F288" s="49"/>
      <c r="G288" s="36"/>
      <c r="J288" s="36"/>
      <c r="K288" s="5"/>
      <c r="N288" s="5"/>
      <c r="O288" s="5"/>
      <c r="P288" s="5"/>
      <c r="Q288" s="5"/>
    </row>
    <row r="289" spans="1:17" x14ac:dyDescent="0.25">
      <c r="A289" s="5"/>
      <c r="B289" s="5"/>
      <c r="C289" s="5"/>
      <c r="D289" s="5"/>
      <c r="E289" s="5"/>
      <c r="F289" s="49"/>
      <c r="G289" s="36"/>
      <c r="J289" s="36"/>
      <c r="K289" s="5"/>
      <c r="N289" s="5"/>
      <c r="O289" s="5"/>
      <c r="P289" s="5"/>
      <c r="Q289" s="5"/>
    </row>
    <row r="290" spans="1:17" x14ac:dyDescent="0.25">
      <c r="A290" s="5"/>
      <c r="B290" s="5"/>
      <c r="C290" s="5"/>
      <c r="D290" s="5"/>
      <c r="E290" s="5"/>
      <c r="F290" s="49"/>
      <c r="G290" s="36"/>
      <c r="J290" s="36"/>
      <c r="K290" s="5"/>
      <c r="N290" s="5"/>
      <c r="O290" s="5"/>
      <c r="P290" s="5"/>
      <c r="Q290" s="5"/>
    </row>
    <row r="291" spans="1:17" x14ac:dyDescent="0.25">
      <c r="A291" s="5"/>
      <c r="B291" s="5"/>
      <c r="C291" s="5"/>
      <c r="D291" s="5"/>
      <c r="E291" s="5"/>
      <c r="F291" s="49"/>
      <c r="G291" s="36"/>
      <c r="J291" s="36"/>
      <c r="K291" s="5"/>
      <c r="N291" s="5"/>
      <c r="O291" s="5"/>
      <c r="P291" s="5"/>
      <c r="Q291" s="5"/>
    </row>
    <row r="292" spans="1:17" x14ac:dyDescent="0.25">
      <c r="A292" s="5"/>
      <c r="B292" s="5"/>
      <c r="C292" s="5"/>
      <c r="D292" s="5"/>
      <c r="E292" s="5"/>
      <c r="F292" s="49"/>
      <c r="G292" s="36"/>
      <c r="J292" s="36"/>
      <c r="K292" s="5"/>
      <c r="N292" s="5"/>
      <c r="O292" s="5"/>
      <c r="P292" s="5"/>
      <c r="Q292" s="5"/>
    </row>
    <row r="293" spans="1:17" x14ac:dyDescent="0.25">
      <c r="A293" s="5"/>
      <c r="B293" s="5"/>
      <c r="C293" s="5"/>
      <c r="D293" s="5"/>
      <c r="E293" s="5"/>
      <c r="F293" s="49"/>
      <c r="G293" s="36"/>
      <c r="J293" s="36"/>
      <c r="K293" s="5"/>
      <c r="N293" s="5"/>
      <c r="O293" s="5"/>
      <c r="P293" s="5"/>
      <c r="Q293" s="5"/>
    </row>
    <row r="294" spans="1:17" x14ac:dyDescent="0.25">
      <c r="A294" s="5"/>
      <c r="B294" s="5"/>
      <c r="C294" s="5"/>
      <c r="D294" s="5"/>
      <c r="E294" s="5"/>
      <c r="F294" s="49"/>
      <c r="G294" s="36"/>
      <c r="J294" s="36"/>
      <c r="K294" s="5"/>
      <c r="N294" s="5"/>
      <c r="O294" s="5"/>
      <c r="P294" s="5"/>
      <c r="Q294" s="5"/>
    </row>
  </sheetData>
  <sortState ref="A1:Q294">
    <sortCondition descending="1" ref="G1:G294"/>
  </sortState>
  <pageMargins left="0.25" right="0" top="0.5" bottom="0.5" header="0.3" footer="0.3"/>
  <pageSetup paperSize="5" scale="72" orientation="landscape" r:id="rId1"/>
  <headerFooter>
    <oddHeader xml:space="preserve">&amp;LUpdated:  3/18/15&amp;C2015 Proceeding Status (Active)  </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6"/>
  <sheetViews>
    <sheetView tabSelected="1" zoomScale="55" zoomScaleNormal="55" workbookViewId="0"/>
  </sheetViews>
  <sheetFormatPr defaultColWidth="9.140625" defaultRowHeight="15" x14ac:dyDescent="0.25"/>
  <cols>
    <col min="1" max="1" width="12.140625" style="2" customWidth="1"/>
    <col min="2" max="2" width="14.42578125" style="3" customWidth="1"/>
    <col min="3" max="3" width="18.28515625" style="3" customWidth="1"/>
    <col min="4" max="4" width="23.5703125" style="3" customWidth="1"/>
    <col min="5" max="5" width="14.7109375" style="3" customWidth="1"/>
    <col min="6" max="6" width="12.7109375" style="35" customWidth="1"/>
    <col min="7" max="7" width="18.140625" style="2" customWidth="1"/>
    <col min="8" max="8" width="12.85546875" style="2" customWidth="1"/>
    <col min="9" max="9" width="21.140625" style="4" customWidth="1"/>
    <col min="10" max="10" width="18" style="2" customWidth="1"/>
    <col min="11" max="11" width="13.7109375" style="3" customWidth="1"/>
    <col min="12" max="12" width="8.28515625" style="2" customWidth="1"/>
    <col min="13" max="13" width="32.7109375" style="6" customWidth="1"/>
    <col min="14" max="14" width="11" style="88" customWidth="1"/>
    <col min="15" max="15" width="17.5703125" style="2" customWidth="1"/>
    <col min="16" max="16" width="11.7109375" style="6" customWidth="1"/>
    <col min="17" max="17" width="13.42578125" style="10" customWidth="1"/>
    <col min="18" max="21" width="9.140625" style="5" customWidth="1"/>
    <col min="22" max="16384" width="9.140625" style="5"/>
  </cols>
  <sheetData>
    <row r="1" spans="1:17" ht="120.2" customHeight="1" x14ac:dyDescent="0.25">
      <c r="A1" s="32" t="s">
        <v>0</v>
      </c>
      <c r="B1" s="33" t="s">
        <v>475</v>
      </c>
      <c r="C1" s="8" t="s">
        <v>478</v>
      </c>
      <c r="D1" s="8" t="s">
        <v>480</v>
      </c>
      <c r="E1" s="8" t="s">
        <v>479</v>
      </c>
      <c r="F1" s="34" t="s">
        <v>1</v>
      </c>
      <c r="G1" s="8" t="s">
        <v>639</v>
      </c>
      <c r="H1" s="9" t="s">
        <v>2</v>
      </c>
      <c r="I1" s="14" t="s">
        <v>3</v>
      </c>
      <c r="J1" s="8" t="s">
        <v>640</v>
      </c>
      <c r="K1" s="8" t="s">
        <v>4</v>
      </c>
      <c r="L1" s="32" t="s">
        <v>818</v>
      </c>
      <c r="M1" s="9" t="s">
        <v>6</v>
      </c>
      <c r="N1" s="9" t="s">
        <v>7</v>
      </c>
      <c r="O1" s="32" t="s">
        <v>8</v>
      </c>
      <c r="P1" s="9" t="s">
        <v>819</v>
      </c>
      <c r="Q1" s="9" t="s">
        <v>9</v>
      </c>
    </row>
    <row r="2" spans="1:17" ht="106.5" customHeight="1" x14ac:dyDescent="0.25">
      <c r="A2" s="86" t="s">
        <v>313</v>
      </c>
      <c r="B2" s="15">
        <v>41149</v>
      </c>
      <c r="C2" s="16">
        <v>41213</v>
      </c>
      <c r="D2" s="15">
        <v>41565</v>
      </c>
      <c r="E2" s="16">
        <v>41628</v>
      </c>
      <c r="F2" s="17" t="str">
        <f>+"01-AUG-2008"</f>
        <v>01-AUG-2008</v>
      </c>
      <c r="G2" s="48"/>
      <c r="H2" s="86" t="str">
        <f>+"29-JUL-2010"</f>
        <v>29-JUL-2010</v>
      </c>
      <c r="I2" s="16">
        <v>40422</v>
      </c>
      <c r="J2" s="47">
        <f t="shared" ref="J2:J33" si="0">DATE(2015, 3, 18)- I2</f>
        <v>1659</v>
      </c>
      <c r="K2" s="16"/>
      <c r="L2" s="86" t="s">
        <v>10</v>
      </c>
      <c r="M2" s="81" t="s">
        <v>314</v>
      </c>
      <c r="N2" s="86" t="s">
        <v>11</v>
      </c>
      <c r="O2" s="81" t="s">
        <v>25</v>
      </c>
      <c r="P2" s="81" t="s">
        <v>652</v>
      </c>
      <c r="Q2" s="85" t="s">
        <v>315</v>
      </c>
    </row>
    <row r="3" spans="1:17" ht="165.2" customHeight="1" x14ac:dyDescent="0.25">
      <c r="A3" s="86" t="s">
        <v>399</v>
      </c>
      <c r="B3" s="15" t="s">
        <v>476</v>
      </c>
      <c r="C3" s="16">
        <v>39556</v>
      </c>
      <c r="D3" s="15" t="s">
        <v>476</v>
      </c>
      <c r="E3" s="16" t="s">
        <v>476</v>
      </c>
      <c r="F3" s="17" t="str">
        <f>+"05-OCT-2006"</f>
        <v>05-OCT-2006</v>
      </c>
      <c r="G3" s="48"/>
      <c r="H3" s="86" t="str">
        <f>+"16-DEC-2010"</f>
        <v>16-DEC-2010</v>
      </c>
      <c r="I3" s="16">
        <v>40567</v>
      </c>
      <c r="J3" s="47">
        <f t="shared" si="0"/>
        <v>1514</v>
      </c>
      <c r="K3" s="16"/>
      <c r="L3" s="86" t="s">
        <v>19</v>
      </c>
      <c r="M3" s="81" t="s">
        <v>688</v>
      </c>
      <c r="N3" s="86" t="s">
        <v>11</v>
      </c>
      <c r="O3" s="81" t="s">
        <v>25</v>
      </c>
      <c r="P3" s="81" t="s">
        <v>15</v>
      </c>
      <c r="Q3" s="85" t="s">
        <v>499</v>
      </c>
    </row>
    <row r="4" spans="1:17" ht="102.6" customHeight="1" x14ac:dyDescent="0.25">
      <c r="A4" s="81" t="s">
        <v>26</v>
      </c>
      <c r="B4" s="15" t="s">
        <v>476</v>
      </c>
      <c r="C4" s="16">
        <v>39762</v>
      </c>
      <c r="D4" s="15" t="s">
        <v>476</v>
      </c>
      <c r="E4" s="16">
        <v>39855</v>
      </c>
      <c r="F4" s="17" t="str">
        <f>+"02-JUN-2008"</f>
        <v>02-JUN-2008</v>
      </c>
      <c r="G4" s="48"/>
      <c r="H4" s="81" t="str">
        <f>+"16-DEC-2010"</f>
        <v>16-DEC-2010</v>
      </c>
      <c r="I4" s="16">
        <v>40568</v>
      </c>
      <c r="J4" s="47">
        <f t="shared" si="0"/>
        <v>1513</v>
      </c>
      <c r="K4" s="16">
        <v>40000</v>
      </c>
      <c r="L4" s="81" t="s">
        <v>10</v>
      </c>
      <c r="M4" s="81" t="s">
        <v>27</v>
      </c>
      <c r="N4" s="86" t="s">
        <v>11</v>
      </c>
      <c r="O4" s="81" t="s">
        <v>14</v>
      </c>
      <c r="P4" s="81" t="s">
        <v>21</v>
      </c>
      <c r="Q4" s="85" t="s">
        <v>28</v>
      </c>
    </row>
    <row r="5" spans="1:17" ht="90" customHeight="1" x14ac:dyDescent="0.25">
      <c r="A5" s="81" t="s">
        <v>29</v>
      </c>
      <c r="B5" s="15" t="s">
        <v>476</v>
      </c>
      <c r="C5" s="16">
        <v>39762</v>
      </c>
      <c r="D5" s="15" t="s">
        <v>476</v>
      </c>
      <c r="E5" s="16">
        <v>39855</v>
      </c>
      <c r="F5" s="17" t="str">
        <f>+"02-JUN-2008"</f>
        <v>02-JUN-2008</v>
      </c>
      <c r="G5" s="48"/>
      <c r="H5" s="81" t="str">
        <f>+"16-DEC-2010"</f>
        <v>16-DEC-2010</v>
      </c>
      <c r="I5" s="16">
        <v>40568</v>
      </c>
      <c r="J5" s="47">
        <f t="shared" si="0"/>
        <v>1513</v>
      </c>
      <c r="K5" s="16">
        <v>40000</v>
      </c>
      <c r="L5" s="81" t="s">
        <v>10</v>
      </c>
      <c r="M5" s="81" t="s">
        <v>30</v>
      </c>
      <c r="N5" s="86" t="s">
        <v>11</v>
      </c>
      <c r="O5" s="81" t="s">
        <v>14</v>
      </c>
      <c r="P5" s="81" t="s">
        <v>21</v>
      </c>
      <c r="Q5" s="85" t="s">
        <v>28</v>
      </c>
    </row>
    <row r="6" spans="1:17" ht="90" customHeight="1" x14ac:dyDescent="0.25">
      <c r="A6" s="86" t="s">
        <v>31</v>
      </c>
      <c r="B6" s="15" t="s">
        <v>476</v>
      </c>
      <c r="C6" s="16">
        <v>39762</v>
      </c>
      <c r="D6" s="15" t="s">
        <v>476</v>
      </c>
      <c r="E6" s="16">
        <v>39855</v>
      </c>
      <c r="F6" s="17" t="str">
        <f>+"02-JUN-2008"</f>
        <v>02-JUN-2008</v>
      </c>
      <c r="G6" s="48"/>
      <c r="H6" s="86" t="str">
        <f>+"16-DEC-2010"</f>
        <v>16-DEC-2010</v>
      </c>
      <c r="I6" s="16">
        <v>40568</v>
      </c>
      <c r="J6" s="47">
        <f t="shared" si="0"/>
        <v>1513</v>
      </c>
      <c r="K6" s="16">
        <v>40000</v>
      </c>
      <c r="L6" s="86" t="s">
        <v>10</v>
      </c>
      <c r="M6" s="81" t="s">
        <v>32</v>
      </c>
      <c r="N6" s="86" t="s">
        <v>11</v>
      </c>
      <c r="O6" s="86" t="s">
        <v>14</v>
      </c>
      <c r="P6" s="81" t="s">
        <v>21</v>
      </c>
      <c r="Q6" s="85" t="s">
        <v>28</v>
      </c>
    </row>
    <row r="7" spans="1:17" ht="90" customHeight="1" x14ac:dyDescent="0.25">
      <c r="A7" s="81" t="s">
        <v>60</v>
      </c>
      <c r="B7" s="15" t="s">
        <v>476</v>
      </c>
      <c r="C7" s="16" t="s">
        <v>476</v>
      </c>
      <c r="D7" s="15" t="s">
        <v>476</v>
      </c>
      <c r="E7" s="16">
        <v>40781</v>
      </c>
      <c r="F7" s="17" t="str">
        <f>+"01-FEB-2011"</f>
        <v>01-FEB-2011</v>
      </c>
      <c r="G7" s="48"/>
      <c r="H7" s="81" t="str">
        <f>+"19-APR-2012"</f>
        <v>19-APR-2012</v>
      </c>
      <c r="I7" s="16">
        <v>41058</v>
      </c>
      <c r="J7" s="47">
        <f t="shared" si="0"/>
        <v>1023</v>
      </c>
      <c r="K7" s="16">
        <v>40781</v>
      </c>
      <c r="L7" s="81" t="s">
        <v>10</v>
      </c>
      <c r="M7" s="81" t="s">
        <v>61</v>
      </c>
      <c r="N7" s="86" t="s">
        <v>11</v>
      </c>
      <c r="O7" s="81" t="s">
        <v>17</v>
      </c>
      <c r="P7" s="81" t="s">
        <v>15</v>
      </c>
      <c r="Q7" s="85" t="s">
        <v>62</v>
      </c>
    </row>
    <row r="8" spans="1:17" ht="113.25" customHeight="1" x14ac:dyDescent="0.25">
      <c r="A8" s="81" t="s">
        <v>305</v>
      </c>
      <c r="B8" s="15" t="s">
        <v>476</v>
      </c>
      <c r="C8" s="16" t="s">
        <v>476</v>
      </c>
      <c r="D8" s="15" t="s">
        <v>476</v>
      </c>
      <c r="E8" s="16">
        <v>34247</v>
      </c>
      <c r="F8" s="17" t="str">
        <f>+"26-MAY-1987"</f>
        <v>26-MAY-1987</v>
      </c>
      <c r="G8" s="48"/>
      <c r="H8" s="81" t="str">
        <f>+"08-MAY-1996"</f>
        <v>08-MAY-1996</v>
      </c>
      <c r="I8" s="16">
        <v>41348</v>
      </c>
      <c r="J8" s="47">
        <f t="shared" si="0"/>
        <v>733</v>
      </c>
      <c r="K8" s="16"/>
      <c r="L8" s="81" t="s">
        <v>19</v>
      </c>
      <c r="M8" s="81" t="s">
        <v>306</v>
      </c>
      <c r="N8" s="86" t="s">
        <v>11</v>
      </c>
      <c r="O8" s="81" t="s">
        <v>25</v>
      </c>
      <c r="P8" s="81" t="s">
        <v>36</v>
      </c>
      <c r="Q8" s="85" t="s">
        <v>57</v>
      </c>
    </row>
    <row r="9" spans="1:17" ht="117.75" customHeight="1" x14ac:dyDescent="0.25">
      <c r="A9" s="1" t="s">
        <v>307</v>
      </c>
      <c r="B9" s="15" t="s">
        <v>476</v>
      </c>
      <c r="C9" s="16" t="s">
        <v>476</v>
      </c>
      <c r="D9" s="15" t="s">
        <v>476</v>
      </c>
      <c r="E9" s="16">
        <v>32965</v>
      </c>
      <c r="F9" s="17" t="str">
        <f>+"01-APR-1988"</f>
        <v>01-APR-1988</v>
      </c>
      <c r="G9" s="48"/>
      <c r="H9" s="1" t="str">
        <f>+"18-DEC-1991"</f>
        <v>18-DEC-1991</v>
      </c>
      <c r="I9" s="16">
        <v>41348</v>
      </c>
      <c r="J9" s="47">
        <f t="shared" si="0"/>
        <v>733</v>
      </c>
      <c r="K9" s="16"/>
      <c r="L9" s="1" t="s">
        <v>19</v>
      </c>
      <c r="M9" s="1" t="s">
        <v>308</v>
      </c>
      <c r="N9" s="86" t="s">
        <v>11</v>
      </c>
      <c r="O9" s="1" t="s">
        <v>25</v>
      </c>
      <c r="P9" s="1" t="s">
        <v>36</v>
      </c>
      <c r="Q9" s="7" t="s">
        <v>57</v>
      </c>
    </row>
    <row r="10" spans="1:17" ht="115.5" customHeight="1" x14ac:dyDescent="0.25">
      <c r="A10" s="1" t="s">
        <v>392</v>
      </c>
      <c r="B10" s="15" t="s">
        <v>476</v>
      </c>
      <c r="C10" s="16" t="s">
        <v>476</v>
      </c>
      <c r="D10" s="15" t="s">
        <v>476</v>
      </c>
      <c r="E10" s="16">
        <v>32965</v>
      </c>
      <c r="F10" s="17" t="str">
        <f>+"17-APR-1985"</f>
        <v>17-APR-1985</v>
      </c>
      <c r="G10" s="48"/>
      <c r="H10" s="1" t="str">
        <f>+"18-DEC-1991"</f>
        <v>18-DEC-1991</v>
      </c>
      <c r="I10" s="16">
        <v>41348</v>
      </c>
      <c r="J10" s="47">
        <f t="shared" si="0"/>
        <v>733</v>
      </c>
      <c r="K10" s="16"/>
      <c r="L10" s="1" t="s">
        <v>19</v>
      </c>
      <c r="M10" s="1" t="s">
        <v>393</v>
      </c>
      <c r="N10" s="86" t="s">
        <v>11</v>
      </c>
      <c r="O10" s="1" t="s">
        <v>25</v>
      </c>
      <c r="P10" s="1" t="s">
        <v>36</v>
      </c>
      <c r="Q10" s="7" t="s">
        <v>57</v>
      </c>
    </row>
    <row r="11" spans="1:17" ht="90" customHeight="1" x14ac:dyDescent="0.25">
      <c r="A11" s="86" t="s">
        <v>318</v>
      </c>
      <c r="B11" s="15" t="s">
        <v>476</v>
      </c>
      <c r="C11" s="16" t="s">
        <v>476</v>
      </c>
      <c r="D11" s="15" t="s">
        <v>476</v>
      </c>
      <c r="E11" s="16" t="s">
        <v>476</v>
      </c>
      <c r="F11" s="17" t="str">
        <f>+"25-FEB-2010"</f>
        <v>25-FEB-2010</v>
      </c>
      <c r="G11" s="48"/>
      <c r="H11" s="86" t="str">
        <f>+"28-FEB-2013"</f>
        <v>28-FEB-2013</v>
      </c>
      <c r="I11" s="16">
        <v>41359</v>
      </c>
      <c r="J11" s="47">
        <f t="shared" si="0"/>
        <v>722</v>
      </c>
      <c r="K11" s="16">
        <v>41182</v>
      </c>
      <c r="L11" s="1" t="s">
        <v>10</v>
      </c>
      <c r="M11" s="1" t="s">
        <v>319</v>
      </c>
      <c r="N11" s="86" t="s">
        <v>11</v>
      </c>
      <c r="O11" s="1" t="s">
        <v>14</v>
      </c>
      <c r="P11" s="1" t="s">
        <v>652</v>
      </c>
      <c r="Q11" s="89" t="s">
        <v>495</v>
      </c>
    </row>
    <row r="12" spans="1:17" ht="90" customHeight="1" x14ac:dyDescent="0.25">
      <c r="A12" s="1" t="s">
        <v>18</v>
      </c>
      <c r="B12" s="15" t="s">
        <v>476</v>
      </c>
      <c r="C12" s="16">
        <v>39976</v>
      </c>
      <c r="D12" s="15" t="s">
        <v>476</v>
      </c>
      <c r="E12" s="16">
        <v>41407</v>
      </c>
      <c r="F12" s="17" t="str">
        <f>+"16-JAN-2007"</f>
        <v>16-JAN-2007</v>
      </c>
      <c r="G12" s="48"/>
      <c r="H12" s="1" t="str">
        <f>+"12-AUG-2010"</f>
        <v>12-AUG-2010</v>
      </c>
      <c r="I12" s="16">
        <v>41366</v>
      </c>
      <c r="J12" s="47">
        <f t="shared" si="0"/>
        <v>715</v>
      </c>
      <c r="K12" s="16"/>
      <c r="L12" s="1" t="s">
        <v>19</v>
      </c>
      <c r="M12" s="1" t="s">
        <v>20</v>
      </c>
      <c r="N12" s="86" t="s">
        <v>11</v>
      </c>
      <c r="O12" s="1" t="s">
        <v>14</v>
      </c>
      <c r="P12" s="1" t="s">
        <v>21</v>
      </c>
      <c r="Q12" s="7" t="s">
        <v>22</v>
      </c>
    </row>
    <row r="13" spans="1:17" ht="90" customHeight="1" x14ac:dyDescent="0.25">
      <c r="A13" s="86" t="s">
        <v>23</v>
      </c>
      <c r="B13" s="15" t="s">
        <v>476</v>
      </c>
      <c r="C13" s="16">
        <v>39976</v>
      </c>
      <c r="D13" s="15" t="s">
        <v>476</v>
      </c>
      <c r="E13" s="16">
        <v>40350</v>
      </c>
      <c r="F13" s="17" t="str">
        <f>+"30-APR-2007"</f>
        <v>30-APR-2007</v>
      </c>
      <c r="G13" s="48"/>
      <c r="H13" s="86" t="str">
        <f>+"12-AUG-2010"</f>
        <v>12-AUG-2010</v>
      </c>
      <c r="I13" s="16">
        <v>41366</v>
      </c>
      <c r="J13" s="47">
        <f t="shared" si="0"/>
        <v>715</v>
      </c>
      <c r="K13" s="16"/>
      <c r="L13" s="86" t="s">
        <v>19</v>
      </c>
      <c r="M13" s="1" t="s">
        <v>24</v>
      </c>
      <c r="N13" s="86" t="s">
        <v>11</v>
      </c>
      <c r="O13" s="86" t="s">
        <v>14</v>
      </c>
      <c r="P13" s="1" t="s">
        <v>21</v>
      </c>
      <c r="Q13" s="7" t="s">
        <v>22</v>
      </c>
    </row>
    <row r="14" spans="1:17" ht="90" customHeight="1" x14ac:dyDescent="0.25">
      <c r="A14" s="86" t="s">
        <v>73</v>
      </c>
      <c r="B14" s="15" t="s">
        <v>476</v>
      </c>
      <c r="C14" s="16">
        <v>40753</v>
      </c>
      <c r="D14" s="15" t="s">
        <v>476</v>
      </c>
      <c r="E14" s="16">
        <v>41135</v>
      </c>
      <c r="F14" s="17" t="str">
        <f>+"19-MAY-2011"</f>
        <v>19-MAY-2011</v>
      </c>
      <c r="G14" s="48"/>
      <c r="H14" s="86" t="str">
        <f>+"21-MAR-2013"</f>
        <v>21-MAR-2013</v>
      </c>
      <c r="I14" s="16">
        <v>41393</v>
      </c>
      <c r="J14" s="47">
        <f t="shared" si="0"/>
        <v>688</v>
      </c>
      <c r="K14" s="16">
        <v>41163</v>
      </c>
      <c r="L14" s="86" t="s">
        <v>10</v>
      </c>
      <c r="M14" s="86" t="s">
        <v>74</v>
      </c>
      <c r="N14" s="86" t="s">
        <v>11</v>
      </c>
      <c r="O14" s="86" t="s">
        <v>14</v>
      </c>
      <c r="P14" s="86" t="s">
        <v>21</v>
      </c>
      <c r="Q14" s="89" t="s">
        <v>176</v>
      </c>
    </row>
    <row r="15" spans="1:17" ht="90" customHeight="1" x14ac:dyDescent="0.25">
      <c r="A15" s="1" t="s">
        <v>328</v>
      </c>
      <c r="B15" s="15">
        <v>41226</v>
      </c>
      <c r="C15" s="16">
        <v>41311</v>
      </c>
      <c r="D15" s="15">
        <v>41869</v>
      </c>
      <c r="E15" s="16">
        <v>41904</v>
      </c>
      <c r="F15" s="17" t="str">
        <f>+"23-AUG-2012"</f>
        <v>23-AUG-2012</v>
      </c>
      <c r="G15" s="48"/>
      <c r="H15" s="1" t="str">
        <f>+"04-APR-2013"</f>
        <v>04-APR-2013</v>
      </c>
      <c r="I15" s="16">
        <v>41396</v>
      </c>
      <c r="J15" s="47">
        <f t="shared" si="0"/>
        <v>685</v>
      </c>
      <c r="K15" s="16"/>
      <c r="L15" s="1" t="s">
        <v>19</v>
      </c>
      <c r="M15" s="1" t="s">
        <v>329</v>
      </c>
      <c r="N15" s="86" t="s">
        <v>11</v>
      </c>
      <c r="O15" s="1" t="s">
        <v>14</v>
      </c>
      <c r="P15" s="1" t="s">
        <v>652</v>
      </c>
      <c r="Q15" s="7" t="s">
        <v>500</v>
      </c>
    </row>
    <row r="16" spans="1:17" ht="90" customHeight="1" x14ac:dyDescent="0.25">
      <c r="A16" s="86" t="s">
        <v>77</v>
      </c>
      <c r="B16" s="15" t="s">
        <v>476</v>
      </c>
      <c r="C16" s="16">
        <v>40819</v>
      </c>
      <c r="D16" s="15" t="s">
        <v>476</v>
      </c>
      <c r="E16" s="16" t="s">
        <v>476</v>
      </c>
      <c r="F16" s="17" t="str">
        <f>+"06-JUN-2011"</f>
        <v>06-JUN-2011</v>
      </c>
      <c r="G16" s="48"/>
      <c r="H16" s="86" t="str">
        <f>+"25-JUL-2013"</f>
        <v>25-JUL-2013</v>
      </c>
      <c r="I16" s="16">
        <v>41481</v>
      </c>
      <c r="J16" s="47">
        <f t="shared" si="0"/>
        <v>600</v>
      </c>
      <c r="K16" s="16"/>
      <c r="L16" s="86" t="s">
        <v>19</v>
      </c>
      <c r="M16" s="86" t="s">
        <v>78</v>
      </c>
      <c r="N16" s="86" t="s">
        <v>11</v>
      </c>
      <c r="O16" s="86" t="s">
        <v>14</v>
      </c>
      <c r="P16" s="86" t="s">
        <v>41</v>
      </c>
      <c r="Q16" s="89" t="s">
        <v>575</v>
      </c>
    </row>
    <row r="17" spans="1:17" ht="90" customHeight="1" x14ac:dyDescent="0.25">
      <c r="A17" s="86" t="s">
        <v>79</v>
      </c>
      <c r="B17" s="15" t="s">
        <v>476</v>
      </c>
      <c r="C17" s="16">
        <v>40819</v>
      </c>
      <c r="D17" s="15" t="s">
        <v>476</v>
      </c>
      <c r="E17" s="16" t="s">
        <v>476</v>
      </c>
      <c r="F17" s="17" t="str">
        <f>+"30-JUN-2011"</f>
        <v>30-JUN-2011</v>
      </c>
      <c r="G17" s="48"/>
      <c r="H17" s="86" t="str">
        <f>+"25-JUL-2013"</f>
        <v>25-JUL-2013</v>
      </c>
      <c r="I17" s="16">
        <v>41481</v>
      </c>
      <c r="J17" s="47">
        <f t="shared" si="0"/>
        <v>600</v>
      </c>
      <c r="K17" s="16"/>
      <c r="L17" s="86" t="s">
        <v>19</v>
      </c>
      <c r="M17" s="86" t="s">
        <v>80</v>
      </c>
      <c r="N17" s="86" t="s">
        <v>11</v>
      </c>
      <c r="O17" s="86" t="s">
        <v>14</v>
      </c>
      <c r="P17" s="86" t="s">
        <v>41</v>
      </c>
      <c r="Q17" s="89" t="s">
        <v>575</v>
      </c>
    </row>
    <row r="18" spans="1:17" ht="90" customHeight="1" x14ac:dyDescent="0.25">
      <c r="A18" s="86" t="s">
        <v>81</v>
      </c>
      <c r="B18" s="15" t="s">
        <v>476</v>
      </c>
      <c r="C18" s="16">
        <v>40819</v>
      </c>
      <c r="D18" s="15" t="s">
        <v>476</v>
      </c>
      <c r="E18" s="16" t="s">
        <v>476</v>
      </c>
      <c r="F18" s="17" t="str">
        <f>+"01-JUL-2011"</f>
        <v>01-JUL-2011</v>
      </c>
      <c r="G18" s="48"/>
      <c r="H18" s="86" t="str">
        <f>+"25-JUL-2013"</f>
        <v>25-JUL-2013</v>
      </c>
      <c r="I18" s="16">
        <v>41481</v>
      </c>
      <c r="J18" s="47">
        <f t="shared" si="0"/>
        <v>600</v>
      </c>
      <c r="K18" s="16"/>
      <c r="L18" s="86" t="s">
        <v>19</v>
      </c>
      <c r="M18" s="1" t="s">
        <v>82</v>
      </c>
      <c r="N18" s="86" t="s">
        <v>11</v>
      </c>
      <c r="O18" s="86" t="s">
        <v>14</v>
      </c>
      <c r="P18" s="1" t="s">
        <v>41</v>
      </c>
      <c r="Q18" s="89" t="s">
        <v>575</v>
      </c>
    </row>
    <row r="19" spans="1:17" ht="131.25" customHeight="1" x14ac:dyDescent="0.25">
      <c r="A19" s="86" t="s">
        <v>38</v>
      </c>
      <c r="B19" s="15" t="s">
        <v>476</v>
      </c>
      <c r="C19" s="16">
        <v>40003</v>
      </c>
      <c r="D19" s="15" t="s">
        <v>476</v>
      </c>
      <c r="E19" s="16">
        <v>40280</v>
      </c>
      <c r="F19" s="17" t="str">
        <f>+"03-MAR-2009"</f>
        <v>03-MAR-2009</v>
      </c>
      <c r="G19" s="48"/>
      <c r="H19" s="86" t="str">
        <f>+"13-JAN-2011"</f>
        <v>13-JAN-2011</v>
      </c>
      <c r="I19" s="16">
        <v>41549</v>
      </c>
      <c r="J19" s="47">
        <f t="shared" si="0"/>
        <v>532</v>
      </c>
      <c r="K19" s="16"/>
      <c r="L19" s="86" t="s">
        <v>19</v>
      </c>
      <c r="M19" s="1" t="s">
        <v>39</v>
      </c>
      <c r="N19" s="86" t="s">
        <v>11</v>
      </c>
      <c r="O19" s="86" t="s">
        <v>25</v>
      </c>
      <c r="P19" s="1" t="s">
        <v>652</v>
      </c>
      <c r="Q19" s="89" t="s">
        <v>40</v>
      </c>
    </row>
    <row r="20" spans="1:17" ht="167.85" customHeight="1" x14ac:dyDescent="0.25">
      <c r="A20" s="86" t="s">
        <v>311</v>
      </c>
      <c r="B20" s="15" t="s">
        <v>476</v>
      </c>
      <c r="C20" s="16">
        <v>40003</v>
      </c>
      <c r="D20" s="15" t="s">
        <v>476</v>
      </c>
      <c r="E20" s="16">
        <v>40280</v>
      </c>
      <c r="F20" s="17" t="str">
        <f>+"23-APR-2008"</f>
        <v>23-APR-2008</v>
      </c>
      <c r="G20" s="48"/>
      <c r="H20" s="86" t="str">
        <f>+"13-JAN-2011"</f>
        <v>13-JAN-2011</v>
      </c>
      <c r="I20" s="16">
        <v>41549</v>
      </c>
      <c r="J20" s="47">
        <f t="shared" si="0"/>
        <v>532</v>
      </c>
      <c r="K20" s="16"/>
      <c r="L20" s="86" t="s">
        <v>19</v>
      </c>
      <c r="M20" s="1" t="s">
        <v>312</v>
      </c>
      <c r="N20" s="86" t="s">
        <v>11</v>
      </c>
      <c r="O20" s="86" t="s">
        <v>25</v>
      </c>
      <c r="P20" s="1" t="s">
        <v>652</v>
      </c>
      <c r="Q20" s="89" t="s">
        <v>40</v>
      </c>
    </row>
    <row r="21" spans="1:17" ht="114.2" customHeight="1" x14ac:dyDescent="0.25">
      <c r="A21" s="86" t="s">
        <v>121</v>
      </c>
      <c r="B21" s="15" t="s">
        <v>476</v>
      </c>
      <c r="C21" s="16">
        <v>41281</v>
      </c>
      <c r="D21" s="15" t="s">
        <v>476</v>
      </c>
      <c r="E21" s="16">
        <v>41355</v>
      </c>
      <c r="F21" s="17" t="str">
        <f>+"01-NOV-2012"</f>
        <v>01-NOV-2012</v>
      </c>
      <c r="G21" s="48"/>
      <c r="H21" s="86" t="str">
        <f>+"14-NOV-2013"</f>
        <v>14-NOV-2013</v>
      </c>
      <c r="I21" s="16">
        <v>41653</v>
      </c>
      <c r="J21" s="47">
        <f t="shared" si="0"/>
        <v>428</v>
      </c>
      <c r="K21" s="16"/>
      <c r="L21" s="86" t="s">
        <v>19</v>
      </c>
      <c r="M21" s="1" t="s">
        <v>122</v>
      </c>
      <c r="N21" s="86" t="s">
        <v>11</v>
      </c>
      <c r="O21" s="86" t="s">
        <v>14</v>
      </c>
      <c r="P21" s="1" t="s">
        <v>652</v>
      </c>
      <c r="Q21" s="89" t="s">
        <v>16</v>
      </c>
    </row>
    <row r="22" spans="1:17" ht="90" customHeight="1" x14ac:dyDescent="0.25">
      <c r="A22" s="1" t="s">
        <v>123</v>
      </c>
      <c r="B22" s="15" t="s">
        <v>476</v>
      </c>
      <c r="C22" s="16">
        <v>41281</v>
      </c>
      <c r="D22" s="15" t="s">
        <v>476</v>
      </c>
      <c r="E22" s="16">
        <v>41355</v>
      </c>
      <c r="F22" s="17" t="str">
        <f>+"01-NOV-2012"</f>
        <v>01-NOV-2012</v>
      </c>
      <c r="G22" s="48"/>
      <c r="H22" s="1" t="str">
        <f>+"14-NOV-2013"</f>
        <v>14-NOV-2013</v>
      </c>
      <c r="I22" s="16">
        <v>41653</v>
      </c>
      <c r="J22" s="47">
        <f t="shared" si="0"/>
        <v>428</v>
      </c>
      <c r="K22" s="16"/>
      <c r="L22" s="1" t="s">
        <v>19</v>
      </c>
      <c r="M22" s="1" t="s">
        <v>124</v>
      </c>
      <c r="N22" s="86" t="s">
        <v>11</v>
      </c>
      <c r="O22" s="1" t="s">
        <v>14</v>
      </c>
      <c r="P22" s="1" t="s">
        <v>652</v>
      </c>
      <c r="Q22" s="7" t="s">
        <v>16</v>
      </c>
    </row>
    <row r="23" spans="1:17" ht="90" customHeight="1" x14ac:dyDescent="0.25">
      <c r="A23" s="1" t="s">
        <v>125</v>
      </c>
      <c r="B23" s="15" t="s">
        <v>476</v>
      </c>
      <c r="C23" s="16">
        <v>41281</v>
      </c>
      <c r="D23" s="15" t="s">
        <v>476</v>
      </c>
      <c r="E23" s="16">
        <v>41355</v>
      </c>
      <c r="F23" s="17" t="str">
        <f>+"01-NOV-2012"</f>
        <v>01-NOV-2012</v>
      </c>
      <c r="G23" s="48"/>
      <c r="H23" s="1" t="str">
        <f>+"14-NOV-2013"</f>
        <v>14-NOV-2013</v>
      </c>
      <c r="I23" s="16">
        <v>41653</v>
      </c>
      <c r="J23" s="47">
        <f t="shared" si="0"/>
        <v>428</v>
      </c>
      <c r="K23" s="16"/>
      <c r="L23" s="1" t="s">
        <v>19</v>
      </c>
      <c r="M23" s="1" t="s">
        <v>126</v>
      </c>
      <c r="N23" s="86" t="s">
        <v>11</v>
      </c>
      <c r="O23" s="1" t="s">
        <v>14</v>
      </c>
      <c r="P23" s="1" t="s">
        <v>652</v>
      </c>
      <c r="Q23" s="7" t="s">
        <v>16</v>
      </c>
    </row>
    <row r="24" spans="1:17" ht="90" customHeight="1" x14ac:dyDescent="0.25">
      <c r="A24" s="1" t="s">
        <v>127</v>
      </c>
      <c r="B24" s="15" t="s">
        <v>476</v>
      </c>
      <c r="C24" s="16">
        <v>41281</v>
      </c>
      <c r="D24" s="15" t="s">
        <v>476</v>
      </c>
      <c r="E24" s="16">
        <v>41355</v>
      </c>
      <c r="F24" s="17" t="str">
        <f>+"01-NOV-2012"</f>
        <v>01-NOV-2012</v>
      </c>
      <c r="G24" s="48"/>
      <c r="H24" s="1" t="str">
        <f>+"14-NOV-2013"</f>
        <v>14-NOV-2013</v>
      </c>
      <c r="I24" s="16">
        <v>41653</v>
      </c>
      <c r="J24" s="47">
        <f t="shared" si="0"/>
        <v>428</v>
      </c>
      <c r="K24" s="16"/>
      <c r="L24" s="1" t="s">
        <v>19</v>
      </c>
      <c r="M24" s="1" t="s">
        <v>128</v>
      </c>
      <c r="N24" s="86" t="s">
        <v>11</v>
      </c>
      <c r="O24" s="1" t="s">
        <v>14</v>
      </c>
      <c r="P24" s="1" t="s">
        <v>652</v>
      </c>
      <c r="Q24" s="7" t="s">
        <v>16</v>
      </c>
    </row>
    <row r="25" spans="1:17" ht="90" customHeight="1" x14ac:dyDescent="0.25">
      <c r="A25" s="1" t="s">
        <v>109</v>
      </c>
      <c r="B25" s="15" t="s">
        <v>476</v>
      </c>
      <c r="C25" s="16">
        <v>41148</v>
      </c>
      <c r="D25" s="15" t="s">
        <v>476</v>
      </c>
      <c r="E25" s="16" t="s">
        <v>476</v>
      </c>
      <c r="F25" s="17" t="str">
        <f>+"02-JUL-2012"</f>
        <v>02-JUL-2012</v>
      </c>
      <c r="G25" s="48"/>
      <c r="H25" s="1" t="str">
        <f>+"19-SEP-2013"</f>
        <v>19-SEP-2013</v>
      </c>
      <c r="I25" s="16">
        <v>41663</v>
      </c>
      <c r="J25" s="47">
        <f t="shared" si="0"/>
        <v>418</v>
      </c>
      <c r="K25" s="16"/>
      <c r="L25" s="1" t="s">
        <v>19</v>
      </c>
      <c r="M25" s="1" t="s">
        <v>110</v>
      </c>
      <c r="N25" s="86" t="s">
        <v>11</v>
      </c>
      <c r="O25" s="1" t="s">
        <v>42</v>
      </c>
      <c r="P25" s="1" t="s">
        <v>36</v>
      </c>
      <c r="Q25" s="7" t="s">
        <v>111</v>
      </c>
    </row>
    <row r="26" spans="1:17" ht="121.7" customHeight="1" x14ac:dyDescent="0.25">
      <c r="A26" s="1" t="s">
        <v>112</v>
      </c>
      <c r="B26" s="15" t="s">
        <v>476</v>
      </c>
      <c r="C26" s="16">
        <v>41148</v>
      </c>
      <c r="D26" s="15" t="s">
        <v>476</v>
      </c>
      <c r="E26" s="16" t="s">
        <v>476</v>
      </c>
      <c r="F26" s="17" t="str">
        <f>+"02-JUL-2012"</f>
        <v>02-JUL-2012</v>
      </c>
      <c r="G26" s="48"/>
      <c r="H26" s="1" t="str">
        <f>+"19-SEP-2013"</f>
        <v>19-SEP-2013</v>
      </c>
      <c r="I26" s="16">
        <v>41663</v>
      </c>
      <c r="J26" s="47">
        <f t="shared" si="0"/>
        <v>418</v>
      </c>
      <c r="K26" s="16"/>
      <c r="L26" s="1" t="s">
        <v>19</v>
      </c>
      <c r="M26" s="1" t="s">
        <v>113</v>
      </c>
      <c r="N26" s="86" t="s">
        <v>11</v>
      </c>
      <c r="O26" s="1" t="s">
        <v>14</v>
      </c>
      <c r="P26" s="1" t="s">
        <v>36</v>
      </c>
      <c r="Q26" s="7" t="s">
        <v>111</v>
      </c>
    </row>
    <row r="27" spans="1:17" ht="90" customHeight="1" x14ac:dyDescent="0.25">
      <c r="A27" s="86" t="s">
        <v>114</v>
      </c>
      <c r="B27" s="15" t="s">
        <v>476</v>
      </c>
      <c r="C27" s="16">
        <v>41148</v>
      </c>
      <c r="D27" s="15" t="s">
        <v>476</v>
      </c>
      <c r="E27" s="16" t="s">
        <v>476</v>
      </c>
      <c r="F27" s="17" t="str">
        <f>+"02-JUL-2012"</f>
        <v>02-JUL-2012</v>
      </c>
      <c r="G27" s="48"/>
      <c r="H27" s="86" t="str">
        <f>+"19-SEP-2013"</f>
        <v>19-SEP-2013</v>
      </c>
      <c r="I27" s="16">
        <v>41663</v>
      </c>
      <c r="J27" s="47">
        <f t="shared" si="0"/>
        <v>418</v>
      </c>
      <c r="K27" s="16"/>
      <c r="L27" s="86" t="s">
        <v>19</v>
      </c>
      <c r="M27" s="86" t="s">
        <v>115</v>
      </c>
      <c r="N27" s="86" t="s">
        <v>11</v>
      </c>
      <c r="O27" s="86" t="s">
        <v>59</v>
      </c>
      <c r="P27" s="86" t="s">
        <v>36</v>
      </c>
      <c r="Q27" s="89" t="s">
        <v>111</v>
      </c>
    </row>
    <row r="28" spans="1:17" ht="119.65" customHeight="1" x14ac:dyDescent="0.25">
      <c r="A28" s="1" t="s">
        <v>116</v>
      </c>
      <c r="B28" s="15" t="s">
        <v>476</v>
      </c>
      <c r="C28" s="16">
        <v>41148</v>
      </c>
      <c r="D28" s="15" t="s">
        <v>476</v>
      </c>
      <c r="E28" s="16" t="s">
        <v>476</v>
      </c>
      <c r="F28" s="17" t="str">
        <f>+"02-JUL-2012"</f>
        <v>02-JUL-2012</v>
      </c>
      <c r="G28" s="48"/>
      <c r="H28" s="1" t="str">
        <f>+"19-SEP-2013"</f>
        <v>19-SEP-2013</v>
      </c>
      <c r="I28" s="16">
        <v>41663</v>
      </c>
      <c r="J28" s="47">
        <f t="shared" si="0"/>
        <v>418</v>
      </c>
      <c r="K28" s="16"/>
      <c r="L28" s="1" t="s">
        <v>19</v>
      </c>
      <c r="M28" s="1" t="s">
        <v>117</v>
      </c>
      <c r="N28" s="86" t="s">
        <v>11</v>
      </c>
      <c r="O28" s="1" t="s">
        <v>14</v>
      </c>
      <c r="P28" s="1" t="s">
        <v>36</v>
      </c>
      <c r="Q28" s="7" t="s">
        <v>111</v>
      </c>
    </row>
    <row r="29" spans="1:17" ht="155.65" customHeight="1" x14ac:dyDescent="0.25">
      <c r="A29" s="1" t="s">
        <v>364</v>
      </c>
      <c r="B29" s="15" t="s">
        <v>476</v>
      </c>
      <c r="C29" s="16" t="s">
        <v>476</v>
      </c>
      <c r="D29" s="15" t="s">
        <v>476</v>
      </c>
      <c r="E29" s="16">
        <v>41411</v>
      </c>
      <c r="F29" s="17" t="str">
        <f>+"17-DEC-2009"</f>
        <v>17-DEC-2009</v>
      </c>
      <c r="G29" s="48"/>
      <c r="H29" s="1" t="str">
        <f>+"16-JAN-2014"</f>
        <v>16-JAN-2014</v>
      </c>
      <c r="I29" s="16">
        <v>41691</v>
      </c>
      <c r="J29" s="47">
        <f t="shared" si="0"/>
        <v>390</v>
      </c>
      <c r="K29" s="16">
        <v>41408</v>
      </c>
      <c r="L29" s="1" t="s">
        <v>10</v>
      </c>
      <c r="M29" s="1" t="s">
        <v>365</v>
      </c>
      <c r="N29" s="86" t="s">
        <v>11</v>
      </c>
      <c r="O29" s="1" t="s">
        <v>25</v>
      </c>
      <c r="P29" s="1" t="s">
        <v>21</v>
      </c>
      <c r="Q29" s="7" t="s">
        <v>500</v>
      </c>
    </row>
    <row r="30" spans="1:17" ht="113.45" customHeight="1" x14ac:dyDescent="0.25">
      <c r="A30" s="1" t="s">
        <v>138</v>
      </c>
      <c r="B30" s="15" t="s">
        <v>476</v>
      </c>
      <c r="C30" s="16" t="s">
        <v>476</v>
      </c>
      <c r="D30" s="15" t="s">
        <v>476</v>
      </c>
      <c r="E30" s="16">
        <v>41509</v>
      </c>
      <c r="F30" s="17" t="str">
        <f>+"02-JAN-2013"</f>
        <v>02-JAN-2013</v>
      </c>
      <c r="G30" s="48"/>
      <c r="H30" s="1" t="str">
        <f>+"27-FEB-2014"</f>
        <v>27-FEB-2014</v>
      </c>
      <c r="I30" s="16">
        <v>41705</v>
      </c>
      <c r="J30" s="47">
        <f t="shared" si="0"/>
        <v>376</v>
      </c>
      <c r="K30" s="16"/>
      <c r="L30" s="1" t="s">
        <v>19</v>
      </c>
      <c r="M30" s="1" t="s">
        <v>139</v>
      </c>
      <c r="N30" s="86" t="s">
        <v>11</v>
      </c>
      <c r="O30" s="1" t="s">
        <v>17</v>
      </c>
      <c r="P30" s="1" t="s">
        <v>15</v>
      </c>
      <c r="Q30" s="7" t="s">
        <v>140</v>
      </c>
    </row>
    <row r="31" spans="1:17" ht="130.69999999999999" customHeight="1" x14ac:dyDescent="0.25">
      <c r="A31" s="1" t="s">
        <v>141</v>
      </c>
      <c r="B31" s="15" t="s">
        <v>476</v>
      </c>
      <c r="C31" s="16" t="s">
        <v>476</v>
      </c>
      <c r="D31" s="15" t="s">
        <v>476</v>
      </c>
      <c r="E31" s="16">
        <v>41548</v>
      </c>
      <c r="F31" s="17" t="str">
        <f>+"02-JAN-2013"</f>
        <v>02-JAN-2013</v>
      </c>
      <c r="G31" s="48"/>
      <c r="H31" s="1" t="str">
        <f>+"27-FEB-2014"</f>
        <v>27-FEB-2014</v>
      </c>
      <c r="I31" s="16">
        <v>41705</v>
      </c>
      <c r="J31" s="47">
        <f t="shared" si="0"/>
        <v>376</v>
      </c>
      <c r="K31" s="16"/>
      <c r="L31" s="1" t="s">
        <v>19</v>
      </c>
      <c r="M31" s="1" t="s">
        <v>142</v>
      </c>
      <c r="N31" s="86" t="s">
        <v>11</v>
      </c>
      <c r="O31" s="1" t="s">
        <v>17</v>
      </c>
      <c r="P31" s="1" t="s">
        <v>15</v>
      </c>
      <c r="Q31" s="7" t="s">
        <v>140</v>
      </c>
    </row>
    <row r="32" spans="1:17" ht="165.2" customHeight="1" x14ac:dyDescent="0.25">
      <c r="A32" s="1" t="s">
        <v>330</v>
      </c>
      <c r="B32" s="15" t="s">
        <v>476</v>
      </c>
      <c r="C32" s="16" t="s">
        <v>476</v>
      </c>
      <c r="D32" s="15" t="s">
        <v>476</v>
      </c>
      <c r="E32" s="16">
        <v>41548</v>
      </c>
      <c r="F32" s="17" t="str">
        <f>+"04-JAN-2013"</f>
        <v>04-JAN-2013</v>
      </c>
      <c r="G32" s="48"/>
      <c r="H32" s="1" t="str">
        <f>+"27-FEB-2014"</f>
        <v>27-FEB-2014</v>
      </c>
      <c r="I32" s="16">
        <v>41705</v>
      </c>
      <c r="J32" s="47">
        <f t="shared" si="0"/>
        <v>376</v>
      </c>
      <c r="K32" s="16"/>
      <c r="L32" s="1" t="s">
        <v>19</v>
      </c>
      <c r="M32" s="1" t="s">
        <v>331</v>
      </c>
      <c r="N32" s="86" t="s">
        <v>11</v>
      </c>
      <c r="O32" s="1" t="s">
        <v>17</v>
      </c>
      <c r="P32" s="1" t="s">
        <v>15</v>
      </c>
      <c r="Q32" s="7" t="s">
        <v>140</v>
      </c>
    </row>
    <row r="33" spans="1:17" ht="106.7" customHeight="1" x14ac:dyDescent="0.25">
      <c r="A33" s="1" t="s">
        <v>379</v>
      </c>
      <c r="B33" s="15" t="s">
        <v>476</v>
      </c>
      <c r="C33" s="16" t="s">
        <v>476</v>
      </c>
      <c r="D33" s="15" t="s">
        <v>476</v>
      </c>
      <c r="E33" s="16">
        <v>41548</v>
      </c>
      <c r="F33" s="17" t="str">
        <f>+"04-APR-2013"</f>
        <v>04-APR-2013</v>
      </c>
      <c r="G33" s="48"/>
      <c r="H33" s="1" t="str">
        <f>+"27-FEB-2014"</f>
        <v>27-FEB-2014</v>
      </c>
      <c r="I33" s="16">
        <v>41705</v>
      </c>
      <c r="J33" s="47">
        <f t="shared" si="0"/>
        <v>376</v>
      </c>
      <c r="K33" s="16"/>
      <c r="L33" s="1" t="s">
        <v>19</v>
      </c>
      <c r="M33" s="1" t="s">
        <v>380</v>
      </c>
      <c r="N33" s="86" t="s">
        <v>11</v>
      </c>
      <c r="O33" s="1" t="s">
        <v>17</v>
      </c>
      <c r="P33" s="1" t="s">
        <v>15</v>
      </c>
      <c r="Q33" s="7" t="s">
        <v>381</v>
      </c>
    </row>
    <row r="34" spans="1:17" ht="99.75" customHeight="1" x14ac:dyDescent="0.25">
      <c r="A34" s="86" t="s">
        <v>174</v>
      </c>
      <c r="B34" s="15" t="s">
        <v>476</v>
      </c>
      <c r="C34" s="16">
        <v>41512</v>
      </c>
      <c r="D34" s="15" t="s">
        <v>476</v>
      </c>
      <c r="E34" s="16">
        <v>41598</v>
      </c>
      <c r="F34" s="17" t="str">
        <f>+"21-JUN-2013"</f>
        <v>21-JUN-2013</v>
      </c>
      <c r="G34" s="48"/>
      <c r="H34" s="86" t="str">
        <f>+"05-FEB-2014"</f>
        <v>05-FEB-2014</v>
      </c>
      <c r="I34" s="16">
        <v>41711</v>
      </c>
      <c r="J34" s="47">
        <f t="shared" ref="J34:J65" si="1">DATE(2015, 3, 18)- I34</f>
        <v>370</v>
      </c>
      <c r="K34" s="16">
        <v>41598</v>
      </c>
      <c r="L34" s="86" t="s">
        <v>10</v>
      </c>
      <c r="M34" s="1" t="s">
        <v>175</v>
      </c>
      <c r="N34" s="86" t="s">
        <v>11</v>
      </c>
      <c r="O34" s="86" t="s">
        <v>14</v>
      </c>
      <c r="P34" s="86" t="s">
        <v>21</v>
      </c>
      <c r="Q34" s="7" t="s">
        <v>176</v>
      </c>
    </row>
    <row r="35" spans="1:17" ht="146.1" customHeight="1" x14ac:dyDescent="0.25">
      <c r="A35" s="86" t="s">
        <v>407</v>
      </c>
      <c r="B35" s="15" t="s">
        <v>476</v>
      </c>
      <c r="C35" s="16">
        <v>40319</v>
      </c>
      <c r="D35" s="15" t="s">
        <v>476</v>
      </c>
      <c r="E35" s="16" t="s">
        <v>476</v>
      </c>
      <c r="F35" s="17" t="str">
        <f>+"20-NOV-2009"</f>
        <v>20-NOV-2009</v>
      </c>
      <c r="G35" s="48"/>
      <c r="H35" s="86" t="str">
        <f>+"16-JAN-2014"</f>
        <v>16-JAN-2014</v>
      </c>
      <c r="I35" s="16">
        <v>41719</v>
      </c>
      <c r="J35" s="47">
        <f t="shared" si="1"/>
        <v>362</v>
      </c>
      <c r="K35" s="16"/>
      <c r="L35" s="86" t="s">
        <v>19</v>
      </c>
      <c r="M35" s="1" t="s">
        <v>408</v>
      </c>
      <c r="N35" s="86" t="s">
        <v>11</v>
      </c>
      <c r="O35" s="86" t="s">
        <v>14</v>
      </c>
      <c r="P35" s="86" t="s">
        <v>36</v>
      </c>
      <c r="Q35" s="7" t="s">
        <v>111</v>
      </c>
    </row>
    <row r="36" spans="1:17" ht="105.95" customHeight="1" x14ac:dyDescent="0.25">
      <c r="A36" s="86" t="s">
        <v>165</v>
      </c>
      <c r="B36" s="15" t="s">
        <v>476</v>
      </c>
      <c r="C36" s="16" t="s">
        <v>476</v>
      </c>
      <c r="D36" s="15" t="s">
        <v>476</v>
      </c>
      <c r="E36" s="16">
        <v>41540</v>
      </c>
      <c r="F36" s="17" t="str">
        <f>+"17-MAY-2013"</f>
        <v>17-MAY-2013</v>
      </c>
      <c r="G36" s="48"/>
      <c r="H36" s="86" t="str">
        <f>+"14-NOV-2013"</f>
        <v>14-NOV-2013</v>
      </c>
      <c r="I36" s="16">
        <v>41737</v>
      </c>
      <c r="J36" s="47">
        <f t="shared" si="1"/>
        <v>344</v>
      </c>
      <c r="K36" s="16">
        <v>41540</v>
      </c>
      <c r="L36" s="86" t="s">
        <v>10</v>
      </c>
      <c r="M36" s="1" t="s">
        <v>166</v>
      </c>
      <c r="N36" s="86" t="s">
        <v>11</v>
      </c>
      <c r="O36" s="86" t="s">
        <v>14</v>
      </c>
      <c r="P36" s="86" t="s">
        <v>21</v>
      </c>
      <c r="Q36" s="7" t="s">
        <v>22</v>
      </c>
    </row>
    <row r="37" spans="1:17" ht="112.15" customHeight="1" x14ac:dyDescent="0.25">
      <c r="A37" s="86" t="s">
        <v>83</v>
      </c>
      <c r="B37" s="15" t="s">
        <v>476</v>
      </c>
      <c r="C37" s="16">
        <v>40820</v>
      </c>
      <c r="D37" s="15" t="s">
        <v>476</v>
      </c>
      <c r="E37" s="16">
        <v>41089</v>
      </c>
      <c r="F37" s="17" t="str">
        <f>+"11-JUL-2011"</f>
        <v>11-JUL-2011</v>
      </c>
      <c r="G37" s="48"/>
      <c r="H37" s="86" t="str">
        <f>+"01-MAY-2014"</f>
        <v>01-MAY-2014</v>
      </c>
      <c r="I37" s="16">
        <v>41799</v>
      </c>
      <c r="J37" s="47">
        <f t="shared" si="1"/>
        <v>282</v>
      </c>
      <c r="K37" s="16">
        <v>41180</v>
      </c>
      <c r="L37" s="86" t="s">
        <v>10</v>
      </c>
      <c r="M37" s="1" t="s">
        <v>84</v>
      </c>
      <c r="N37" s="86" t="s">
        <v>11</v>
      </c>
      <c r="O37" s="86" t="s">
        <v>17</v>
      </c>
      <c r="P37" s="86" t="s">
        <v>41</v>
      </c>
      <c r="Q37" s="7" t="s">
        <v>62</v>
      </c>
    </row>
    <row r="38" spans="1:17" ht="90" customHeight="1" x14ac:dyDescent="0.25">
      <c r="A38" s="1" t="s">
        <v>405</v>
      </c>
      <c r="B38" s="15" t="s">
        <v>476</v>
      </c>
      <c r="C38" s="16">
        <v>40543</v>
      </c>
      <c r="D38" s="15" t="s">
        <v>476</v>
      </c>
      <c r="E38" s="16" t="s">
        <v>476</v>
      </c>
      <c r="F38" s="17" t="str">
        <f>+"18-JUN-2009"</f>
        <v>18-JUN-2009</v>
      </c>
      <c r="G38" s="48"/>
      <c r="H38" s="1" t="str">
        <f>+"12-JUN-2014"</f>
        <v>12-JUN-2014</v>
      </c>
      <c r="I38" s="16">
        <v>41803</v>
      </c>
      <c r="J38" s="47">
        <f t="shared" si="1"/>
        <v>278</v>
      </c>
      <c r="K38" s="16"/>
      <c r="L38" s="1" t="s">
        <v>19</v>
      </c>
      <c r="M38" s="1" t="s">
        <v>406</v>
      </c>
      <c r="N38" s="86" t="s">
        <v>11</v>
      </c>
      <c r="O38" s="1" t="s">
        <v>25</v>
      </c>
      <c r="P38" s="1" t="s">
        <v>652</v>
      </c>
      <c r="Q38" s="7" t="s">
        <v>501</v>
      </c>
    </row>
    <row r="39" spans="1:17" ht="117.75" customHeight="1" x14ac:dyDescent="0.25">
      <c r="A39" s="1" t="s">
        <v>411</v>
      </c>
      <c r="B39" s="15" t="s">
        <v>476</v>
      </c>
      <c r="C39" s="16">
        <v>40772</v>
      </c>
      <c r="D39" s="15" t="s">
        <v>476</v>
      </c>
      <c r="E39" s="16" t="s">
        <v>476</v>
      </c>
      <c r="F39" s="17" t="str">
        <f>+"04-FEB-2010"</f>
        <v>04-FEB-2010</v>
      </c>
      <c r="G39" s="48"/>
      <c r="H39" s="1" t="str">
        <f>+"26-JUN-2014"</f>
        <v>26-JUN-2014</v>
      </c>
      <c r="I39" s="16">
        <v>41817</v>
      </c>
      <c r="J39" s="47">
        <f t="shared" si="1"/>
        <v>264</v>
      </c>
      <c r="K39" s="16"/>
      <c r="L39" s="1" t="s">
        <v>19</v>
      </c>
      <c r="M39" s="1" t="s">
        <v>412</v>
      </c>
      <c r="N39" s="86" t="s">
        <v>11</v>
      </c>
      <c r="O39" s="1" t="s">
        <v>14</v>
      </c>
      <c r="P39" s="1" t="s">
        <v>21</v>
      </c>
      <c r="Q39" s="7" t="s">
        <v>37</v>
      </c>
    </row>
    <row r="40" spans="1:17" ht="125.1" customHeight="1" x14ac:dyDescent="0.25">
      <c r="A40" s="1" t="s">
        <v>397</v>
      </c>
      <c r="B40" s="15" t="s">
        <v>476</v>
      </c>
      <c r="C40" s="16">
        <v>39209</v>
      </c>
      <c r="D40" s="15" t="s">
        <v>476</v>
      </c>
      <c r="E40" s="16" t="s">
        <v>476</v>
      </c>
      <c r="F40" s="17" t="str">
        <f>+"05-OCT-2006"</f>
        <v>05-OCT-2006</v>
      </c>
      <c r="G40" s="48"/>
      <c r="H40" s="1" t="str">
        <f>+"16-APR-2009"</f>
        <v>16-APR-2009</v>
      </c>
      <c r="I40" s="16">
        <v>41823</v>
      </c>
      <c r="J40" s="47">
        <f t="shared" si="1"/>
        <v>258</v>
      </c>
      <c r="K40" s="16"/>
      <c r="L40" s="1" t="s">
        <v>19</v>
      </c>
      <c r="M40" s="1" t="s">
        <v>398</v>
      </c>
      <c r="N40" s="86" t="s">
        <v>11</v>
      </c>
      <c r="O40" s="1" t="s">
        <v>25</v>
      </c>
      <c r="P40" s="1" t="s">
        <v>652</v>
      </c>
      <c r="Q40" s="7" t="s">
        <v>394</v>
      </c>
    </row>
    <row r="41" spans="1:17" ht="90" customHeight="1" x14ac:dyDescent="0.25">
      <c r="A41" s="1" t="s">
        <v>89</v>
      </c>
      <c r="B41" s="15" t="s">
        <v>476</v>
      </c>
      <c r="C41" s="16">
        <v>40963</v>
      </c>
      <c r="D41" s="15" t="s">
        <v>476</v>
      </c>
      <c r="E41" s="16">
        <v>41449</v>
      </c>
      <c r="F41" s="17" t="str">
        <f>+"01-NOV-2011"</f>
        <v>01-NOV-2011</v>
      </c>
      <c r="G41" s="48"/>
      <c r="H41" s="1" t="str">
        <f>+"12-JUN-2014"</f>
        <v>12-JUN-2014</v>
      </c>
      <c r="I41" s="16">
        <v>41841</v>
      </c>
      <c r="J41" s="47">
        <f t="shared" si="1"/>
        <v>240</v>
      </c>
      <c r="K41" s="16">
        <v>41225</v>
      </c>
      <c r="L41" s="1" t="s">
        <v>10</v>
      </c>
      <c r="M41" s="1" t="s">
        <v>90</v>
      </c>
      <c r="N41" s="86" t="s">
        <v>11</v>
      </c>
      <c r="O41" s="1" t="s">
        <v>59</v>
      </c>
      <c r="P41" s="1" t="s">
        <v>21</v>
      </c>
      <c r="Q41" s="7" t="s">
        <v>492</v>
      </c>
    </row>
    <row r="42" spans="1:17" ht="90" customHeight="1" x14ac:dyDescent="0.25">
      <c r="A42" s="86" t="s">
        <v>34</v>
      </c>
      <c r="B42" s="15" t="s">
        <v>476</v>
      </c>
      <c r="C42" s="16">
        <v>40003</v>
      </c>
      <c r="D42" s="15" t="s">
        <v>476</v>
      </c>
      <c r="E42" s="16">
        <v>40863</v>
      </c>
      <c r="F42" s="17" t="str">
        <f>+"29-AUG-2008"</f>
        <v>29-AUG-2008</v>
      </c>
      <c r="G42" s="48"/>
      <c r="H42" s="86" t="str">
        <f>+"26-JUN-2014"</f>
        <v>26-JUN-2014</v>
      </c>
      <c r="I42" s="16">
        <v>41851</v>
      </c>
      <c r="J42" s="47">
        <f t="shared" si="1"/>
        <v>230</v>
      </c>
      <c r="K42" s="16">
        <v>41054</v>
      </c>
      <c r="L42" s="86" t="s">
        <v>10</v>
      </c>
      <c r="M42" s="86" t="s">
        <v>35</v>
      </c>
      <c r="N42" s="86" t="s">
        <v>11</v>
      </c>
      <c r="O42" s="86" t="s">
        <v>17</v>
      </c>
      <c r="P42" s="86" t="s">
        <v>652</v>
      </c>
      <c r="Q42" s="89" t="s">
        <v>502</v>
      </c>
    </row>
    <row r="43" spans="1:17" ht="90" customHeight="1" x14ac:dyDescent="0.25">
      <c r="A43" s="82" t="s">
        <v>617</v>
      </c>
      <c r="B43" s="31">
        <v>40792</v>
      </c>
      <c r="C43" s="31">
        <v>40812</v>
      </c>
      <c r="D43" s="82" t="s">
        <v>476</v>
      </c>
      <c r="E43" s="31">
        <v>41036</v>
      </c>
      <c r="F43" s="31">
        <v>40679</v>
      </c>
      <c r="G43" s="82"/>
      <c r="H43" s="31">
        <v>41865</v>
      </c>
      <c r="I43" s="44">
        <v>41880</v>
      </c>
      <c r="J43" s="47">
        <f t="shared" si="1"/>
        <v>201</v>
      </c>
      <c r="K43" s="44"/>
      <c r="L43" s="82" t="s">
        <v>19</v>
      </c>
      <c r="M43" s="86" t="s">
        <v>618</v>
      </c>
      <c r="N43" s="86" t="s">
        <v>11</v>
      </c>
      <c r="O43" s="82" t="s">
        <v>42</v>
      </c>
      <c r="P43" s="86" t="s">
        <v>15</v>
      </c>
      <c r="Q43" s="86" t="s">
        <v>72</v>
      </c>
    </row>
    <row r="44" spans="1:17" ht="90" customHeight="1" x14ac:dyDescent="0.25">
      <c r="A44" s="82" t="s">
        <v>611</v>
      </c>
      <c r="B44" s="31">
        <v>40763</v>
      </c>
      <c r="C44" s="31">
        <v>40812</v>
      </c>
      <c r="D44" s="82" t="s">
        <v>476</v>
      </c>
      <c r="E44" s="31">
        <v>41036</v>
      </c>
      <c r="F44" s="31">
        <v>40679</v>
      </c>
      <c r="G44" s="82"/>
      <c r="H44" s="31">
        <v>41865</v>
      </c>
      <c r="I44" s="44">
        <v>41880</v>
      </c>
      <c r="J44" s="47">
        <f t="shared" si="1"/>
        <v>201</v>
      </c>
      <c r="K44" s="44"/>
      <c r="L44" s="82" t="s">
        <v>19</v>
      </c>
      <c r="M44" s="86" t="s">
        <v>612</v>
      </c>
      <c r="N44" s="86" t="s">
        <v>11</v>
      </c>
      <c r="O44" s="82" t="s">
        <v>42</v>
      </c>
      <c r="P44" s="86" t="s">
        <v>15</v>
      </c>
      <c r="Q44" s="86" t="s">
        <v>72</v>
      </c>
    </row>
    <row r="45" spans="1:17" ht="90" customHeight="1" x14ac:dyDescent="0.25">
      <c r="A45" s="82" t="s">
        <v>613</v>
      </c>
      <c r="B45" s="31">
        <v>40763</v>
      </c>
      <c r="C45" s="31">
        <v>40812</v>
      </c>
      <c r="D45" s="82" t="s">
        <v>476</v>
      </c>
      <c r="E45" s="31">
        <v>41036</v>
      </c>
      <c r="F45" s="31">
        <v>40679</v>
      </c>
      <c r="G45" s="82"/>
      <c r="H45" s="31">
        <v>41865</v>
      </c>
      <c r="I45" s="44">
        <v>41880</v>
      </c>
      <c r="J45" s="47">
        <f t="shared" si="1"/>
        <v>201</v>
      </c>
      <c r="K45" s="44"/>
      <c r="L45" s="82" t="s">
        <v>19</v>
      </c>
      <c r="M45" s="1" t="s">
        <v>614</v>
      </c>
      <c r="N45" s="86" t="s">
        <v>11</v>
      </c>
      <c r="O45" s="82" t="s">
        <v>42</v>
      </c>
      <c r="P45" s="1" t="s">
        <v>15</v>
      </c>
      <c r="Q45" s="86" t="s">
        <v>72</v>
      </c>
    </row>
    <row r="46" spans="1:17" ht="90" customHeight="1" x14ac:dyDescent="0.25">
      <c r="A46" s="82" t="s">
        <v>615</v>
      </c>
      <c r="B46" s="31">
        <v>40763</v>
      </c>
      <c r="C46" s="31">
        <v>40812</v>
      </c>
      <c r="D46" s="82" t="s">
        <v>476</v>
      </c>
      <c r="E46" s="31">
        <v>41036</v>
      </c>
      <c r="F46" s="31">
        <v>40679</v>
      </c>
      <c r="G46" s="82"/>
      <c r="H46" s="31">
        <v>41865</v>
      </c>
      <c r="I46" s="44">
        <v>41880</v>
      </c>
      <c r="J46" s="47">
        <f t="shared" si="1"/>
        <v>201</v>
      </c>
      <c r="K46" s="44"/>
      <c r="L46" s="82" t="s">
        <v>19</v>
      </c>
      <c r="M46" s="1" t="s">
        <v>616</v>
      </c>
      <c r="N46" s="86" t="s">
        <v>11</v>
      </c>
      <c r="O46" s="82" t="s">
        <v>42</v>
      </c>
      <c r="P46" s="1" t="s">
        <v>15</v>
      </c>
      <c r="Q46" s="86" t="s">
        <v>72</v>
      </c>
    </row>
    <row r="47" spans="1:17" ht="90" customHeight="1" x14ac:dyDescent="0.25">
      <c r="A47" s="1" t="s">
        <v>526</v>
      </c>
      <c r="B47" s="15">
        <v>40952</v>
      </c>
      <c r="C47" s="16">
        <v>40983</v>
      </c>
      <c r="D47" s="15">
        <v>41386</v>
      </c>
      <c r="E47" s="16" t="s">
        <v>476</v>
      </c>
      <c r="F47" s="86" t="str">
        <f>+"03-JAN-2012"</f>
        <v>03-JAN-2012</v>
      </c>
      <c r="G47" s="48"/>
      <c r="H47" s="1" t="str">
        <f>+"14-AUG-2014"</f>
        <v>14-AUG-2014</v>
      </c>
      <c r="I47" s="16">
        <v>41897</v>
      </c>
      <c r="J47" s="47">
        <f t="shared" si="1"/>
        <v>184</v>
      </c>
      <c r="K47" s="16"/>
      <c r="L47" s="1" t="s">
        <v>10</v>
      </c>
      <c r="M47" s="1" t="s">
        <v>543</v>
      </c>
      <c r="N47" s="86" t="s">
        <v>11</v>
      </c>
      <c r="O47" s="1" t="s">
        <v>17</v>
      </c>
      <c r="P47" s="1" t="s">
        <v>15</v>
      </c>
      <c r="Q47" s="7" t="s">
        <v>527</v>
      </c>
    </row>
    <row r="48" spans="1:17" ht="110.85" customHeight="1" x14ac:dyDescent="0.25">
      <c r="A48" s="1" t="s">
        <v>534</v>
      </c>
      <c r="B48" s="15">
        <v>41085</v>
      </c>
      <c r="C48" s="16">
        <v>41115</v>
      </c>
      <c r="D48" s="15" t="s">
        <v>476</v>
      </c>
      <c r="E48" s="16" t="s">
        <v>476</v>
      </c>
      <c r="F48" s="86" t="str">
        <f>+"19-APR-2012"</f>
        <v>19-APR-2012</v>
      </c>
      <c r="G48" s="48"/>
      <c r="H48" s="1" t="str">
        <f>+"15-SEP-2014"</f>
        <v>15-SEP-2014</v>
      </c>
      <c r="I48" s="16">
        <v>41918</v>
      </c>
      <c r="J48" s="47">
        <f t="shared" si="1"/>
        <v>163</v>
      </c>
      <c r="K48" s="16"/>
      <c r="L48" s="1" t="s">
        <v>19</v>
      </c>
      <c r="M48" s="1" t="s">
        <v>550</v>
      </c>
      <c r="N48" s="86" t="s">
        <v>11</v>
      </c>
      <c r="O48" s="1" t="s">
        <v>14</v>
      </c>
      <c r="P48" s="1" t="s">
        <v>21</v>
      </c>
      <c r="Q48" s="7" t="s">
        <v>557</v>
      </c>
    </row>
    <row r="49" spans="1:17" ht="90" customHeight="1" x14ac:dyDescent="0.25">
      <c r="A49" s="82" t="s">
        <v>559</v>
      </c>
      <c r="B49" s="15" t="s">
        <v>476</v>
      </c>
      <c r="C49" s="15" t="s">
        <v>476</v>
      </c>
      <c r="D49" s="15" t="s">
        <v>476</v>
      </c>
      <c r="E49" s="15" t="s">
        <v>476</v>
      </c>
      <c r="F49" s="82" t="str">
        <f>+"20-SEP-2010"</f>
        <v>20-SEP-2010</v>
      </c>
      <c r="G49" s="48"/>
      <c r="H49" s="82" t="str">
        <f>+"27-FEB-2014"</f>
        <v>27-FEB-2014</v>
      </c>
      <c r="I49" s="44">
        <v>41935</v>
      </c>
      <c r="J49" s="47">
        <f t="shared" si="1"/>
        <v>146</v>
      </c>
      <c r="K49" s="41"/>
      <c r="L49" s="82" t="s">
        <v>19</v>
      </c>
      <c r="M49" s="1" t="s">
        <v>569</v>
      </c>
      <c r="N49" s="86" t="s">
        <v>11</v>
      </c>
      <c r="O49" s="82" t="s">
        <v>14</v>
      </c>
      <c r="P49" s="1" t="s">
        <v>21</v>
      </c>
      <c r="Q49" s="85" t="s">
        <v>575</v>
      </c>
    </row>
    <row r="50" spans="1:17" ht="90" customHeight="1" x14ac:dyDescent="0.25">
      <c r="A50" s="82" t="s">
        <v>560</v>
      </c>
      <c r="B50" s="15">
        <v>41239</v>
      </c>
      <c r="C50" s="16">
        <v>41292</v>
      </c>
      <c r="D50" s="15" t="s">
        <v>476</v>
      </c>
      <c r="E50" s="16" t="s">
        <v>476</v>
      </c>
      <c r="F50" s="82" t="str">
        <f>+"02-AUG-2012"</f>
        <v>02-AUG-2012</v>
      </c>
      <c r="G50" s="48"/>
      <c r="H50" s="82" t="str">
        <f>+"19-DEC-2013"</f>
        <v>19-DEC-2013</v>
      </c>
      <c r="I50" s="44">
        <v>41942</v>
      </c>
      <c r="J50" s="47">
        <f t="shared" si="1"/>
        <v>139</v>
      </c>
      <c r="K50" s="41"/>
      <c r="L50" s="82" t="s">
        <v>19</v>
      </c>
      <c r="M50" s="1" t="s">
        <v>570</v>
      </c>
      <c r="N50" s="86" t="s">
        <v>11</v>
      </c>
      <c r="O50" s="82" t="s">
        <v>42</v>
      </c>
      <c r="P50" s="82" t="s">
        <v>36</v>
      </c>
      <c r="Q50" s="85" t="s">
        <v>47</v>
      </c>
    </row>
    <row r="51" spans="1:17" ht="90" customHeight="1" x14ac:dyDescent="0.25">
      <c r="A51" s="82" t="s">
        <v>561</v>
      </c>
      <c r="B51" s="15">
        <v>41239</v>
      </c>
      <c r="C51" s="16">
        <v>41292</v>
      </c>
      <c r="D51" s="15" t="s">
        <v>476</v>
      </c>
      <c r="E51" s="16" t="s">
        <v>476</v>
      </c>
      <c r="F51" s="82" t="str">
        <f>+"03-AUG-2012"</f>
        <v>03-AUG-2012</v>
      </c>
      <c r="G51" s="48"/>
      <c r="H51" s="82" t="str">
        <f>+"19-DEC-2013"</f>
        <v>19-DEC-2013</v>
      </c>
      <c r="I51" s="44">
        <v>41942</v>
      </c>
      <c r="J51" s="47">
        <f t="shared" si="1"/>
        <v>139</v>
      </c>
      <c r="K51" s="41"/>
      <c r="L51" s="82" t="s">
        <v>19</v>
      </c>
      <c r="M51" s="1" t="s">
        <v>571</v>
      </c>
      <c r="N51" s="86" t="s">
        <v>11</v>
      </c>
      <c r="O51" s="82" t="s">
        <v>14</v>
      </c>
      <c r="P51" s="82" t="s">
        <v>36</v>
      </c>
      <c r="Q51" s="85" t="s">
        <v>47</v>
      </c>
    </row>
    <row r="52" spans="1:17" ht="109.35" customHeight="1" x14ac:dyDescent="0.25">
      <c r="A52" s="82" t="s">
        <v>562</v>
      </c>
      <c r="B52" s="15">
        <v>41239</v>
      </c>
      <c r="C52" s="16">
        <v>41292</v>
      </c>
      <c r="D52" s="15" t="s">
        <v>476</v>
      </c>
      <c r="E52" s="16" t="s">
        <v>476</v>
      </c>
      <c r="F52" s="82" t="str">
        <f>+"03-AUG-2012"</f>
        <v>03-AUG-2012</v>
      </c>
      <c r="G52" s="48"/>
      <c r="H52" s="82" t="str">
        <f>+"19-DEC-2013"</f>
        <v>19-DEC-2013</v>
      </c>
      <c r="I52" s="44">
        <v>41942</v>
      </c>
      <c r="J52" s="47">
        <f t="shared" si="1"/>
        <v>139</v>
      </c>
      <c r="K52" s="41"/>
      <c r="L52" s="82" t="s">
        <v>19</v>
      </c>
      <c r="M52" s="1" t="s">
        <v>572</v>
      </c>
      <c r="N52" s="86" t="s">
        <v>11</v>
      </c>
      <c r="O52" s="82" t="s">
        <v>42</v>
      </c>
      <c r="P52" s="82" t="s">
        <v>36</v>
      </c>
      <c r="Q52" s="85" t="s">
        <v>47</v>
      </c>
    </row>
    <row r="53" spans="1:17" ht="90" customHeight="1" x14ac:dyDescent="0.25">
      <c r="A53" s="82" t="s">
        <v>563</v>
      </c>
      <c r="B53" s="15">
        <v>41239</v>
      </c>
      <c r="C53" s="16">
        <v>41292</v>
      </c>
      <c r="D53" s="15" t="s">
        <v>476</v>
      </c>
      <c r="E53" s="16" t="s">
        <v>476</v>
      </c>
      <c r="F53" s="82" t="str">
        <f>+"03-AUG-2012"</f>
        <v>03-AUG-2012</v>
      </c>
      <c r="G53" s="48"/>
      <c r="H53" s="82" t="str">
        <f>+"19-DEC-2013"</f>
        <v>19-DEC-2013</v>
      </c>
      <c r="I53" s="44">
        <v>41942</v>
      </c>
      <c r="J53" s="47">
        <f t="shared" si="1"/>
        <v>139</v>
      </c>
      <c r="K53" s="41"/>
      <c r="L53" s="82" t="s">
        <v>19</v>
      </c>
      <c r="M53" s="1" t="s">
        <v>573</v>
      </c>
      <c r="N53" s="86" t="s">
        <v>11</v>
      </c>
      <c r="O53" s="82" t="s">
        <v>59</v>
      </c>
      <c r="P53" s="82" t="s">
        <v>36</v>
      </c>
      <c r="Q53" s="7" t="s">
        <v>47</v>
      </c>
    </row>
    <row r="54" spans="1:17" ht="105.95" customHeight="1" x14ac:dyDescent="0.25">
      <c r="A54" s="82" t="s">
        <v>558</v>
      </c>
      <c r="B54" s="15">
        <v>39321</v>
      </c>
      <c r="C54" s="16">
        <v>39889</v>
      </c>
      <c r="D54" s="15">
        <v>40002</v>
      </c>
      <c r="E54" s="16">
        <v>41407</v>
      </c>
      <c r="F54" s="82" t="str">
        <f>+"29-JUN-2007"</f>
        <v>29-JUN-2007</v>
      </c>
      <c r="G54" s="48"/>
      <c r="H54" s="82" t="str">
        <f>+"14-AUG-2014"</f>
        <v>14-AUG-2014</v>
      </c>
      <c r="I54" s="44">
        <v>41943</v>
      </c>
      <c r="J54" s="47">
        <f t="shared" si="1"/>
        <v>138</v>
      </c>
      <c r="K54" s="44">
        <v>41407</v>
      </c>
      <c r="L54" s="82" t="s">
        <v>10</v>
      </c>
      <c r="M54" s="1" t="s">
        <v>567</v>
      </c>
      <c r="N54" s="86" t="s">
        <v>11</v>
      </c>
      <c r="O54" s="82" t="s">
        <v>14</v>
      </c>
      <c r="P54" s="1" t="s">
        <v>15</v>
      </c>
      <c r="Q54" s="7" t="s">
        <v>568</v>
      </c>
    </row>
    <row r="55" spans="1:17" ht="90" customHeight="1" x14ac:dyDescent="0.25">
      <c r="A55" s="1" t="s">
        <v>607</v>
      </c>
      <c r="B55" s="15">
        <v>41007</v>
      </c>
      <c r="C55" s="16">
        <v>41046</v>
      </c>
      <c r="D55" s="15">
        <v>41575</v>
      </c>
      <c r="E55" s="41">
        <v>41624</v>
      </c>
      <c r="F55" s="87" t="str">
        <f>+"22-MAR-2012"</f>
        <v>22-MAR-2012</v>
      </c>
      <c r="G55" s="48"/>
      <c r="H55" s="82" t="str">
        <f>+"20-NOV-2014"</f>
        <v>20-NOV-2014</v>
      </c>
      <c r="I55" s="44">
        <v>41964</v>
      </c>
      <c r="J55" s="47">
        <f t="shared" si="1"/>
        <v>117</v>
      </c>
      <c r="K55" s="44">
        <v>41624</v>
      </c>
      <c r="L55" s="1" t="s">
        <v>10</v>
      </c>
      <c r="M55" s="1" t="s">
        <v>431</v>
      </c>
      <c r="N55" s="86" t="s">
        <v>11</v>
      </c>
      <c r="O55" s="1" t="s">
        <v>14</v>
      </c>
      <c r="P55" s="1" t="s">
        <v>21</v>
      </c>
      <c r="Q55" s="7" t="s">
        <v>609</v>
      </c>
    </row>
    <row r="56" spans="1:17" ht="90" customHeight="1" x14ac:dyDescent="0.25">
      <c r="A56" s="82" t="s">
        <v>623</v>
      </c>
      <c r="B56" s="15" t="s">
        <v>476</v>
      </c>
      <c r="C56" s="44">
        <v>40470</v>
      </c>
      <c r="D56" s="15" t="s">
        <v>476</v>
      </c>
      <c r="E56" s="15" t="s">
        <v>476</v>
      </c>
      <c r="F56" s="87" t="str">
        <f>+"04-NOV-2008"</f>
        <v>04-NOV-2008</v>
      </c>
      <c r="G56" s="48"/>
      <c r="H56" s="87" t="str">
        <f>+"02-OCT-2014"</f>
        <v>02-OCT-2014</v>
      </c>
      <c r="I56" s="44">
        <v>41989</v>
      </c>
      <c r="J56" s="47">
        <f t="shared" si="1"/>
        <v>92</v>
      </c>
      <c r="K56" s="16"/>
      <c r="L56" s="1" t="s">
        <v>19</v>
      </c>
      <c r="M56" s="1" t="s">
        <v>634</v>
      </c>
      <c r="N56" s="86" t="s">
        <v>11</v>
      </c>
      <c r="O56" s="1" t="s">
        <v>14</v>
      </c>
      <c r="P56" s="1" t="s">
        <v>21</v>
      </c>
      <c r="Q56" s="83" t="s">
        <v>22</v>
      </c>
    </row>
    <row r="57" spans="1:17" ht="106.7" customHeight="1" x14ac:dyDescent="0.25">
      <c r="A57" s="82" t="s">
        <v>629</v>
      </c>
      <c r="B57" s="15" t="s">
        <v>476</v>
      </c>
      <c r="C57" s="44">
        <v>38142</v>
      </c>
      <c r="D57" s="44" t="s">
        <v>476</v>
      </c>
      <c r="E57" s="44">
        <v>38796</v>
      </c>
      <c r="F57" s="82" t="str">
        <f>+"01-APR-2004"</f>
        <v>01-APR-2004</v>
      </c>
      <c r="G57" s="48"/>
      <c r="H57" s="82" t="str">
        <f>+"02-OCT-2014"</f>
        <v>02-OCT-2014</v>
      </c>
      <c r="I57" s="44">
        <v>41989</v>
      </c>
      <c r="J57" s="47">
        <f t="shared" si="1"/>
        <v>92</v>
      </c>
      <c r="K57" s="44">
        <v>38877</v>
      </c>
      <c r="L57" s="82" t="s">
        <v>10</v>
      </c>
      <c r="M57" s="1" t="s">
        <v>635</v>
      </c>
      <c r="N57" s="86" t="s">
        <v>11</v>
      </c>
      <c r="O57" s="82" t="s">
        <v>14</v>
      </c>
      <c r="P57" s="81" t="s">
        <v>21</v>
      </c>
      <c r="Q57" s="83" t="s">
        <v>22</v>
      </c>
    </row>
    <row r="58" spans="1:17" ht="120.2" customHeight="1" x14ac:dyDescent="0.25">
      <c r="A58" s="82" t="s">
        <v>630</v>
      </c>
      <c r="B58" s="15" t="s">
        <v>476</v>
      </c>
      <c r="C58" s="44">
        <v>38356</v>
      </c>
      <c r="D58" s="44" t="s">
        <v>476</v>
      </c>
      <c r="E58" s="44">
        <v>38796</v>
      </c>
      <c r="F58" s="82" t="str">
        <f>+"22-APR-2004"</f>
        <v>22-APR-2004</v>
      </c>
      <c r="G58" s="48"/>
      <c r="H58" s="82" t="str">
        <f>+"02-OCT-2014"</f>
        <v>02-OCT-2014</v>
      </c>
      <c r="I58" s="44">
        <v>41989</v>
      </c>
      <c r="J58" s="47">
        <f t="shared" si="1"/>
        <v>92</v>
      </c>
      <c r="K58" s="44">
        <v>38877</v>
      </c>
      <c r="L58" s="82" t="s">
        <v>10</v>
      </c>
      <c r="M58" s="1" t="s">
        <v>636</v>
      </c>
      <c r="N58" s="86" t="s">
        <v>11</v>
      </c>
      <c r="O58" s="82" t="s">
        <v>14</v>
      </c>
      <c r="P58" s="81" t="s">
        <v>21</v>
      </c>
      <c r="Q58" s="83" t="s">
        <v>22</v>
      </c>
    </row>
    <row r="59" spans="1:17" ht="90" customHeight="1" x14ac:dyDescent="0.25">
      <c r="A59" s="82" t="s">
        <v>631</v>
      </c>
      <c r="B59" s="15" t="s">
        <v>476</v>
      </c>
      <c r="C59" s="44">
        <v>38985</v>
      </c>
      <c r="D59" s="44" t="s">
        <v>476</v>
      </c>
      <c r="E59" s="44">
        <v>39647</v>
      </c>
      <c r="F59" s="82" t="str">
        <f>+"16-FEB-2006"</f>
        <v>16-FEB-2006</v>
      </c>
      <c r="G59" s="48"/>
      <c r="H59" s="82" t="str">
        <f>+"02-OCT-2014"</f>
        <v>02-OCT-2014</v>
      </c>
      <c r="I59" s="44">
        <v>41989</v>
      </c>
      <c r="J59" s="47">
        <f t="shared" si="1"/>
        <v>92</v>
      </c>
      <c r="K59" s="44">
        <v>39401</v>
      </c>
      <c r="L59" s="82" t="s">
        <v>10</v>
      </c>
      <c r="M59" s="1" t="s">
        <v>637</v>
      </c>
      <c r="N59" s="86" t="s">
        <v>11</v>
      </c>
      <c r="O59" s="82" t="s">
        <v>14</v>
      </c>
      <c r="P59" s="81" t="s">
        <v>41</v>
      </c>
      <c r="Q59" s="83" t="s">
        <v>22</v>
      </c>
    </row>
    <row r="60" spans="1:17" ht="90" customHeight="1" x14ac:dyDescent="0.25">
      <c r="A60" s="30" t="s">
        <v>632</v>
      </c>
      <c r="B60" s="44" t="s">
        <v>476</v>
      </c>
      <c r="C60" s="44">
        <v>36529</v>
      </c>
      <c r="D60" s="44" t="s">
        <v>476</v>
      </c>
      <c r="E60" s="44">
        <v>38943</v>
      </c>
      <c r="F60" s="45" t="str">
        <f>+"18-NOV-1999"</f>
        <v>18-NOV-1999</v>
      </c>
      <c r="G60" s="86"/>
      <c r="H60" s="30" t="str">
        <f>+"08-MAR-2012"</f>
        <v>08-MAR-2012</v>
      </c>
      <c r="I60" s="44">
        <v>41989</v>
      </c>
      <c r="J60" s="47">
        <f t="shared" si="1"/>
        <v>92</v>
      </c>
      <c r="K60" s="44">
        <v>38877</v>
      </c>
      <c r="L60" s="30" t="s">
        <v>10</v>
      </c>
      <c r="M60" s="1" t="s">
        <v>638</v>
      </c>
      <c r="N60" s="86" t="s">
        <v>11</v>
      </c>
      <c r="O60" s="30" t="s">
        <v>14</v>
      </c>
      <c r="P60" s="81" t="s">
        <v>21</v>
      </c>
      <c r="Q60" s="83" t="s">
        <v>22</v>
      </c>
    </row>
    <row r="61" spans="1:17" ht="90" customHeight="1" x14ac:dyDescent="0.25">
      <c r="A61" s="30" t="s">
        <v>650</v>
      </c>
      <c r="B61" s="15">
        <v>39092</v>
      </c>
      <c r="C61" s="15">
        <v>39105</v>
      </c>
      <c r="D61" s="15">
        <v>39136</v>
      </c>
      <c r="E61" s="15">
        <v>39174</v>
      </c>
      <c r="F61" s="30" t="str">
        <f>+"18-SEP-2006"</f>
        <v>18-SEP-2006</v>
      </c>
      <c r="G61" s="15"/>
      <c r="H61" s="30" t="str">
        <f>+"22-SEP-2011"</f>
        <v>22-SEP-2011</v>
      </c>
      <c r="I61" s="31">
        <v>41997</v>
      </c>
      <c r="J61" s="47">
        <f t="shared" si="1"/>
        <v>84</v>
      </c>
      <c r="K61" s="31">
        <v>39174</v>
      </c>
      <c r="L61" s="30" t="s">
        <v>19</v>
      </c>
      <c r="M61" s="1" t="s">
        <v>671</v>
      </c>
      <c r="N61" s="86" t="s">
        <v>11</v>
      </c>
      <c r="O61" s="86" t="s">
        <v>12</v>
      </c>
      <c r="P61" s="1" t="s">
        <v>41</v>
      </c>
      <c r="Q61" s="89" t="s">
        <v>54</v>
      </c>
    </row>
    <row r="62" spans="1:17" ht="148.69999999999999" customHeight="1" x14ac:dyDescent="0.25">
      <c r="A62" s="82" t="s">
        <v>651</v>
      </c>
      <c r="B62" s="15">
        <v>39092</v>
      </c>
      <c r="C62" s="15">
        <v>39105</v>
      </c>
      <c r="D62" s="15">
        <v>39136</v>
      </c>
      <c r="E62" s="15">
        <v>39174</v>
      </c>
      <c r="F62" s="82" t="str">
        <f>+"22-SEP-2006"</f>
        <v>22-SEP-2006</v>
      </c>
      <c r="G62" s="15"/>
      <c r="H62" s="30" t="str">
        <f>+"22-SEP-2011"</f>
        <v>22-SEP-2011</v>
      </c>
      <c r="I62" s="31">
        <v>41997</v>
      </c>
      <c r="J62" s="47">
        <f t="shared" si="1"/>
        <v>84</v>
      </c>
      <c r="K62" s="31">
        <v>39174</v>
      </c>
      <c r="L62" s="82" t="s">
        <v>19</v>
      </c>
      <c r="M62" s="1" t="s">
        <v>672</v>
      </c>
      <c r="N62" s="86" t="s">
        <v>11</v>
      </c>
      <c r="O62" s="86" t="s">
        <v>12</v>
      </c>
      <c r="P62" s="1" t="s">
        <v>41</v>
      </c>
      <c r="Q62" s="89" t="s">
        <v>54</v>
      </c>
    </row>
    <row r="63" spans="1:17" ht="80.099999999999994" customHeight="1" x14ac:dyDescent="0.25">
      <c r="A63" s="87" t="s">
        <v>725</v>
      </c>
      <c r="B63" s="15">
        <v>40574</v>
      </c>
      <c r="C63" s="16">
        <v>40603</v>
      </c>
      <c r="D63" s="15">
        <v>40850</v>
      </c>
      <c r="E63" s="16">
        <v>40869</v>
      </c>
      <c r="F63" s="70">
        <v>40505</v>
      </c>
      <c r="G63" s="47"/>
      <c r="H63" s="87" t="str">
        <f>+"12-JUN-2014"</f>
        <v>12-JUN-2014</v>
      </c>
      <c r="I63" s="46">
        <v>42016</v>
      </c>
      <c r="J63" s="47">
        <f t="shared" si="1"/>
        <v>65</v>
      </c>
      <c r="K63" s="46">
        <v>41053</v>
      </c>
      <c r="L63" s="82" t="s">
        <v>10</v>
      </c>
      <c r="M63" s="83" t="s">
        <v>742</v>
      </c>
      <c r="N63" s="83" t="s">
        <v>11</v>
      </c>
      <c r="O63" s="87" t="s">
        <v>14</v>
      </c>
      <c r="P63" s="83" t="s">
        <v>41</v>
      </c>
      <c r="Q63" s="83" t="s">
        <v>741</v>
      </c>
    </row>
    <row r="64" spans="1:17" ht="84.2" customHeight="1" x14ac:dyDescent="0.25">
      <c r="A64" s="87" t="s">
        <v>729</v>
      </c>
      <c r="B64" s="15">
        <v>41310</v>
      </c>
      <c r="C64" s="16">
        <v>41319</v>
      </c>
      <c r="D64" s="15">
        <v>41463</v>
      </c>
      <c r="E64" s="16">
        <v>41509</v>
      </c>
      <c r="F64" s="46">
        <v>41246</v>
      </c>
      <c r="G64" s="47"/>
      <c r="H64" s="46">
        <v>41991</v>
      </c>
      <c r="I64" s="46">
        <v>42024</v>
      </c>
      <c r="J64" s="47">
        <f t="shared" si="1"/>
        <v>57</v>
      </c>
      <c r="K64" s="46">
        <v>41509</v>
      </c>
      <c r="L64" s="87" t="s">
        <v>10</v>
      </c>
      <c r="M64" s="83" t="s">
        <v>746</v>
      </c>
      <c r="N64" s="83" t="s">
        <v>11</v>
      </c>
      <c r="O64" s="87" t="s">
        <v>14</v>
      </c>
      <c r="P64" s="83" t="s">
        <v>41</v>
      </c>
      <c r="Q64" s="83" t="s">
        <v>62</v>
      </c>
    </row>
    <row r="65" spans="1:17" ht="133.9" customHeight="1" x14ac:dyDescent="0.25">
      <c r="A65" s="87" t="s">
        <v>726</v>
      </c>
      <c r="B65" s="15">
        <v>41045</v>
      </c>
      <c r="C65" s="16">
        <v>40688</v>
      </c>
      <c r="D65" s="15">
        <v>41222</v>
      </c>
      <c r="E65" s="15">
        <v>41299</v>
      </c>
      <c r="F65" s="46">
        <v>40626</v>
      </c>
      <c r="G65" s="47"/>
      <c r="H65" s="46">
        <v>41991</v>
      </c>
      <c r="I65" s="46">
        <v>42025</v>
      </c>
      <c r="J65" s="47">
        <f t="shared" si="1"/>
        <v>56</v>
      </c>
      <c r="K65" s="46">
        <v>41299</v>
      </c>
      <c r="L65" s="31" t="s">
        <v>10</v>
      </c>
      <c r="M65" s="83" t="s">
        <v>743</v>
      </c>
      <c r="N65" s="83" t="s">
        <v>11</v>
      </c>
      <c r="O65" s="87" t="s">
        <v>42</v>
      </c>
      <c r="P65" s="83" t="s">
        <v>41</v>
      </c>
      <c r="Q65" s="83" t="s">
        <v>738</v>
      </c>
    </row>
    <row r="66" spans="1:17" ht="101.25" customHeight="1" x14ac:dyDescent="0.25">
      <c r="A66" s="87" t="s">
        <v>727</v>
      </c>
      <c r="B66" s="15">
        <v>41035</v>
      </c>
      <c r="C66" s="16">
        <v>40688</v>
      </c>
      <c r="D66" s="15">
        <v>41218</v>
      </c>
      <c r="E66" s="16">
        <v>41299</v>
      </c>
      <c r="F66" s="46">
        <v>40626</v>
      </c>
      <c r="G66" s="47"/>
      <c r="H66" s="46">
        <v>41991</v>
      </c>
      <c r="I66" s="46">
        <v>42025</v>
      </c>
      <c r="J66" s="47">
        <f t="shared" ref="J66:J97" si="2">DATE(2015, 3, 18)- I66</f>
        <v>56</v>
      </c>
      <c r="K66" s="46">
        <v>41299</v>
      </c>
      <c r="L66" s="87" t="s">
        <v>10</v>
      </c>
      <c r="M66" s="83" t="s">
        <v>744</v>
      </c>
      <c r="N66" s="83" t="s">
        <v>11</v>
      </c>
      <c r="O66" s="87" t="s">
        <v>14</v>
      </c>
      <c r="P66" s="83" t="s">
        <v>41</v>
      </c>
      <c r="Q66" s="83" t="s">
        <v>739</v>
      </c>
    </row>
    <row r="67" spans="1:17" ht="143.44999999999999" customHeight="1" x14ac:dyDescent="0.25">
      <c r="A67" s="69" t="s">
        <v>728</v>
      </c>
      <c r="B67" s="15">
        <v>41045</v>
      </c>
      <c r="C67" s="16">
        <v>40688</v>
      </c>
      <c r="D67" s="15">
        <v>41218</v>
      </c>
      <c r="E67" s="16">
        <v>41299</v>
      </c>
      <c r="F67" s="46">
        <v>40750</v>
      </c>
      <c r="G67" s="47"/>
      <c r="H67" s="46">
        <v>41991</v>
      </c>
      <c r="I67" s="46">
        <v>42025</v>
      </c>
      <c r="J67" s="47">
        <f t="shared" si="2"/>
        <v>56</v>
      </c>
      <c r="K67" s="46">
        <v>41299</v>
      </c>
      <c r="L67" s="87" t="s">
        <v>10</v>
      </c>
      <c r="M67" s="83" t="s">
        <v>745</v>
      </c>
      <c r="N67" s="83" t="s">
        <v>11</v>
      </c>
      <c r="O67" s="87" t="s">
        <v>14</v>
      </c>
      <c r="P67" s="84" t="s">
        <v>41</v>
      </c>
      <c r="Q67" s="84" t="s">
        <v>740</v>
      </c>
    </row>
    <row r="68" spans="1:17" ht="73.349999999999994" customHeight="1" x14ac:dyDescent="0.25">
      <c r="A68" s="87" t="s">
        <v>730</v>
      </c>
      <c r="B68" s="15">
        <v>41360</v>
      </c>
      <c r="C68" s="16">
        <v>41442</v>
      </c>
      <c r="D68" s="15">
        <v>41568</v>
      </c>
      <c r="E68" s="16">
        <v>41663</v>
      </c>
      <c r="F68" s="46">
        <v>41264</v>
      </c>
      <c r="G68" s="47"/>
      <c r="H68" s="46">
        <v>41991</v>
      </c>
      <c r="I68" s="46">
        <v>42025</v>
      </c>
      <c r="J68" s="47">
        <f t="shared" si="2"/>
        <v>56</v>
      </c>
      <c r="K68" s="46">
        <v>41758</v>
      </c>
      <c r="L68" s="87" t="s">
        <v>10</v>
      </c>
      <c r="M68" s="83" t="s">
        <v>747</v>
      </c>
      <c r="N68" s="83" t="s">
        <v>11</v>
      </c>
      <c r="O68" s="87" t="s">
        <v>14</v>
      </c>
      <c r="P68" s="83" t="s">
        <v>21</v>
      </c>
      <c r="Q68" s="83" t="s">
        <v>741</v>
      </c>
    </row>
    <row r="69" spans="1:17" ht="85.7" customHeight="1" x14ac:dyDescent="0.25">
      <c r="A69" s="87" t="s">
        <v>731</v>
      </c>
      <c r="B69" s="15">
        <v>41360</v>
      </c>
      <c r="C69" s="16">
        <v>41442</v>
      </c>
      <c r="D69" s="15">
        <v>41568</v>
      </c>
      <c r="E69" s="16">
        <v>41663</v>
      </c>
      <c r="F69" s="46">
        <v>41264</v>
      </c>
      <c r="G69" s="47"/>
      <c r="H69" s="46">
        <v>41991</v>
      </c>
      <c r="I69" s="46">
        <v>42025</v>
      </c>
      <c r="J69" s="47">
        <f t="shared" si="2"/>
        <v>56</v>
      </c>
      <c r="K69" s="46">
        <v>41758</v>
      </c>
      <c r="L69" s="87" t="s">
        <v>10</v>
      </c>
      <c r="M69" s="83" t="s">
        <v>748</v>
      </c>
      <c r="N69" s="83" t="s">
        <v>11</v>
      </c>
      <c r="O69" s="87" t="s">
        <v>14</v>
      </c>
      <c r="P69" s="83" t="s">
        <v>21</v>
      </c>
      <c r="Q69" s="83" t="s">
        <v>741</v>
      </c>
    </row>
    <row r="70" spans="1:17" ht="24.95" customHeight="1" x14ac:dyDescent="0.25">
      <c r="A70" s="5"/>
      <c r="B70" s="5"/>
      <c r="C70" s="5"/>
      <c r="D70" s="5"/>
      <c r="E70" s="5"/>
      <c r="F70" s="5"/>
      <c r="G70" s="36"/>
      <c r="H70" s="5"/>
      <c r="I70" s="5"/>
      <c r="J70" s="5"/>
      <c r="K70" s="5"/>
      <c r="M70" s="2"/>
      <c r="N70" s="49"/>
      <c r="O70" s="5"/>
      <c r="P70" s="5"/>
      <c r="Q70" s="49"/>
    </row>
    <row r="71" spans="1:17" ht="24.95" customHeight="1" x14ac:dyDescent="0.25">
      <c r="A71" s="5"/>
      <c r="B71" s="5"/>
      <c r="C71" s="5"/>
      <c r="D71" s="5"/>
      <c r="E71" s="5"/>
      <c r="F71" s="5"/>
      <c r="G71" s="36"/>
      <c r="H71" s="5"/>
      <c r="I71" s="5"/>
      <c r="J71" s="5"/>
      <c r="K71" s="5"/>
      <c r="M71" s="2"/>
      <c r="N71" s="49"/>
      <c r="O71" s="5"/>
      <c r="P71" s="5"/>
      <c r="Q71" s="49"/>
    </row>
    <row r="72" spans="1:17" ht="24.95" customHeight="1" x14ac:dyDescent="0.25">
      <c r="A72" s="5"/>
      <c r="B72" s="5"/>
      <c r="C72" s="5"/>
      <c r="D72" s="5"/>
      <c r="E72" s="5"/>
      <c r="F72" s="5"/>
      <c r="G72" s="36"/>
      <c r="H72" s="5"/>
      <c r="I72" s="5"/>
      <c r="J72" s="5"/>
      <c r="K72" s="5"/>
      <c r="M72" s="2"/>
      <c r="N72" s="49"/>
      <c r="O72" s="5"/>
      <c r="P72" s="5"/>
      <c r="Q72" s="49"/>
    </row>
    <row r="73" spans="1:17" ht="24.95" customHeight="1" x14ac:dyDescent="0.25">
      <c r="A73" s="5"/>
      <c r="B73" s="5"/>
      <c r="C73" s="5"/>
      <c r="D73" s="5"/>
      <c r="E73" s="5"/>
      <c r="F73" s="5"/>
      <c r="G73" s="36"/>
      <c r="H73" s="5"/>
      <c r="I73" s="5"/>
      <c r="J73" s="5"/>
      <c r="K73" s="5"/>
      <c r="M73" s="2"/>
      <c r="N73" s="49"/>
      <c r="O73" s="5"/>
      <c r="P73" s="5"/>
      <c r="Q73" s="49"/>
    </row>
    <row r="74" spans="1:17" ht="24.95" customHeight="1" x14ac:dyDescent="0.25">
      <c r="A74" s="5"/>
      <c r="B74" s="5"/>
      <c r="C74" s="5"/>
      <c r="D74" s="5"/>
      <c r="E74" s="5"/>
      <c r="F74" s="5"/>
      <c r="G74" s="36"/>
      <c r="H74" s="5"/>
      <c r="I74" s="5"/>
      <c r="J74" s="5"/>
      <c r="K74" s="5"/>
      <c r="M74" s="2"/>
      <c r="N74" s="49"/>
      <c r="O74" s="5"/>
      <c r="P74" s="5"/>
      <c r="Q74" s="49"/>
    </row>
    <row r="75" spans="1:17" ht="24.95" customHeight="1" x14ac:dyDescent="0.25">
      <c r="A75" s="5"/>
      <c r="B75" s="5"/>
      <c r="C75" s="5"/>
      <c r="D75" s="5"/>
      <c r="E75" s="5"/>
      <c r="F75" s="5"/>
      <c r="G75" s="36"/>
      <c r="H75" s="5"/>
      <c r="I75" s="5"/>
      <c r="J75" s="5"/>
      <c r="K75" s="5"/>
      <c r="M75" s="2"/>
      <c r="N75" s="49"/>
      <c r="O75" s="5"/>
      <c r="P75" s="5"/>
      <c r="Q75" s="49"/>
    </row>
    <row r="76" spans="1:17" ht="24.95" customHeight="1" x14ac:dyDescent="0.25">
      <c r="A76" s="5"/>
      <c r="B76" s="5"/>
      <c r="C76" s="5"/>
      <c r="D76" s="5"/>
      <c r="E76" s="5"/>
      <c r="F76" s="5"/>
      <c r="G76" s="36"/>
      <c r="H76" s="5"/>
      <c r="I76" s="5"/>
      <c r="J76" s="5"/>
      <c r="K76" s="5"/>
      <c r="M76" s="2"/>
      <c r="N76" s="49"/>
      <c r="O76" s="5"/>
      <c r="P76" s="5"/>
      <c r="Q76" s="49"/>
    </row>
    <row r="77" spans="1:17" ht="24.95" customHeight="1" x14ac:dyDescent="0.25">
      <c r="A77" s="5"/>
      <c r="B77" s="5"/>
      <c r="C77" s="5"/>
      <c r="D77" s="5"/>
      <c r="E77" s="5"/>
      <c r="F77" s="5"/>
      <c r="G77" s="36"/>
      <c r="H77" s="5"/>
      <c r="I77" s="5"/>
      <c r="J77" s="5"/>
      <c r="K77" s="5"/>
      <c r="M77" s="2"/>
      <c r="N77" s="49"/>
      <c r="O77" s="5"/>
      <c r="P77" s="5"/>
      <c r="Q77" s="49"/>
    </row>
    <row r="78" spans="1:17" ht="24.95" customHeight="1" x14ac:dyDescent="0.25">
      <c r="A78" s="5"/>
      <c r="B78" s="5"/>
      <c r="C78" s="5"/>
      <c r="D78" s="5"/>
      <c r="E78" s="5"/>
      <c r="F78" s="5"/>
      <c r="G78" s="36"/>
      <c r="H78" s="5"/>
      <c r="I78" s="5"/>
      <c r="J78" s="5"/>
      <c r="K78" s="5"/>
      <c r="M78" s="2"/>
      <c r="N78" s="49"/>
      <c r="O78" s="5"/>
      <c r="P78" s="5"/>
      <c r="Q78" s="49"/>
    </row>
    <row r="79" spans="1:17" ht="24.95" customHeight="1" x14ac:dyDescent="0.25">
      <c r="A79" s="5"/>
      <c r="B79" s="5"/>
      <c r="C79" s="5"/>
      <c r="D79" s="5"/>
      <c r="E79" s="5"/>
      <c r="F79" s="5"/>
      <c r="G79" s="36"/>
      <c r="H79" s="5"/>
      <c r="I79" s="5"/>
      <c r="J79" s="5"/>
      <c r="K79" s="5"/>
      <c r="M79" s="2"/>
      <c r="N79" s="49"/>
      <c r="O79" s="5"/>
      <c r="P79" s="5"/>
      <c r="Q79" s="49"/>
    </row>
    <row r="80" spans="1:17" ht="24.95" customHeight="1" x14ac:dyDescent="0.25">
      <c r="A80" s="5"/>
      <c r="B80" s="5"/>
      <c r="C80" s="5"/>
      <c r="D80" s="5"/>
      <c r="E80" s="5"/>
      <c r="F80" s="5"/>
      <c r="G80" s="36"/>
      <c r="H80" s="5"/>
      <c r="I80" s="5"/>
      <c r="J80" s="5"/>
      <c r="K80" s="5"/>
      <c r="M80" s="2"/>
      <c r="N80" s="49"/>
      <c r="O80" s="5"/>
      <c r="P80" s="5"/>
      <c r="Q80" s="49"/>
    </row>
    <row r="81" spans="1:17" ht="24.95" customHeight="1" x14ac:dyDescent="0.25">
      <c r="A81" s="5"/>
      <c r="B81" s="5"/>
      <c r="C81" s="5"/>
      <c r="D81" s="5"/>
      <c r="E81" s="5"/>
      <c r="F81" s="5"/>
      <c r="G81" s="36"/>
      <c r="H81" s="5"/>
      <c r="I81" s="5"/>
      <c r="J81" s="5"/>
      <c r="K81" s="5"/>
      <c r="M81" s="2"/>
      <c r="N81" s="49"/>
      <c r="O81" s="5"/>
      <c r="P81" s="5"/>
      <c r="Q81" s="49"/>
    </row>
    <row r="82" spans="1:17" ht="24.95" customHeight="1" x14ac:dyDescent="0.25">
      <c r="A82" s="5"/>
      <c r="B82" s="5"/>
      <c r="C82" s="5"/>
      <c r="D82" s="5"/>
      <c r="E82" s="5"/>
      <c r="F82" s="5"/>
      <c r="G82" s="36"/>
      <c r="H82" s="5"/>
      <c r="I82" s="5"/>
      <c r="J82" s="5"/>
      <c r="K82" s="5"/>
      <c r="M82" s="2"/>
      <c r="N82" s="49"/>
      <c r="O82" s="5"/>
      <c r="P82" s="5"/>
      <c r="Q82" s="49"/>
    </row>
    <row r="83" spans="1:17" ht="24.95" customHeight="1" x14ac:dyDescent="0.25">
      <c r="A83" s="5"/>
      <c r="B83" s="5"/>
      <c r="C83" s="5"/>
      <c r="D83" s="5"/>
      <c r="E83" s="5"/>
      <c r="F83" s="5"/>
      <c r="G83" s="36"/>
      <c r="H83" s="5"/>
      <c r="I83" s="5"/>
      <c r="J83" s="5"/>
      <c r="K83" s="5"/>
      <c r="M83" s="2"/>
      <c r="N83" s="49"/>
      <c r="O83" s="5"/>
      <c r="P83" s="5"/>
      <c r="Q83" s="49"/>
    </row>
    <row r="84" spans="1:17" ht="24.95" customHeight="1" x14ac:dyDescent="0.25">
      <c r="A84" s="5"/>
      <c r="B84" s="5"/>
      <c r="C84" s="5"/>
      <c r="D84" s="5"/>
      <c r="E84" s="5"/>
      <c r="F84" s="5"/>
      <c r="G84" s="36"/>
      <c r="H84" s="5"/>
      <c r="I84" s="5"/>
      <c r="J84" s="5"/>
      <c r="K84" s="5"/>
      <c r="M84" s="2"/>
      <c r="N84" s="49"/>
      <c r="O84" s="5"/>
      <c r="P84" s="5"/>
      <c r="Q84" s="49"/>
    </row>
    <row r="85" spans="1:17" ht="24.95" customHeight="1" x14ac:dyDescent="0.25">
      <c r="A85" s="5"/>
      <c r="B85" s="5"/>
      <c r="C85" s="5"/>
      <c r="D85" s="5"/>
      <c r="E85" s="5"/>
      <c r="F85" s="5"/>
      <c r="G85" s="36"/>
      <c r="H85" s="5"/>
      <c r="I85" s="5"/>
      <c r="J85" s="5"/>
      <c r="K85" s="5"/>
      <c r="M85" s="2"/>
      <c r="N85" s="49"/>
      <c r="O85" s="5"/>
      <c r="P85" s="5"/>
      <c r="Q85" s="49"/>
    </row>
    <row r="86" spans="1:17" ht="24.95" customHeight="1" x14ac:dyDescent="0.25">
      <c r="A86" s="5"/>
      <c r="B86" s="5"/>
      <c r="C86" s="5"/>
      <c r="D86" s="5"/>
      <c r="E86" s="5"/>
      <c r="F86" s="5"/>
      <c r="G86" s="36"/>
      <c r="H86" s="5"/>
      <c r="I86" s="5"/>
      <c r="J86" s="5"/>
      <c r="K86" s="5"/>
      <c r="M86" s="2"/>
      <c r="N86" s="49"/>
      <c r="O86" s="5"/>
      <c r="P86" s="5"/>
      <c r="Q86" s="49"/>
    </row>
    <row r="87" spans="1:17" ht="24.95" customHeight="1" x14ac:dyDescent="0.25">
      <c r="A87" s="5"/>
      <c r="B87" s="5"/>
      <c r="C87" s="5"/>
      <c r="D87" s="5"/>
      <c r="E87" s="5"/>
      <c r="F87" s="5"/>
      <c r="G87" s="36"/>
      <c r="H87" s="5"/>
      <c r="I87" s="5"/>
      <c r="J87" s="5"/>
      <c r="K87" s="5"/>
      <c r="M87" s="2"/>
      <c r="N87" s="49"/>
      <c r="O87" s="5"/>
      <c r="P87" s="5"/>
      <c r="Q87" s="49"/>
    </row>
    <row r="88" spans="1:17" ht="24.95" customHeight="1" x14ac:dyDescent="0.25">
      <c r="A88" s="5"/>
      <c r="B88" s="5"/>
      <c r="C88" s="5"/>
      <c r="D88" s="5"/>
      <c r="E88" s="5"/>
      <c r="F88" s="5"/>
      <c r="G88" s="36"/>
      <c r="H88" s="5"/>
      <c r="I88" s="5"/>
      <c r="J88" s="5"/>
      <c r="K88" s="5"/>
      <c r="M88" s="2"/>
      <c r="N88" s="49"/>
      <c r="O88" s="5"/>
      <c r="P88" s="5"/>
      <c r="Q88" s="49"/>
    </row>
    <row r="89" spans="1:17" ht="24.95" customHeight="1" x14ac:dyDescent="0.25">
      <c r="A89" s="5"/>
      <c r="B89" s="5"/>
      <c r="C89" s="5"/>
      <c r="D89" s="5"/>
      <c r="E89" s="5"/>
      <c r="F89" s="5"/>
      <c r="G89" s="36"/>
      <c r="H89" s="5"/>
      <c r="I89" s="5"/>
      <c r="J89" s="5"/>
      <c r="K89" s="5"/>
      <c r="M89" s="2"/>
      <c r="N89" s="49"/>
      <c r="O89" s="5"/>
      <c r="P89" s="5"/>
      <c r="Q89" s="49"/>
    </row>
    <row r="90" spans="1:17" ht="24.95" customHeight="1" x14ac:dyDescent="0.25">
      <c r="A90" s="5"/>
      <c r="B90" s="5"/>
      <c r="C90" s="5"/>
      <c r="D90" s="5"/>
      <c r="E90" s="5"/>
      <c r="F90" s="5"/>
      <c r="G90" s="36"/>
      <c r="H90" s="5"/>
      <c r="I90" s="5"/>
      <c r="J90" s="5"/>
      <c r="K90" s="5"/>
      <c r="M90" s="2"/>
      <c r="N90" s="49"/>
      <c r="O90" s="5"/>
      <c r="P90" s="5"/>
      <c r="Q90" s="49"/>
    </row>
    <row r="91" spans="1:17" ht="24.95" customHeight="1" x14ac:dyDescent="0.25">
      <c r="A91" s="5"/>
      <c r="B91" s="5"/>
      <c r="C91" s="5"/>
      <c r="D91" s="5"/>
      <c r="E91" s="5"/>
      <c r="F91" s="5"/>
      <c r="G91" s="36"/>
      <c r="H91" s="5"/>
      <c r="I91" s="5"/>
      <c r="J91" s="5"/>
      <c r="K91" s="5"/>
      <c r="M91" s="2"/>
      <c r="N91" s="49"/>
      <c r="O91" s="5"/>
      <c r="P91" s="5"/>
      <c r="Q91" s="49"/>
    </row>
    <row r="92" spans="1:17" ht="24.95" customHeight="1" x14ac:dyDescent="0.25">
      <c r="A92" s="5"/>
      <c r="B92" s="5"/>
      <c r="C92" s="5"/>
      <c r="D92" s="5"/>
      <c r="E92" s="5"/>
      <c r="F92" s="5"/>
      <c r="G92" s="36"/>
      <c r="H92" s="5"/>
      <c r="I92" s="5"/>
      <c r="J92" s="5"/>
      <c r="K92" s="5"/>
      <c r="M92" s="2"/>
      <c r="N92" s="49"/>
      <c r="O92" s="5"/>
      <c r="P92" s="5"/>
      <c r="Q92" s="49"/>
    </row>
    <row r="93" spans="1:17" ht="24.95" customHeight="1" x14ac:dyDescent="0.25">
      <c r="A93" s="5"/>
      <c r="B93" s="5"/>
      <c r="C93" s="5"/>
      <c r="D93" s="5"/>
      <c r="E93" s="5"/>
      <c r="F93" s="5"/>
      <c r="G93" s="36"/>
      <c r="H93" s="5"/>
      <c r="I93" s="5"/>
      <c r="J93" s="5"/>
      <c r="K93" s="5"/>
      <c r="M93" s="2"/>
      <c r="N93" s="49"/>
      <c r="O93" s="5"/>
      <c r="P93" s="5"/>
      <c r="Q93" s="49"/>
    </row>
    <row r="94" spans="1:17" ht="24.95" customHeight="1" x14ac:dyDescent="0.25">
      <c r="A94" s="5"/>
      <c r="B94" s="5"/>
      <c r="C94" s="5"/>
      <c r="D94" s="5"/>
      <c r="E94" s="5"/>
      <c r="F94" s="5"/>
      <c r="G94" s="36"/>
      <c r="H94" s="5"/>
      <c r="I94" s="5"/>
      <c r="J94" s="5"/>
      <c r="K94" s="5"/>
      <c r="M94" s="2"/>
      <c r="N94" s="49"/>
      <c r="O94" s="5"/>
      <c r="P94" s="5"/>
      <c r="Q94" s="49"/>
    </row>
    <row r="95" spans="1:17" ht="24.95" customHeight="1" x14ac:dyDescent="0.25">
      <c r="A95" s="5"/>
      <c r="B95" s="5"/>
      <c r="C95" s="5"/>
      <c r="D95" s="5"/>
      <c r="E95" s="5"/>
      <c r="F95" s="5"/>
      <c r="G95" s="36"/>
      <c r="H95" s="5"/>
      <c r="I95" s="5"/>
      <c r="J95" s="5"/>
      <c r="K95" s="5"/>
      <c r="M95" s="2"/>
      <c r="N95" s="49"/>
      <c r="O95" s="5"/>
      <c r="P95" s="5"/>
      <c r="Q95" s="49"/>
    </row>
    <row r="96" spans="1:17" ht="24.95" customHeight="1" x14ac:dyDescent="0.25">
      <c r="A96" s="5"/>
      <c r="B96" s="5"/>
      <c r="C96" s="5"/>
      <c r="D96" s="5"/>
      <c r="E96" s="5"/>
      <c r="F96" s="5"/>
      <c r="G96" s="36"/>
      <c r="H96" s="5"/>
      <c r="I96" s="5"/>
      <c r="J96" s="5"/>
      <c r="K96" s="5"/>
      <c r="M96" s="2"/>
      <c r="N96" s="49"/>
      <c r="O96" s="5"/>
      <c r="P96" s="5"/>
      <c r="Q96" s="49"/>
    </row>
    <row r="97" spans="1:17" ht="24.95" customHeight="1" x14ac:dyDescent="0.25">
      <c r="A97" s="5"/>
      <c r="B97" s="5"/>
      <c r="C97" s="5"/>
      <c r="D97" s="5"/>
      <c r="E97" s="5"/>
      <c r="F97" s="5"/>
      <c r="G97" s="36"/>
      <c r="H97" s="5"/>
      <c r="I97" s="5"/>
      <c r="J97" s="5"/>
      <c r="K97" s="5"/>
      <c r="M97" s="2"/>
      <c r="N97" s="49"/>
      <c r="O97" s="5"/>
      <c r="P97" s="5"/>
      <c r="Q97" s="49"/>
    </row>
    <row r="98" spans="1:17" ht="24.95" customHeight="1" x14ac:dyDescent="0.25">
      <c r="A98" s="5"/>
      <c r="B98" s="5"/>
      <c r="C98" s="5"/>
      <c r="D98" s="5"/>
      <c r="E98" s="5"/>
      <c r="F98" s="5"/>
      <c r="G98" s="36"/>
      <c r="H98" s="5"/>
      <c r="I98" s="5"/>
      <c r="J98" s="5"/>
      <c r="K98" s="5"/>
      <c r="M98" s="2"/>
      <c r="N98" s="49"/>
      <c r="O98" s="5"/>
      <c r="P98" s="5"/>
      <c r="Q98" s="49"/>
    </row>
    <row r="99" spans="1:17" ht="24.95" customHeight="1" x14ac:dyDescent="0.25">
      <c r="A99" s="5"/>
      <c r="B99" s="5"/>
      <c r="C99" s="5"/>
      <c r="D99" s="5"/>
      <c r="E99" s="5"/>
      <c r="F99" s="5"/>
      <c r="G99" s="36"/>
      <c r="H99" s="5"/>
      <c r="I99" s="5"/>
      <c r="J99" s="5"/>
      <c r="K99" s="5"/>
      <c r="M99" s="2"/>
      <c r="N99" s="49"/>
      <c r="O99" s="5"/>
      <c r="P99" s="5"/>
      <c r="Q99" s="49"/>
    </row>
    <row r="100" spans="1:17" ht="24.95" customHeight="1" x14ac:dyDescent="0.25">
      <c r="A100" s="5"/>
      <c r="B100" s="5"/>
      <c r="C100" s="5"/>
      <c r="D100" s="5"/>
      <c r="E100" s="5"/>
      <c r="F100" s="5"/>
      <c r="G100" s="36"/>
      <c r="H100" s="5"/>
      <c r="I100" s="5"/>
      <c r="J100" s="5"/>
      <c r="K100" s="5"/>
      <c r="M100" s="2"/>
      <c r="N100" s="49"/>
      <c r="O100" s="5"/>
      <c r="P100" s="5"/>
      <c r="Q100" s="49"/>
    </row>
    <row r="101" spans="1:17" ht="24.95" customHeight="1" x14ac:dyDescent="0.25">
      <c r="A101" s="5"/>
      <c r="B101" s="5"/>
      <c r="C101" s="5"/>
      <c r="D101" s="5"/>
      <c r="E101" s="5"/>
      <c r="F101" s="5"/>
      <c r="G101" s="36"/>
      <c r="H101" s="5"/>
      <c r="I101" s="5"/>
      <c r="J101" s="5"/>
      <c r="K101" s="5"/>
      <c r="M101" s="2"/>
      <c r="N101" s="49"/>
      <c r="O101" s="5"/>
      <c r="P101" s="5"/>
      <c r="Q101" s="49"/>
    </row>
    <row r="102" spans="1:17" ht="24.95" customHeight="1" x14ac:dyDescent="0.25">
      <c r="A102" s="5"/>
      <c r="B102" s="5"/>
      <c r="C102" s="5"/>
      <c r="D102" s="5"/>
      <c r="E102" s="5"/>
      <c r="F102" s="5"/>
      <c r="G102" s="36"/>
      <c r="H102" s="5"/>
      <c r="I102" s="5"/>
      <c r="J102" s="5"/>
      <c r="K102" s="5"/>
      <c r="M102" s="2"/>
      <c r="N102" s="49"/>
      <c r="O102" s="5"/>
      <c r="P102" s="5"/>
      <c r="Q102" s="49"/>
    </row>
    <row r="103" spans="1:17" ht="24.95" customHeight="1" x14ac:dyDescent="0.25">
      <c r="A103" s="5"/>
      <c r="B103" s="5"/>
      <c r="C103" s="5"/>
      <c r="D103" s="5"/>
      <c r="E103" s="5"/>
      <c r="F103" s="5"/>
      <c r="G103" s="36"/>
      <c r="H103" s="5"/>
      <c r="I103" s="5"/>
      <c r="J103" s="5"/>
      <c r="K103" s="5"/>
      <c r="M103" s="2"/>
      <c r="N103" s="49"/>
      <c r="O103" s="5"/>
      <c r="P103" s="5"/>
      <c r="Q103" s="49"/>
    </row>
    <row r="104" spans="1:17" ht="24.95" customHeight="1" x14ac:dyDescent="0.25">
      <c r="A104" s="5"/>
      <c r="B104" s="5"/>
      <c r="C104" s="5"/>
      <c r="D104" s="5"/>
      <c r="E104" s="5"/>
      <c r="F104" s="5"/>
      <c r="G104" s="36"/>
      <c r="H104" s="5"/>
      <c r="I104" s="5"/>
      <c r="J104" s="5"/>
      <c r="K104" s="5"/>
      <c r="M104" s="2"/>
      <c r="N104" s="49"/>
      <c r="O104" s="5"/>
      <c r="P104" s="5"/>
      <c r="Q104" s="49"/>
    </row>
    <row r="105" spans="1:17" ht="24.95" customHeight="1" x14ac:dyDescent="0.25">
      <c r="A105" s="5"/>
      <c r="B105" s="5"/>
      <c r="C105" s="5"/>
      <c r="D105" s="5"/>
      <c r="E105" s="5"/>
      <c r="F105" s="5"/>
      <c r="G105" s="36"/>
      <c r="H105" s="5"/>
      <c r="I105" s="5"/>
      <c r="J105" s="5"/>
      <c r="K105" s="5"/>
      <c r="M105" s="2"/>
      <c r="N105" s="49"/>
      <c r="O105" s="5"/>
      <c r="P105" s="5"/>
      <c r="Q105" s="49"/>
    </row>
    <row r="106" spans="1:17" ht="24.95" customHeight="1" x14ac:dyDescent="0.25">
      <c r="A106" s="5"/>
      <c r="B106" s="5"/>
      <c r="C106" s="5"/>
      <c r="D106" s="5"/>
      <c r="E106" s="5"/>
      <c r="F106" s="5"/>
      <c r="G106" s="36"/>
      <c r="H106" s="5"/>
      <c r="I106" s="5"/>
      <c r="J106" s="5"/>
      <c r="K106" s="5"/>
      <c r="M106" s="2"/>
      <c r="N106" s="49"/>
      <c r="O106" s="5"/>
      <c r="P106" s="5"/>
      <c r="Q106" s="49"/>
    </row>
    <row r="107" spans="1:17" ht="24.95" customHeight="1" x14ac:dyDescent="0.25">
      <c r="A107" s="5"/>
      <c r="B107" s="5"/>
      <c r="C107" s="5"/>
      <c r="D107" s="5"/>
      <c r="E107" s="5"/>
      <c r="F107" s="5"/>
      <c r="G107" s="36"/>
      <c r="H107" s="5"/>
      <c r="I107" s="5"/>
      <c r="J107" s="5"/>
      <c r="K107" s="5"/>
      <c r="M107" s="2"/>
      <c r="N107" s="49"/>
      <c r="O107" s="5"/>
      <c r="P107" s="5"/>
      <c r="Q107" s="49"/>
    </row>
    <row r="108" spans="1:17" ht="24.95" customHeight="1" x14ac:dyDescent="0.25">
      <c r="A108" s="5"/>
      <c r="B108" s="5"/>
      <c r="C108" s="5"/>
      <c r="D108" s="5"/>
      <c r="E108" s="5"/>
      <c r="F108" s="5"/>
      <c r="G108" s="36"/>
      <c r="H108" s="5"/>
      <c r="I108" s="5"/>
      <c r="J108" s="5"/>
      <c r="K108" s="5"/>
      <c r="M108" s="2"/>
      <c r="N108" s="49"/>
      <c r="O108" s="5"/>
      <c r="P108" s="5"/>
      <c r="Q108" s="49"/>
    </row>
    <row r="109" spans="1:17" ht="24.95" customHeight="1" x14ac:dyDescent="0.25">
      <c r="A109" s="5"/>
      <c r="B109" s="5"/>
      <c r="C109" s="5"/>
      <c r="D109" s="5"/>
      <c r="E109" s="5"/>
      <c r="F109" s="5"/>
      <c r="G109" s="36"/>
      <c r="H109" s="5"/>
      <c r="I109" s="5"/>
      <c r="J109" s="5"/>
      <c r="K109" s="5"/>
      <c r="M109" s="2"/>
      <c r="N109" s="49"/>
      <c r="O109" s="5"/>
      <c r="P109" s="5"/>
      <c r="Q109" s="49"/>
    </row>
    <row r="110" spans="1:17" ht="24.95" customHeight="1" x14ac:dyDescent="0.25">
      <c r="A110" s="5"/>
      <c r="B110" s="5"/>
      <c r="C110" s="5"/>
      <c r="D110" s="5"/>
      <c r="E110" s="5"/>
      <c r="F110" s="5"/>
      <c r="G110" s="36"/>
      <c r="H110" s="5"/>
      <c r="I110" s="5"/>
      <c r="J110" s="5"/>
      <c r="K110" s="5"/>
      <c r="M110" s="2"/>
      <c r="N110" s="49"/>
      <c r="O110" s="5"/>
      <c r="P110" s="5"/>
      <c r="Q110" s="49"/>
    </row>
    <row r="111" spans="1:17" ht="24.95" customHeight="1" x14ac:dyDescent="0.25">
      <c r="A111" s="5"/>
      <c r="B111" s="5"/>
      <c r="C111" s="5"/>
      <c r="D111" s="5"/>
      <c r="E111" s="5"/>
      <c r="F111" s="5"/>
      <c r="G111" s="36"/>
      <c r="H111" s="5"/>
      <c r="I111" s="5"/>
      <c r="J111" s="5"/>
      <c r="K111" s="5"/>
      <c r="M111" s="2"/>
      <c r="N111" s="49"/>
      <c r="O111" s="5"/>
      <c r="P111" s="5"/>
      <c r="Q111" s="49"/>
    </row>
    <row r="112" spans="1:17" ht="24.95" customHeight="1" x14ac:dyDescent="0.25">
      <c r="A112" s="5"/>
      <c r="B112" s="5"/>
      <c r="C112" s="5"/>
      <c r="D112" s="5"/>
      <c r="E112" s="5"/>
      <c r="F112" s="5"/>
      <c r="G112" s="36"/>
      <c r="H112" s="5"/>
      <c r="I112" s="5"/>
      <c r="J112" s="5"/>
      <c r="K112" s="5"/>
      <c r="M112" s="2"/>
      <c r="N112" s="49"/>
      <c r="O112" s="5"/>
      <c r="P112" s="5"/>
      <c r="Q112" s="49"/>
    </row>
    <row r="113" spans="1:17" ht="24.95" customHeight="1" x14ac:dyDescent="0.25">
      <c r="A113" s="5"/>
      <c r="B113" s="5"/>
      <c r="C113" s="5"/>
      <c r="D113" s="5"/>
      <c r="E113" s="5"/>
      <c r="F113" s="5"/>
      <c r="G113" s="36"/>
      <c r="H113" s="5"/>
      <c r="I113" s="5"/>
      <c r="J113" s="5"/>
      <c r="K113" s="5"/>
      <c r="M113" s="2"/>
      <c r="N113" s="49"/>
      <c r="O113" s="5"/>
      <c r="P113" s="5"/>
      <c r="Q113" s="49"/>
    </row>
    <row r="114" spans="1:17" ht="24.95" customHeight="1" x14ac:dyDescent="0.25">
      <c r="A114" s="5"/>
      <c r="B114" s="5"/>
      <c r="C114" s="5"/>
      <c r="D114" s="5"/>
      <c r="E114" s="5"/>
      <c r="F114" s="5"/>
      <c r="G114" s="36"/>
      <c r="H114" s="5"/>
      <c r="I114" s="5"/>
      <c r="J114" s="5"/>
      <c r="K114" s="5"/>
      <c r="M114" s="2"/>
      <c r="N114" s="49"/>
      <c r="O114" s="5"/>
      <c r="P114" s="5"/>
      <c r="Q114" s="49"/>
    </row>
    <row r="115" spans="1:17" ht="24.95" customHeight="1" x14ac:dyDescent="0.25">
      <c r="A115" s="5"/>
      <c r="B115" s="5"/>
      <c r="C115" s="5"/>
      <c r="D115" s="5"/>
      <c r="E115" s="5"/>
      <c r="F115" s="5"/>
      <c r="G115" s="36"/>
      <c r="H115" s="5"/>
      <c r="I115" s="5"/>
      <c r="J115" s="5"/>
      <c r="K115" s="5"/>
      <c r="M115" s="2"/>
      <c r="N115" s="49"/>
      <c r="O115" s="5"/>
      <c r="P115" s="5"/>
      <c r="Q115" s="49"/>
    </row>
    <row r="116" spans="1:17" ht="24.95" customHeight="1" x14ac:dyDescent="0.25">
      <c r="A116" s="5"/>
      <c r="B116" s="5"/>
      <c r="C116" s="5"/>
      <c r="D116" s="5"/>
      <c r="E116" s="5"/>
      <c r="F116" s="5"/>
      <c r="G116" s="36"/>
      <c r="H116" s="5"/>
      <c r="I116" s="5"/>
      <c r="J116" s="5"/>
      <c r="K116" s="5"/>
      <c r="M116" s="2"/>
      <c r="N116" s="49"/>
      <c r="O116" s="5"/>
      <c r="P116" s="5"/>
      <c r="Q116" s="49"/>
    </row>
    <row r="117" spans="1:17" ht="24.95" customHeight="1" x14ac:dyDescent="0.25">
      <c r="A117" s="5"/>
      <c r="B117" s="5"/>
      <c r="C117" s="5"/>
      <c r="D117" s="5"/>
      <c r="E117" s="5"/>
      <c r="F117" s="5"/>
      <c r="G117" s="36"/>
      <c r="H117" s="5"/>
      <c r="I117" s="5"/>
      <c r="J117" s="5"/>
      <c r="K117" s="5"/>
      <c r="M117" s="2"/>
      <c r="N117" s="49"/>
      <c r="O117" s="5"/>
      <c r="P117" s="5"/>
      <c r="Q117" s="49"/>
    </row>
    <row r="118" spans="1:17" ht="24.95" customHeight="1" x14ac:dyDescent="0.25">
      <c r="A118" s="5"/>
      <c r="B118" s="5"/>
      <c r="C118" s="5"/>
      <c r="D118" s="5"/>
      <c r="E118" s="5"/>
      <c r="F118" s="5"/>
      <c r="G118" s="36"/>
      <c r="H118" s="5"/>
      <c r="I118" s="5"/>
      <c r="J118" s="5"/>
      <c r="K118" s="5"/>
      <c r="M118" s="2"/>
      <c r="N118" s="49"/>
      <c r="O118" s="5"/>
      <c r="P118" s="5"/>
      <c r="Q118" s="49"/>
    </row>
    <row r="119" spans="1:17" ht="24.95" customHeight="1" x14ac:dyDescent="0.25">
      <c r="A119" s="5"/>
      <c r="B119" s="5"/>
      <c r="C119" s="5"/>
      <c r="D119" s="5"/>
      <c r="E119" s="5"/>
      <c r="F119" s="5"/>
      <c r="G119" s="36"/>
      <c r="H119" s="5"/>
      <c r="I119" s="5"/>
      <c r="J119" s="5"/>
      <c r="K119" s="5"/>
      <c r="M119" s="2"/>
      <c r="N119" s="49"/>
      <c r="O119" s="5"/>
      <c r="P119" s="5"/>
      <c r="Q119" s="49"/>
    </row>
    <row r="120" spans="1:17" ht="24.95" customHeight="1" x14ac:dyDescent="0.25">
      <c r="A120" s="5"/>
      <c r="B120" s="5"/>
      <c r="C120" s="5"/>
      <c r="D120" s="5"/>
      <c r="E120" s="5"/>
      <c r="F120" s="5"/>
      <c r="G120" s="36"/>
      <c r="H120" s="5"/>
      <c r="I120" s="5"/>
      <c r="J120" s="5"/>
      <c r="K120" s="5"/>
      <c r="M120" s="2"/>
      <c r="N120" s="49"/>
      <c r="O120" s="5"/>
      <c r="P120" s="5"/>
      <c r="Q120" s="49"/>
    </row>
    <row r="121" spans="1:17" ht="24.95" customHeight="1" x14ac:dyDescent="0.25">
      <c r="A121" s="5"/>
      <c r="B121" s="5"/>
      <c r="C121" s="5"/>
      <c r="D121" s="5"/>
      <c r="E121" s="5"/>
      <c r="F121" s="5"/>
      <c r="G121" s="36"/>
      <c r="H121" s="5"/>
      <c r="I121" s="5"/>
      <c r="J121" s="5"/>
      <c r="K121" s="5"/>
      <c r="M121" s="2"/>
      <c r="N121" s="49"/>
      <c r="O121" s="5"/>
      <c r="P121" s="5"/>
      <c r="Q121" s="49"/>
    </row>
    <row r="122" spans="1:17" ht="24.95" customHeight="1" x14ac:dyDescent="0.25">
      <c r="A122" s="5"/>
      <c r="B122" s="5"/>
      <c r="C122" s="5"/>
      <c r="D122" s="5"/>
      <c r="E122" s="5"/>
      <c r="F122" s="5"/>
      <c r="G122" s="36"/>
      <c r="H122" s="5"/>
      <c r="I122" s="5"/>
      <c r="J122" s="5"/>
      <c r="K122" s="5"/>
      <c r="M122" s="2"/>
      <c r="N122" s="49"/>
      <c r="O122" s="5"/>
      <c r="P122" s="5"/>
      <c r="Q122" s="49"/>
    </row>
    <row r="123" spans="1:17" ht="24.95" customHeight="1" x14ac:dyDescent="0.25">
      <c r="A123" s="5"/>
      <c r="B123" s="5"/>
      <c r="C123" s="5"/>
      <c r="D123" s="5"/>
      <c r="E123" s="5"/>
      <c r="F123" s="5"/>
      <c r="G123" s="36"/>
      <c r="H123" s="5"/>
      <c r="I123" s="5"/>
      <c r="J123" s="5"/>
      <c r="K123" s="5"/>
      <c r="M123" s="2"/>
      <c r="N123" s="49"/>
      <c r="O123" s="5"/>
      <c r="P123" s="5"/>
      <c r="Q123" s="49"/>
    </row>
    <row r="124" spans="1:17" ht="24.95" customHeight="1" x14ac:dyDescent="0.25">
      <c r="A124" s="5"/>
      <c r="B124" s="5"/>
      <c r="C124" s="5"/>
      <c r="D124" s="5"/>
      <c r="E124" s="5"/>
      <c r="F124" s="5"/>
      <c r="G124" s="36"/>
      <c r="H124" s="5"/>
      <c r="I124" s="5"/>
      <c r="J124" s="5"/>
      <c r="K124" s="5"/>
      <c r="M124" s="2"/>
      <c r="N124" s="49"/>
      <c r="O124" s="5"/>
      <c r="P124" s="5"/>
      <c r="Q124" s="49"/>
    </row>
    <row r="125" spans="1:17" ht="24.95" customHeight="1" x14ac:dyDescent="0.25">
      <c r="A125" s="5"/>
      <c r="B125" s="5"/>
      <c r="C125" s="5"/>
      <c r="D125" s="5"/>
      <c r="E125" s="5"/>
      <c r="F125" s="5"/>
      <c r="G125" s="36"/>
      <c r="H125" s="5"/>
      <c r="I125" s="5"/>
      <c r="J125" s="5"/>
      <c r="K125" s="5"/>
      <c r="M125" s="2"/>
      <c r="N125" s="49"/>
      <c r="O125" s="5"/>
      <c r="P125" s="5"/>
      <c r="Q125" s="49"/>
    </row>
    <row r="126" spans="1:17" ht="24.95" customHeight="1" x14ac:dyDescent="0.25">
      <c r="A126" s="5"/>
      <c r="B126" s="5"/>
      <c r="C126" s="5"/>
      <c r="D126" s="5"/>
      <c r="E126" s="5"/>
      <c r="F126" s="5"/>
      <c r="G126" s="36"/>
      <c r="H126" s="5"/>
      <c r="I126" s="5"/>
      <c r="J126" s="5"/>
      <c r="K126" s="5"/>
      <c r="M126" s="2"/>
      <c r="N126" s="49"/>
      <c r="O126" s="5"/>
      <c r="P126" s="5"/>
      <c r="Q126" s="49"/>
    </row>
    <row r="127" spans="1:17" ht="24.95" customHeight="1" x14ac:dyDescent="0.25">
      <c r="A127" s="5"/>
      <c r="B127" s="5"/>
      <c r="C127" s="5"/>
      <c r="D127" s="5"/>
      <c r="E127" s="5"/>
      <c r="F127" s="5"/>
      <c r="G127" s="36"/>
      <c r="H127" s="5"/>
      <c r="I127" s="5"/>
      <c r="J127" s="5"/>
      <c r="K127" s="5"/>
      <c r="M127" s="2"/>
      <c r="N127" s="49"/>
      <c r="O127" s="5"/>
      <c r="P127" s="5"/>
      <c r="Q127" s="49"/>
    </row>
    <row r="128" spans="1:17" ht="24.95" customHeight="1" x14ac:dyDescent="0.25">
      <c r="A128" s="5"/>
      <c r="B128" s="5"/>
      <c r="C128" s="5"/>
      <c r="D128" s="5"/>
      <c r="E128" s="5"/>
      <c r="F128" s="5"/>
      <c r="G128" s="36"/>
      <c r="H128" s="5"/>
      <c r="I128" s="5"/>
      <c r="J128" s="5"/>
      <c r="K128" s="5"/>
      <c r="M128" s="2"/>
      <c r="N128" s="49"/>
      <c r="O128" s="5"/>
      <c r="P128" s="5"/>
      <c r="Q128" s="49"/>
    </row>
    <row r="129" spans="1:17" ht="24.95" customHeight="1" x14ac:dyDescent="0.25">
      <c r="A129" s="5"/>
      <c r="B129" s="5"/>
      <c r="C129" s="5"/>
      <c r="D129" s="5"/>
      <c r="E129" s="5"/>
      <c r="F129" s="5"/>
      <c r="G129" s="36"/>
      <c r="H129" s="5"/>
      <c r="I129" s="5"/>
      <c r="J129" s="5"/>
      <c r="K129" s="5"/>
      <c r="M129" s="2"/>
      <c r="N129" s="49"/>
      <c r="O129" s="5"/>
      <c r="P129" s="5"/>
      <c r="Q129" s="49"/>
    </row>
    <row r="130" spans="1:17" ht="24.95" customHeight="1" x14ac:dyDescent="0.25">
      <c r="A130" s="5"/>
      <c r="B130" s="5"/>
      <c r="C130" s="5"/>
      <c r="D130" s="5"/>
      <c r="E130" s="5"/>
      <c r="F130" s="5"/>
      <c r="G130" s="36"/>
      <c r="H130" s="5"/>
      <c r="I130" s="5"/>
      <c r="J130" s="5"/>
      <c r="K130" s="5"/>
      <c r="M130" s="2"/>
      <c r="N130" s="49"/>
      <c r="O130" s="5"/>
      <c r="P130" s="5"/>
      <c r="Q130" s="49"/>
    </row>
    <row r="131" spans="1:17" ht="24.95" customHeight="1" x14ac:dyDescent="0.25">
      <c r="A131" s="5"/>
      <c r="B131" s="5"/>
      <c r="C131" s="5"/>
      <c r="D131" s="5"/>
      <c r="E131" s="5"/>
      <c r="F131" s="5"/>
      <c r="G131" s="36"/>
      <c r="H131" s="5"/>
      <c r="I131" s="5"/>
      <c r="J131" s="5"/>
      <c r="K131" s="5"/>
      <c r="M131" s="2"/>
      <c r="N131" s="49"/>
      <c r="O131" s="5"/>
      <c r="P131" s="5"/>
      <c r="Q131" s="49"/>
    </row>
    <row r="132" spans="1:17" ht="24.95" customHeight="1" x14ac:dyDescent="0.25">
      <c r="A132" s="5"/>
      <c r="B132" s="5"/>
      <c r="C132" s="5"/>
      <c r="D132" s="5"/>
      <c r="E132" s="5"/>
      <c r="F132" s="5"/>
      <c r="G132" s="36"/>
      <c r="H132" s="5"/>
      <c r="I132" s="5"/>
      <c r="J132" s="5"/>
      <c r="K132" s="5"/>
      <c r="M132" s="2"/>
      <c r="N132" s="49"/>
      <c r="O132" s="5"/>
      <c r="P132" s="5"/>
      <c r="Q132" s="49"/>
    </row>
    <row r="133" spans="1:17" ht="24.95" customHeight="1" x14ac:dyDescent="0.25">
      <c r="A133" s="5"/>
      <c r="B133" s="5"/>
      <c r="C133" s="5"/>
      <c r="D133" s="5"/>
      <c r="E133" s="5"/>
      <c r="F133" s="5"/>
      <c r="G133" s="36"/>
      <c r="H133" s="5"/>
      <c r="I133" s="5"/>
      <c r="J133" s="5"/>
      <c r="K133" s="5"/>
      <c r="M133" s="2"/>
      <c r="N133" s="49"/>
      <c r="O133" s="5"/>
      <c r="P133" s="5"/>
      <c r="Q133" s="49"/>
    </row>
    <row r="134" spans="1:17" ht="24.95" customHeight="1" x14ac:dyDescent="0.25">
      <c r="A134" s="5"/>
      <c r="B134" s="5"/>
      <c r="C134" s="5"/>
      <c r="D134" s="5"/>
      <c r="E134" s="5"/>
      <c r="F134" s="5"/>
      <c r="G134" s="36"/>
      <c r="H134" s="5"/>
      <c r="I134" s="5"/>
      <c r="J134" s="5"/>
      <c r="K134" s="5"/>
      <c r="M134" s="2"/>
      <c r="N134" s="49"/>
      <c r="O134" s="5"/>
      <c r="P134" s="5"/>
      <c r="Q134" s="49"/>
    </row>
    <row r="135" spans="1:17" ht="24.95" customHeight="1" x14ac:dyDescent="0.25">
      <c r="A135" s="5"/>
      <c r="B135" s="5"/>
      <c r="C135" s="5"/>
      <c r="D135" s="5"/>
      <c r="E135" s="5"/>
      <c r="F135" s="5"/>
      <c r="G135" s="36"/>
      <c r="H135" s="5"/>
      <c r="I135" s="5"/>
      <c r="J135" s="5"/>
      <c r="K135" s="5"/>
      <c r="M135" s="2"/>
      <c r="N135" s="49"/>
      <c r="O135" s="5"/>
      <c r="P135" s="5"/>
      <c r="Q135" s="49"/>
    </row>
    <row r="136" spans="1:17" ht="24.95" customHeight="1" x14ac:dyDescent="0.25">
      <c r="A136" s="5"/>
      <c r="B136" s="5"/>
      <c r="C136" s="5"/>
      <c r="D136" s="5"/>
      <c r="E136" s="5"/>
      <c r="F136" s="5"/>
      <c r="G136" s="36"/>
      <c r="H136" s="5"/>
      <c r="I136" s="5"/>
      <c r="J136" s="5"/>
      <c r="K136" s="5"/>
      <c r="M136" s="2"/>
      <c r="N136" s="49"/>
      <c r="O136" s="5"/>
      <c r="P136" s="5"/>
      <c r="Q136" s="49"/>
    </row>
    <row r="137" spans="1:17" ht="24.95" customHeight="1" x14ac:dyDescent="0.25">
      <c r="A137" s="5"/>
      <c r="B137" s="5"/>
      <c r="C137" s="5"/>
      <c r="D137" s="5"/>
      <c r="E137" s="5"/>
      <c r="F137" s="5"/>
      <c r="G137" s="36"/>
      <c r="H137" s="5"/>
      <c r="I137" s="5"/>
      <c r="J137" s="5"/>
      <c r="K137" s="5"/>
      <c r="M137" s="2"/>
      <c r="N137" s="49"/>
      <c r="O137" s="5"/>
      <c r="P137" s="5"/>
      <c r="Q137" s="49"/>
    </row>
    <row r="138" spans="1:17" ht="24.95" customHeight="1" x14ac:dyDescent="0.25">
      <c r="A138" s="5"/>
      <c r="B138" s="5"/>
      <c r="C138" s="5"/>
      <c r="D138" s="5"/>
      <c r="E138" s="5"/>
      <c r="F138" s="5"/>
      <c r="G138" s="36"/>
      <c r="H138" s="5"/>
      <c r="I138" s="5"/>
      <c r="J138" s="5"/>
      <c r="K138" s="5"/>
      <c r="M138" s="2"/>
      <c r="N138" s="49"/>
      <c r="O138" s="5"/>
      <c r="P138" s="5"/>
      <c r="Q138" s="49"/>
    </row>
    <row r="139" spans="1:17" ht="24.95" customHeight="1" x14ac:dyDescent="0.25">
      <c r="A139" s="5"/>
      <c r="B139" s="5"/>
      <c r="C139" s="5"/>
      <c r="D139" s="5"/>
      <c r="E139" s="5"/>
      <c r="F139" s="5"/>
      <c r="G139" s="36"/>
      <c r="H139" s="5"/>
      <c r="I139" s="5"/>
      <c r="J139" s="5"/>
      <c r="K139" s="5"/>
      <c r="M139" s="2"/>
      <c r="N139" s="49"/>
      <c r="O139" s="5"/>
      <c r="P139" s="5"/>
      <c r="Q139" s="49"/>
    </row>
    <row r="140" spans="1:17" ht="24.95" customHeight="1" x14ac:dyDescent="0.25">
      <c r="A140" s="5"/>
      <c r="B140" s="5"/>
      <c r="C140" s="5"/>
      <c r="D140" s="5"/>
      <c r="E140" s="5"/>
      <c r="F140" s="5"/>
      <c r="G140" s="36"/>
      <c r="H140" s="5"/>
      <c r="I140" s="5"/>
      <c r="J140" s="5"/>
      <c r="K140" s="5"/>
      <c r="M140" s="2"/>
      <c r="N140" s="49"/>
      <c r="O140" s="5"/>
      <c r="P140" s="5"/>
      <c r="Q140" s="49"/>
    </row>
    <row r="141" spans="1:17" ht="24.95" customHeight="1" x14ac:dyDescent="0.25">
      <c r="A141" s="5"/>
      <c r="B141" s="5"/>
      <c r="C141" s="5"/>
      <c r="D141" s="5"/>
      <c r="E141" s="5"/>
      <c r="F141" s="5"/>
      <c r="G141" s="36"/>
      <c r="H141" s="5"/>
      <c r="I141" s="5"/>
      <c r="J141" s="5"/>
      <c r="K141" s="5"/>
      <c r="M141" s="2"/>
      <c r="N141" s="49"/>
      <c r="O141" s="5"/>
      <c r="P141" s="5"/>
      <c r="Q141" s="49"/>
    </row>
    <row r="142" spans="1:17" ht="24.95" customHeight="1" x14ac:dyDescent="0.25">
      <c r="A142" s="5"/>
      <c r="B142" s="5"/>
      <c r="C142" s="5"/>
      <c r="D142" s="5"/>
      <c r="E142" s="5"/>
      <c r="F142" s="5"/>
      <c r="G142" s="36"/>
      <c r="H142" s="5"/>
      <c r="I142" s="5"/>
      <c r="J142" s="5"/>
      <c r="K142" s="5"/>
      <c r="M142" s="2"/>
      <c r="N142" s="49"/>
      <c r="O142" s="5"/>
      <c r="P142" s="5"/>
      <c r="Q142" s="49"/>
    </row>
    <row r="143" spans="1:17" ht="24.95" customHeight="1" x14ac:dyDescent="0.25">
      <c r="A143" s="5"/>
      <c r="B143" s="5"/>
      <c r="C143" s="5"/>
      <c r="D143" s="5"/>
      <c r="E143" s="5"/>
      <c r="F143" s="5"/>
      <c r="G143" s="36"/>
      <c r="H143" s="5"/>
      <c r="I143" s="5"/>
      <c r="J143" s="5"/>
      <c r="K143" s="5"/>
      <c r="M143" s="2"/>
      <c r="N143" s="49"/>
      <c r="O143" s="5"/>
      <c r="P143" s="5"/>
      <c r="Q143" s="49"/>
    </row>
    <row r="144" spans="1:17" ht="24.95" customHeight="1" x14ac:dyDescent="0.25">
      <c r="A144" s="5"/>
      <c r="B144" s="5"/>
      <c r="C144" s="5"/>
      <c r="D144" s="5"/>
      <c r="E144" s="5"/>
      <c r="F144" s="5"/>
      <c r="G144" s="36"/>
      <c r="H144" s="5"/>
      <c r="I144" s="5"/>
      <c r="J144" s="5"/>
      <c r="K144" s="5"/>
      <c r="M144" s="2"/>
      <c r="N144" s="49"/>
      <c r="O144" s="5"/>
      <c r="P144" s="5"/>
      <c r="Q144" s="49"/>
    </row>
    <row r="145" spans="1:17" ht="24.95" customHeight="1" x14ac:dyDescent="0.25">
      <c r="A145" s="5"/>
      <c r="B145" s="5"/>
      <c r="C145" s="5"/>
      <c r="D145" s="5"/>
      <c r="E145" s="5"/>
      <c r="F145" s="5"/>
      <c r="G145" s="36"/>
      <c r="H145" s="5"/>
      <c r="I145" s="5"/>
      <c r="J145" s="5"/>
      <c r="K145" s="5"/>
      <c r="M145" s="2"/>
      <c r="N145" s="49"/>
      <c r="O145" s="5"/>
      <c r="P145" s="5"/>
      <c r="Q145" s="49"/>
    </row>
    <row r="146" spans="1:17" ht="24.95" customHeight="1" x14ac:dyDescent="0.25">
      <c r="A146" s="5"/>
      <c r="B146" s="5"/>
      <c r="C146" s="5"/>
      <c r="D146" s="5"/>
      <c r="E146" s="5"/>
      <c r="F146" s="5"/>
      <c r="G146" s="36"/>
      <c r="H146" s="5"/>
      <c r="I146" s="5"/>
      <c r="J146" s="5"/>
      <c r="K146" s="5"/>
      <c r="M146" s="2"/>
      <c r="N146" s="49"/>
      <c r="O146" s="5"/>
      <c r="P146" s="5"/>
      <c r="Q146" s="49"/>
    </row>
    <row r="147" spans="1:17" ht="24.95" customHeight="1" x14ac:dyDescent="0.25">
      <c r="A147" s="5"/>
      <c r="B147" s="5"/>
      <c r="C147" s="5"/>
      <c r="D147" s="5"/>
      <c r="E147" s="5"/>
      <c r="F147" s="5"/>
      <c r="G147" s="36"/>
      <c r="H147" s="5"/>
      <c r="I147" s="5"/>
      <c r="J147" s="5"/>
      <c r="K147" s="5"/>
      <c r="M147" s="2"/>
      <c r="N147" s="49"/>
      <c r="O147" s="5"/>
      <c r="P147" s="5"/>
      <c r="Q147" s="49"/>
    </row>
    <row r="148" spans="1:17" ht="24.95" customHeight="1" x14ac:dyDescent="0.25">
      <c r="A148" s="5"/>
      <c r="B148" s="5"/>
      <c r="C148" s="5"/>
      <c r="D148" s="5"/>
      <c r="E148" s="5"/>
      <c r="F148" s="5"/>
      <c r="G148" s="36"/>
      <c r="H148" s="5"/>
      <c r="I148" s="5"/>
      <c r="J148" s="5"/>
      <c r="K148" s="5"/>
      <c r="M148" s="2"/>
      <c r="N148" s="49"/>
      <c r="O148" s="5"/>
      <c r="P148" s="5"/>
      <c r="Q148" s="49"/>
    </row>
    <row r="149" spans="1:17" ht="24.95" customHeight="1" x14ac:dyDescent="0.25">
      <c r="A149" s="5"/>
      <c r="B149" s="5"/>
      <c r="C149" s="5"/>
      <c r="D149" s="5"/>
      <c r="E149" s="5"/>
      <c r="F149" s="5"/>
      <c r="G149" s="36"/>
      <c r="H149" s="5"/>
      <c r="I149" s="5"/>
      <c r="J149" s="5"/>
      <c r="K149" s="5"/>
      <c r="M149" s="2"/>
      <c r="N149" s="49"/>
      <c r="O149" s="5"/>
      <c r="P149" s="5"/>
      <c r="Q149" s="49"/>
    </row>
    <row r="150" spans="1:17" ht="24.95" customHeight="1" x14ac:dyDescent="0.25">
      <c r="A150" s="5"/>
      <c r="B150" s="5"/>
      <c r="C150" s="5"/>
      <c r="D150" s="5"/>
      <c r="E150" s="5"/>
      <c r="F150" s="5"/>
      <c r="G150" s="36"/>
      <c r="H150" s="5"/>
      <c r="I150" s="5"/>
      <c r="J150" s="5"/>
      <c r="K150" s="5"/>
      <c r="M150" s="2"/>
      <c r="N150" s="49"/>
      <c r="O150" s="5"/>
      <c r="P150" s="5"/>
      <c r="Q150" s="49"/>
    </row>
    <row r="151" spans="1:17" ht="24.95" customHeight="1" x14ac:dyDescent="0.25">
      <c r="A151" s="5"/>
      <c r="B151" s="5"/>
      <c r="C151" s="5"/>
      <c r="D151" s="5"/>
      <c r="E151" s="5"/>
      <c r="F151" s="5"/>
      <c r="G151" s="36"/>
      <c r="H151" s="5"/>
      <c r="I151" s="5"/>
      <c r="J151" s="5"/>
      <c r="K151" s="5"/>
      <c r="M151" s="2"/>
      <c r="N151" s="49"/>
      <c r="O151" s="5"/>
      <c r="P151" s="5"/>
      <c r="Q151" s="49"/>
    </row>
    <row r="152" spans="1:17" ht="24.95" customHeight="1" x14ac:dyDescent="0.25">
      <c r="A152" s="5"/>
      <c r="B152" s="5"/>
      <c r="C152" s="5"/>
      <c r="D152" s="5"/>
      <c r="E152" s="5"/>
      <c r="F152" s="5"/>
      <c r="G152" s="36"/>
      <c r="H152" s="5"/>
      <c r="I152" s="5"/>
      <c r="J152" s="5"/>
      <c r="K152" s="5"/>
      <c r="M152" s="2"/>
      <c r="N152" s="49"/>
      <c r="O152" s="5"/>
      <c r="P152" s="5"/>
      <c r="Q152" s="49"/>
    </row>
    <row r="153" spans="1:17" ht="24.95" customHeight="1" x14ac:dyDescent="0.25">
      <c r="A153" s="5"/>
      <c r="B153" s="5"/>
      <c r="C153" s="5"/>
      <c r="D153" s="5"/>
      <c r="E153" s="5"/>
      <c r="F153" s="5"/>
      <c r="G153" s="36"/>
      <c r="H153" s="5"/>
      <c r="I153" s="5"/>
      <c r="J153" s="5"/>
      <c r="K153" s="5"/>
      <c r="M153" s="2"/>
      <c r="N153" s="49"/>
      <c r="O153" s="5"/>
      <c r="P153" s="5"/>
      <c r="Q153" s="49"/>
    </row>
    <row r="154" spans="1:17" ht="24.95" customHeight="1" x14ac:dyDescent="0.25">
      <c r="A154" s="5"/>
      <c r="B154" s="5"/>
      <c r="C154" s="5"/>
      <c r="D154" s="5"/>
      <c r="E154" s="5"/>
      <c r="F154" s="5"/>
      <c r="G154" s="36"/>
      <c r="H154" s="5"/>
      <c r="I154" s="5"/>
      <c r="J154" s="5"/>
      <c r="K154" s="5"/>
      <c r="M154" s="2"/>
      <c r="N154" s="49"/>
      <c r="O154" s="5"/>
      <c r="P154" s="5"/>
      <c r="Q154" s="49"/>
    </row>
    <row r="155" spans="1:17" ht="24.95" customHeight="1" x14ac:dyDescent="0.25">
      <c r="A155" s="5"/>
      <c r="B155" s="5"/>
      <c r="C155" s="5"/>
      <c r="D155" s="5"/>
      <c r="E155" s="5"/>
      <c r="F155" s="5"/>
      <c r="G155" s="36"/>
      <c r="H155" s="5"/>
      <c r="I155" s="5"/>
      <c r="J155" s="5"/>
      <c r="K155" s="5"/>
      <c r="M155" s="2"/>
      <c r="N155" s="49"/>
      <c r="O155" s="5"/>
      <c r="P155" s="5"/>
      <c r="Q155" s="49"/>
    </row>
    <row r="156" spans="1:17" ht="24.95" customHeight="1" x14ac:dyDescent="0.25">
      <c r="A156" s="5"/>
      <c r="B156" s="5"/>
      <c r="C156" s="5"/>
      <c r="D156" s="5"/>
      <c r="E156" s="5"/>
      <c r="F156" s="5"/>
      <c r="G156" s="36"/>
      <c r="H156" s="5"/>
      <c r="I156" s="5"/>
      <c r="J156" s="5"/>
      <c r="K156" s="5"/>
      <c r="M156" s="2"/>
      <c r="N156" s="49"/>
      <c r="O156" s="5"/>
      <c r="P156" s="5"/>
      <c r="Q156" s="49"/>
    </row>
    <row r="157" spans="1:17" ht="24.95" customHeight="1" x14ac:dyDescent="0.25">
      <c r="A157" s="5"/>
      <c r="B157" s="5"/>
      <c r="C157" s="5"/>
      <c r="D157" s="5"/>
      <c r="E157" s="5"/>
      <c r="F157" s="5"/>
      <c r="G157" s="36"/>
      <c r="H157" s="5"/>
      <c r="I157" s="5"/>
      <c r="J157" s="5"/>
      <c r="K157" s="5"/>
      <c r="M157" s="2"/>
      <c r="N157" s="49"/>
      <c r="O157" s="5"/>
      <c r="P157" s="5"/>
      <c r="Q157" s="49"/>
    </row>
    <row r="158" spans="1:17" ht="24.95" customHeight="1" x14ac:dyDescent="0.25">
      <c r="A158" s="5"/>
      <c r="B158" s="5"/>
      <c r="C158" s="5"/>
      <c r="D158" s="5"/>
      <c r="E158" s="5"/>
      <c r="F158" s="5"/>
      <c r="G158" s="36"/>
      <c r="H158" s="5"/>
      <c r="I158" s="5"/>
      <c r="J158" s="5"/>
      <c r="K158" s="5"/>
      <c r="M158" s="2"/>
      <c r="N158" s="49"/>
      <c r="O158" s="5"/>
      <c r="P158" s="5"/>
      <c r="Q158" s="49"/>
    </row>
    <row r="159" spans="1:17" ht="24.95" customHeight="1" x14ac:dyDescent="0.25">
      <c r="A159" s="5"/>
      <c r="B159" s="5"/>
      <c r="C159" s="5"/>
      <c r="D159" s="5"/>
      <c r="E159" s="5"/>
      <c r="F159" s="5"/>
      <c r="G159" s="36"/>
      <c r="H159" s="5"/>
      <c r="I159" s="5"/>
      <c r="J159" s="5"/>
      <c r="K159" s="5"/>
      <c r="M159" s="2"/>
      <c r="N159" s="49"/>
      <c r="O159" s="5"/>
      <c r="P159" s="5"/>
      <c r="Q159" s="49"/>
    </row>
    <row r="160" spans="1:17" ht="24.95" customHeight="1" x14ac:dyDescent="0.25">
      <c r="A160" s="5"/>
      <c r="B160" s="5"/>
      <c r="C160" s="5"/>
      <c r="D160" s="5"/>
      <c r="E160" s="5"/>
      <c r="F160" s="5"/>
      <c r="G160" s="36"/>
      <c r="H160" s="5"/>
      <c r="I160" s="5"/>
      <c r="J160" s="5"/>
      <c r="K160" s="5"/>
      <c r="M160" s="2"/>
      <c r="N160" s="49"/>
      <c r="O160" s="5"/>
      <c r="P160" s="5"/>
      <c r="Q160" s="49"/>
    </row>
    <row r="161" spans="1:17" ht="24.95" customHeight="1" x14ac:dyDescent="0.25">
      <c r="A161" s="5"/>
      <c r="B161" s="5"/>
      <c r="C161" s="5"/>
      <c r="D161" s="5"/>
      <c r="E161" s="5"/>
      <c r="F161" s="5"/>
      <c r="G161" s="36"/>
      <c r="H161" s="5"/>
      <c r="I161" s="5"/>
      <c r="J161" s="5"/>
      <c r="K161" s="5"/>
      <c r="M161" s="2"/>
      <c r="N161" s="49"/>
      <c r="O161" s="5"/>
      <c r="P161" s="5"/>
      <c r="Q161" s="49"/>
    </row>
    <row r="162" spans="1:17" ht="24.95" customHeight="1" x14ac:dyDescent="0.25">
      <c r="A162" s="5"/>
      <c r="B162" s="5"/>
      <c r="C162" s="5"/>
      <c r="D162" s="5"/>
      <c r="E162" s="5"/>
      <c r="F162" s="5"/>
      <c r="G162" s="36"/>
      <c r="H162" s="5"/>
      <c r="I162" s="5"/>
      <c r="J162" s="5"/>
      <c r="K162" s="5"/>
      <c r="M162" s="2"/>
      <c r="N162" s="49"/>
      <c r="O162" s="5"/>
      <c r="P162" s="5"/>
      <c r="Q162" s="49"/>
    </row>
    <row r="163" spans="1:17" ht="24.95" customHeight="1" x14ac:dyDescent="0.25">
      <c r="A163" s="5"/>
      <c r="B163" s="5"/>
      <c r="C163" s="5"/>
      <c r="D163" s="5"/>
      <c r="E163" s="5"/>
      <c r="F163" s="5"/>
      <c r="G163" s="36"/>
      <c r="H163" s="5"/>
      <c r="I163" s="5"/>
      <c r="J163" s="5"/>
      <c r="K163" s="5"/>
      <c r="M163" s="2"/>
      <c r="N163" s="49"/>
      <c r="O163" s="5"/>
      <c r="P163" s="5"/>
      <c r="Q163" s="49"/>
    </row>
    <row r="164" spans="1:17" ht="24.95" customHeight="1" x14ac:dyDescent="0.25">
      <c r="A164" s="5"/>
      <c r="B164" s="5"/>
      <c r="C164" s="5"/>
      <c r="D164" s="5"/>
      <c r="E164" s="5"/>
      <c r="F164" s="5"/>
      <c r="G164" s="36"/>
      <c r="H164" s="5"/>
      <c r="I164" s="5"/>
      <c r="J164" s="5"/>
      <c r="K164" s="5"/>
      <c r="M164" s="2"/>
      <c r="N164" s="49"/>
      <c r="O164" s="5"/>
      <c r="P164" s="5"/>
      <c r="Q164" s="49"/>
    </row>
    <row r="165" spans="1:17" ht="24.95" customHeight="1" x14ac:dyDescent="0.25">
      <c r="A165" s="5"/>
      <c r="B165" s="5"/>
      <c r="C165" s="5"/>
      <c r="D165" s="5"/>
      <c r="E165" s="5"/>
      <c r="F165" s="5"/>
      <c r="G165" s="36"/>
      <c r="H165" s="5"/>
      <c r="I165" s="5"/>
      <c r="J165" s="5"/>
      <c r="K165" s="5"/>
      <c r="M165" s="2"/>
      <c r="N165" s="49"/>
      <c r="O165" s="5"/>
      <c r="P165" s="5"/>
      <c r="Q165" s="49"/>
    </row>
    <row r="166" spans="1:17" ht="24.95" customHeight="1" x14ac:dyDescent="0.25">
      <c r="A166" s="5"/>
      <c r="B166" s="5"/>
      <c r="C166" s="5"/>
      <c r="D166" s="5"/>
      <c r="E166" s="5"/>
      <c r="F166" s="5"/>
      <c r="G166" s="36"/>
      <c r="H166" s="5"/>
      <c r="I166" s="5"/>
      <c r="J166" s="5"/>
      <c r="K166" s="5"/>
      <c r="M166" s="2"/>
      <c r="N166" s="49"/>
      <c r="O166" s="5"/>
      <c r="P166" s="5"/>
      <c r="Q166" s="49"/>
    </row>
    <row r="167" spans="1:17" ht="24.95" customHeight="1" x14ac:dyDescent="0.25">
      <c r="A167" s="5"/>
      <c r="B167" s="5"/>
      <c r="C167" s="5"/>
      <c r="D167" s="5"/>
      <c r="E167" s="5"/>
      <c r="F167" s="5"/>
      <c r="G167" s="36"/>
      <c r="H167" s="5"/>
      <c r="I167" s="5"/>
      <c r="J167" s="5"/>
      <c r="K167" s="5"/>
      <c r="M167" s="2"/>
      <c r="N167" s="49"/>
      <c r="O167" s="5"/>
      <c r="P167" s="5"/>
      <c r="Q167" s="49"/>
    </row>
    <row r="168" spans="1:17" ht="24.95" customHeight="1" x14ac:dyDescent="0.25">
      <c r="A168" s="5"/>
      <c r="B168" s="5"/>
      <c r="C168" s="5"/>
      <c r="D168" s="5"/>
      <c r="E168" s="5"/>
      <c r="F168" s="5"/>
      <c r="G168" s="36"/>
      <c r="H168" s="5"/>
      <c r="I168" s="5"/>
      <c r="J168" s="5"/>
      <c r="K168" s="5"/>
      <c r="M168" s="2"/>
      <c r="N168" s="49"/>
      <c r="O168" s="5"/>
      <c r="P168" s="5"/>
      <c r="Q168" s="49"/>
    </row>
    <row r="169" spans="1:17" ht="24.95" customHeight="1" x14ac:dyDescent="0.25">
      <c r="A169" s="5"/>
      <c r="B169" s="5"/>
      <c r="C169" s="5"/>
      <c r="D169" s="5"/>
      <c r="E169" s="5"/>
      <c r="F169" s="5"/>
      <c r="G169" s="36"/>
      <c r="H169" s="5"/>
      <c r="I169" s="5"/>
      <c r="J169" s="5"/>
      <c r="K169" s="5"/>
      <c r="M169" s="2"/>
      <c r="N169" s="49"/>
      <c r="O169" s="5"/>
      <c r="P169" s="5"/>
      <c r="Q169" s="49"/>
    </row>
    <row r="170" spans="1:17" ht="24.95" customHeight="1" x14ac:dyDescent="0.25">
      <c r="A170" s="5"/>
      <c r="B170" s="5"/>
      <c r="C170" s="5"/>
      <c r="D170" s="5"/>
      <c r="E170" s="5"/>
      <c r="F170" s="5"/>
      <c r="G170" s="36"/>
      <c r="H170" s="5"/>
      <c r="I170" s="5"/>
      <c r="J170" s="5"/>
      <c r="K170" s="5"/>
      <c r="M170" s="2"/>
      <c r="N170" s="49"/>
      <c r="O170" s="5"/>
      <c r="P170" s="5"/>
      <c r="Q170" s="49"/>
    </row>
    <row r="171" spans="1:17" ht="24.95" customHeight="1" x14ac:dyDescent="0.25">
      <c r="A171" s="5"/>
      <c r="B171" s="5"/>
      <c r="C171" s="5"/>
      <c r="D171" s="5"/>
      <c r="E171" s="5"/>
      <c r="F171" s="5"/>
      <c r="G171" s="36"/>
      <c r="H171" s="5"/>
      <c r="I171" s="5"/>
      <c r="J171" s="5"/>
      <c r="K171" s="5"/>
      <c r="M171" s="2"/>
      <c r="N171" s="49"/>
      <c r="O171" s="5"/>
      <c r="P171" s="5"/>
      <c r="Q171" s="49"/>
    </row>
    <row r="172" spans="1:17" ht="24.95" customHeight="1" x14ac:dyDescent="0.25">
      <c r="A172" s="5"/>
      <c r="B172" s="5"/>
      <c r="C172" s="5"/>
      <c r="D172" s="5"/>
      <c r="E172" s="5"/>
      <c r="F172" s="5"/>
      <c r="G172" s="36"/>
      <c r="H172" s="5"/>
      <c r="I172" s="5"/>
      <c r="J172" s="5"/>
      <c r="K172" s="5"/>
      <c r="M172" s="2"/>
      <c r="N172" s="49"/>
      <c r="O172" s="5"/>
      <c r="P172" s="5"/>
      <c r="Q172" s="49"/>
    </row>
    <row r="173" spans="1:17" ht="24.95" customHeight="1" x14ac:dyDescent="0.25">
      <c r="A173" s="5"/>
      <c r="B173" s="5"/>
      <c r="C173" s="5"/>
      <c r="D173" s="5"/>
      <c r="E173" s="5"/>
      <c r="F173" s="5"/>
      <c r="G173" s="36"/>
      <c r="H173" s="5"/>
      <c r="I173" s="5"/>
      <c r="J173" s="5"/>
      <c r="K173" s="5"/>
      <c r="M173" s="2"/>
      <c r="N173" s="49"/>
      <c r="O173" s="5"/>
      <c r="P173" s="5"/>
      <c r="Q173" s="49"/>
    </row>
    <row r="174" spans="1:17" ht="24.95" customHeight="1" x14ac:dyDescent="0.25">
      <c r="A174" s="5"/>
      <c r="B174" s="5"/>
      <c r="C174" s="5"/>
      <c r="D174" s="5"/>
      <c r="E174" s="5"/>
      <c r="F174" s="5"/>
      <c r="G174" s="36"/>
      <c r="H174" s="5"/>
      <c r="I174" s="5"/>
      <c r="J174" s="5"/>
      <c r="K174" s="5"/>
      <c r="M174" s="2"/>
      <c r="N174" s="49"/>
      <c r="O174" s="5"/>
      <c r="P174" s="5"/>
      <c r="Q174" s="49"/>
    </row>
    <row r="175" spans="1:17" ht="24.95" customHeight="1" x14ac:dyDescent="0.25">
      <c r="A175" s="5"/>
      <c r="B175" s="5"/>
      <c r="C175" s="5"/>
      <c r="D175" s="5"/>
      <c r="E175" s="5"/>
      <c r="F175" s="5"/>
      <c r="G175" s="36"/>
      <c r="H175" s="5"/>
      <c r="I175" s="5"/>
      <c r="J175" s="5"/>
      <c r="K175" s="5"/>
      <c r="M175" s="2"/>
      <c r="N175" s="49"/>
      <c r="O175" s="5"/>
      <c r="P175" s="5"/>
      <c r="Q175" s="49"/>
    </row>
    <row r="176" spans="1:17" ht="24.95" customHeight="1" x14ac:dyDescent="0.25">
      <c r="A176" s="5"/>
      <c r="B176" s="5"/>
      <c r="C176" s="5"/>
      <c r="D176" s="5"/>
      <c r="E176" s="5"/>
      <c r="F176" s="5"/>
      <c r="G176" s="36"/>
      <c r="H176" s="5"/>
      <c r="I176" s="5"/>
      <c r="J176" s="5"/>
      <c r="K176" s="5"/>
      <c r="M176" s="2"/>
      <c r="N176" s="49"/>
      <c r="O176" s="5"/>
      <c r="P176" s="5"/>
      <c r="Q176" s="49"/>
    </row>
    <row r="177" spans="1:17" ht="24.95" customHeight="1" x14ac:dyDescent="0.25">
      <c r="A177" s="5"/>
      <c r="B177" s="5"/>
      <c r="C177" s="5"/>
      <c r="D177" s="5"/>
      <c r="E177" s="5"/>
      <c r="F177" s="5"/>
      <c r="G177" s="36"/>
      <c r="H177" s="5"/>
      <c r="I177" s="5"/>
      <c r="J177" s="5"/>
      <c r="K177" s="5"/>
      <c r="M177" s="2"/>
      <c r="N177" s="49"/>
      <c r="O177" s="5"/>
      <c r="P177" s="5"/>
      <c r="Q177" s="49"/>
    </row>
    <row r="178" spans="1:17" ht="24.95" customHeight="1" x14ac:dyDescent="0.25">
      <c r="A178" s="5"/>
      <c r="B178" s="5"/>
      <c r="C178" s="5"/>
      <c r="D178" s="5"/>
      <c r="E178" s="5"/>
      <c r="F178" s="5"/>
      <c r="G178" s="36"/>
      <c r="H178" s="5"/>
      <c r="I178" s="5"/>
      <c r="J178" s="5"/>
      <c r="K178" s="5"/>
      <c r="M178" s="2"/>
      <c r="N178" s="49"/>
      <c r="O178" s="5"/>
      <c r="P178" s="5"/>
      <c r="Q178" s="49"/>
    </row>
    <row r="179" spans="1:17" ht="24.95" customHeight="1" x14ac:dyDescent="0.25">
      <c r="A179" s="5"/>
      <c r="B179" s="5"/>
      <c r="C179" s="5"/>
      <c r="D179" s="5"/>
      <c r="E179" s="5"/>
      <c r="F179" s="5"/>
      <c r="G179" s="36"/>
      <c r="H179" s="5"/>
      <c r="I179" s="5"/>
      <c r="J179" s="5"/>
      <c r="K179" s="5"/>
      <c r="M179" s="2"/>
      <c r="N179" s="49"/>
      <c r="O179" s="5"/>
      <c r="P179" s="5"/>
      <c r="Q179" s="49"/>
    </row>
    <row r="180" spans="1:17" ht="24.95" customHeight="1" x14ac:dyDescent="0.25">
      <c r="A180" s="5"/>
      <c r="B180" s="5"/>
      <c r="C180" s="5"/>
      <c r="D180" s="5"/>
      <c r="E180" s="5"/>
      <c r="F180" s="5"/>
      <c r="G180" s="36"/>
      <c r="H180" s="5"/>
      <c r="I180" s="5"/>
      <c r="J180" s="5"/>
      <c r="K180" s="5"/>
      <c r="M180" s="2"/>
      <c r="N180" s="49"/>
      <c r="O180" s="5"/>
      <c r="P180" s="5"/>
      <c r="Q180" s="49"/>
    </row>
    <row r="181" spans="1:17" ht="24.95" customHeight="1" x14ac:dyDescent="0.25">
      <c r="G181" s="36"/>
    </row>
    <row r="182" spans="1:17" ht="24.95" customHeight="1" x14ac:dyDescent="0.25">
      <c r="G182" s="36"/>
    </row>
    <row r="183" spans="1:17" x14ac:dyDescent="0.25">
      <c r="G183" s="36"/>
    </row>
    <row r="184" spans="1:17" x14ac:dyDescent="0.25">
      <c r="G184" s="36"/>
    </row>
    <row r="185" spans="1:17" x14ac:dyDescent="0.25">
      <c r="G185" s="36"/>
    </row>
    <row r="186" spans="1:17" x14ac:dyDescent="0.25">
      <c r="F186" s="2"/>
      <c r="G186" s="36"/>
    </row>
    <row r="187" spans="1:17" x14ac:dyDescent="0.25">
      <c r="G187" s="36"/>
    </row>
    <row r="188" spans="1:17" x14ac:dyDescent="0.25">
      <c r="G188" s="36"/>
    </row>
    <row r="189" spans="1:17" x14ac:dyDescent="0.25">
      <c r="G189" s="36"/>
    </row>
    <row r="190" spans="1:17" x14ac:dyDescent="0.25">
      <c r="G190" s="36"/>
    </row>
    <row r="191" spans="1:17" x14ac:dyDescent="0.25">
      <c r="G191" s="36"/>
    </row>
    <row r="192" spans="1:17" x14ac:dyDescent="0.25">
      <c r="G192" s="36"/>
    </row>
    <row r="193" spans="6:7" x14ac:dyDescent="0.25">
      <c r="G193" s="36"/>
    </row>
    <row r="194" spans="6:7" x14ac:dyDescent="0.25">
      <c r="G194" s="36"/>
    </row>
    <row r="195" spans="6:7" x14ac:dyDescent="0.25">
      <c r="G195" s="36"/>
    </row>
    <row r="196" spans="6:7" x14ac:dyDescent="0.25">
      <c r="G196" s="36"/>
    </row>
    <row r="197" spans="6:7" x14ac:dyDescent="0.25">
      <c r="G197" s="36"/>
    </row>
    <row r="198" spans="6:7" x14ac:dyDescent="0.25">
      <c r="F198" s="2"/>
      <c r="G198" s="36"/>
    </row>
    <row r="199" spans="6:7" x14ac:dyDescent="0.25">
      <c r="F199" s="2"/>
      <c r="G199" s="36"/>
    </row>
    <row r="200" spans="6:7" x14ac:dyDescent="0.25">
      <c r="G200" s="36"/>
    </row>
    <row r="201" spans="6:7" x14ac:dyDescent="0.25">
      <c r="G201" s="36"/>
    </row>
    <row r="202" spans="6:7" x14ac:dyDescent="0.25">
      <c r="F202" s="3"/>
      <c r="G202" s="36"/>
    </row>
    <row r="203" spans="6:7" x14ac:dyDescent="0.25">
      <c r="F203" s="3"/>
      <c r="G203" s="36"/>
    </row>
    <row r="204" spans="6:7" x14ac:dyDescent="0.25">
      <c r="F204" s="3"/>
      <c r="G204" s="36"/>
    </row>
    <row r="205" spans="6:7" x14ac:dyDescent="0.25">
      <c r="F205" s="2"/>
      <c r="G205" s="36"/>
    </row>
    <row r="206" spans="6:7" x14ac:dyDescent="0.25">
      <c r="G206" s="36"/>
    </row>
    <row r="207" spans="6:7" x14ac:dyDescent="0.25">
      <c r="F207" s="2"/>
      <c r="G207" s="36"/>
    </row>
    <row r="208" spans="6:7" x14ac:dyDescent="0.25">
      <c r="F208" s="3"/>
      <c r="G208" s="36"/>
    </row>
    <row r="209" spans="1:17" x14ac:dyDescent="0.25">
      <c r="F209" s="3"/>
      <c r="G209" s="36"/>
    </row>
    <row r="210" spans="1:17" x14ac:dyDescent="0.25">
      <c r="F210" s="3"/>
      <c r="G210" s="36"/>
    </row>
    <row r="211" spans="1:17" x14ac:dyDescent="0.25">
      <c r="F211" s="3"/>
      <c r="G211" s="36"/>
    </row>
    <row r="212" spans="1:17" x14ac:dyDescent="0.25">
      <c r="G212" s="36"/>
      <c r="J212" s="36"/>
    </row>
    <row r="213" spans="1:17" x14ac:dyDescent="0.25">
      <c r="A213" s="5"/>
      <c r="B213" s="5"/>
      <c r="C213" s="5"/>
      <c r="D213" s="5"/>
      <c r="E213" s="5"/>
      <c r="F213" s="5"/>
      <c r="G213" s="36"/>
      <c r="J213" s="36"/>
      <c r="K213" s="5"/>
      <c r="M213" s="2"/>
      <c r="N213" s="49"/>
      <c r="O213" s="5"/>
      <c r="P213" s="5"/>
      <c r="Q213" s="49"/>
    </row>
    <row r="214" spans="1:17" x14ac:dyDescent="0.25">
      <c r="A214" s="5"/>
      <c r="B214" s="5"/>
      <c r="C214" s="5"/>
      <c r="D214" s="5"/>
      <c r="E214" s="5"/>
      <c r="F214" s="5"/>
      <c r="G214" s="36"/>
      <c r="J214" s="36"/>
      <c r="K214" s="5"/>
      <c r="M214" s="2"/>
      <c r="N214" s="49"/>
      <c r="O214" s="5"/>
      <c r="P214" s="5"/>
      <c r="Q214" s="49"/>
    </row>
    <row r="215" spans="1:17" x14ac:dyDescent="0.25">
      <c r="A215" s="5"/>
      <c r="B215" s="5"/>
      <c r="C215" s="5"/>
      <c r="D215" s="5"/>
      <c r="E215" s="5"/>
      <c r="F215" s="5"/>
      <c r="G215" s="36"/>
      <c r="J215" s="36"/>
      <c r="K215" s="5"/>
      <c r="M215" s="2"/>
      <c r="N215" s="49"/>
      <c r="O215" s="5"/>
      <c r="P215" s="5"/>
      <c r="Q215" s="49"/>
    </row>
    <row r="216" spans="1:17" x14ac:dyDescent="0.25">
      <c r="A216" s="5"/>
      <c r="B216" s="5"/>
      <c r="C216" s="5"/>
      <c r="D216" s="5"/>
      <c r="E216" s="5"/>
      <c r="F216" s="5"/>
      <c r="G216" s="36"/>
      <c r="J216" s="36"/>
      <c r="K216" s="5"/>
      <c r="M216" s="2"/>
      <c r="N216" s="49"/>
      <c r="O216" s="5"/>
      <c r="P216" s="5"/>
      <c r="Q216" s="49"/>
    </row>
    <row r="217" spans="1:17" x14ac:dyDescent="0.25">
      <c r="A217" s="5"/>
      <c r="B217" s="5"/>
      <c r="C217" s="5"/>
      <c r="D217" s="5"/>
      <c r="E217" s="5"/>
      <c r="F217" s="5"/>
      <c r="G217" s="36"/>
      <c r="J217" s="36"/>
      <c r="K217" s="5"/>
      <c r="M217" s="2"/>
      <c r="N217" s="49"/>
      <c r="O217" s="5"/>
      <c r="P217" s="5"/>
      <c r="Q217" s="49"/>
    </row>
    <row r="218" spans="1:17" x14ac:dyDescent="0.25">
      <c r="A218" s="5"/>
      <c r="B218" s="5"/>
      <c r="C218" s="5"/>
      <c r="D218" s="5"/>
      <c r="E218" s="5"/>
      <c r="F218" s="5"/>
      <c r="G218" s="36"/>
      <c r="J218" s="36"/>
      <c r="K218" s="5"/>
      <c r="M218" s="2"/>
      <c r="N218" s="49"/>
      <c r="O218" s="5"/>
      <c r="P218" s="5"/>
      <c r="Q218" s="49"/>
    </row>
    <row r="219" spans="1:17" x14ac:dyDescent="0.25">
      <c r="A219" s="5"/>
      <c r="B219" s="5"/>
      <c r="C219" s="5"/>
      <c r="D219" s="5"/>
      <c r="E219" s="5"/>
      <c r="F219" s="5"/>
      <c r="G219" s="36"/>
      <c r="J219" s="36"/>
      <c r="K219" s="5"/>
      <c r="M219" s="2"/>
      <c r="N219" s="49"/>
      <c r="O219" s="5"/>
      <c r="P219" s="5"/>
      <c r="Q219" s="49"/>
    </row>
    <row r="220" spans="1:17" x14ac:dyDescent="0.25">
      <c r="A220" s="5"/>
      <c r="B220" s="5"/>
      <c r="C220" s="5"/>
      <c r="D220" s="5"/>
      <c r="E220" s="5"/>
      <c r="F220" s="5"/>
      <c r="G220" s="36"/>
      <c r="J220" s="36"/>
      <c r="K220" s="5"/>
      <c r="M220" s="2"/>
      <c r="N220" s="49"/>
      <c r="O220" s="5"/>
      <c r="P220" s="5"/>
      <c r="Q220" s="49"/>
    </row>
    <row r="221" spans="1:17" x14ac:dyDescent="0.25">
      <c r="A221" s="5"/>
      <c r="B221" s="5"/>
      <c r="C221" s="5"/>
      <c r="D221" s="5"/>
      <c r="E221" s="5"/>
      <c r="F221" s="5"/>
      <c r="G221" s="36"/>
      <c r="J221" s="36"/>
      <c r="K221" s="5"/>
      <c r="M221" s="2"/>
      <c r="N221" s="49"/>
      <c r="O221" s="5"/>
      <c r="P221" s="5"/>
      <c r="Q221" s="49"/>
    </row>
    <row r="222" spans="1:17" x14ac:dyDescent="0.25">
      <c r="A222" s="5"/>
      <c r="B222" s="5"/>
      <c r="C222" s="5"/>
      <c r="D222" s="5"/>
      <c r="E222" s="5"/>
      <c r="F222" s="5"/>
      <c r="G222" s="36"/>
      <c r="J222" s="36"/>
      <c r="K222" s="5"/>
      <c r="M222" s="2"/>
      <c r="N222" s="49"/>
      <c r="O222" s="5"/>
      <c r="P222" s="5"/>
      <c r="Q222" s="49"/>
    </row>
    <row r="223" spans="1:17" x14ac:dyDescent="0.25">
      <c r="A223" s="5"/>
      <c r="B223" s="5"/>
      <c r="C223" s="5"/>
      <c r="D223" s="5"/>
      <c r="E223" s="5"/>
      <c r="F223" s="5"/>
      <c r="G223" s="36"/>
      <c r="J223" s="36"/>
      <c r="K223" s="5"/>
      <c r="M223" s="2"/>
      <c r="N223" s="49"/>
      <c r="O223" s="5"/>
      <c r="P223" s="5"/>
      <c r="Q223" s="49"/>
    </row>
    <row r="224" spans="1:17" x14ac:dyDescent="0.25">
      <c r="A224" s="5"/>
      <c r="B224" s="5"/>
      <c r="C224" s="5"/>
      <c r="D224" s="5"/>
      <c r="E224" s="5"/>
      <c r="F224" s="5"/>
      <c r="G224" s="36"/>
      <c r="J224" s="36"/>
      <c r="K224" s="5"/>
      <c r="M224" s="2"/>
      <c r="N224" s="49"/>
      <c r="O224" s="5"/>
      <c r="P224" s="5"/>
      <c r="Q224" s="49"/>
    </row>
    <row r="225" spans="1:17" x14ac:dyDescent="0.25">
      <c r="A225" s="5"/>
      <c r="B225" s="5"/>
      <c r="C225" s="5"/>
      <c r="D225" s="5"/>
      <c r="E225" s="5"/>
      <c r="F225" s="5"/>
      <c r="G225" s="36"/>
      <c r="J225" s="36"/>
      <c r="K225" s="5"/>
      <c r="M225" s="2"/>
      <c r="N225" s="49"/>
      <c r="O225" s="5"/>
      <c r="P225" s="5"/>
      <c r="Q225" s="49"/>
    </row>
    <row r="226" spans="1:17" x14ac:dyDescent="0.25">
      <c r="A226" s="5"/>
      <c r="B226" s="5"/>
      <c r="C226" s="5"/>
      <c r="D226" s="5"/>
      <c r="E226" s="5"/>
      <c r="F226" s="5"/>
      <c r="G226" s="36"/>
      <c r="J226" s="36"/>
      <c r="K226" s="5"/>
      <c r="M226" s="2"/>
      <c r="N226" s="49"/>
      <c r="O226" s="5"/>
      <c r="P226" s="5"/>
      <c r="Q226" s="49"/>
    </row>
    <row r="227" spans="1:17" x14ac:dyDescent="0.25">
      <c r="A227" s="5"/>
      <c r="B227" s="5"/>
      <c r="C227" s="5"/>
      <c r="D227" s="5"/>
      <c r="E227" s="5"/>
      <c r="F227" s="5"/>
      <c r="G227" s="36"/>
      <c r="J227" s="36"/>
      <c r="K227" s="5"/>
      <c r="M227" s="2"/>
      <c r="N227" s="49"/>
      <c r="O227" s="5"/>
      <c r="P227" s="5"/>
      <c r="Q227" s="49"/>
    </row>
    <row r="228" spans="1:17" x14ac:dyDescent="0.25">
      <c r="A228" s="5"/>
      <c r="B228" s="5"/>
      <c r="C228" s="5"/>
      <c r="D228" s="5"/>
      <c r="E228" s="5"/>
      <c r="F228" s="5"/>
      <c r="G228" s="36"/>
      <c r="J228" s="36"/>
      <c r="K228" s="5"/>
      <c r="M228" s="2"/>
      <c r="N228" s="49"/>
      <c r="O228" s="5"/>
      <c r="P228" s="5"/>
      <c r="Q228" s="49"/>
    </row>
    <row r="229" spans="1:17" x14ac:dyDescent="0.25">
      <c r="A229" s="5"/>
      <c r="B229" s="5"/>
      <c r="C229" s="5"/>
      <c r="D229" s="5"/>
      <c r="E229" s="5"/>
      <c r="F229" s="5"/>
      <c r="G229" s="36"/>
      <c r="J229" s="36"/>
      <c r="K229" s="5"/>
      <c r="M229" s="2"/>
      <c r="N229" s="49"/>
      <c r="O229" s="5"/>
      <c r="P229" s="5"/>
      <c r="Q229" s="49"/>
    </row>
    <row r="230" spans="1:17" x14ac:dyDescent="0.25">
      <c r="A230" s="5"/>
      <c r="B230" s="5"/>
      <c r="C230" s="5"/>
      <c r="D230" s="5"/>
      <c r="E230" s="5"/>
      <c r="F230" s="5"/>
      <c r="G230" s="36"/>
      <c r="J230" s="36"/>
      <c r="K230" s="5"/>
      <c r="M230" s="2"/>
      <c r="N230" s="49"/>
      <c r="O230" s="5"/>
      <c r="P230" s="5"/>
      <c r="Q230" s="49"/>
    </row>
    <row r="231" spans="1:17" x14ac:dyDescent="0.25">
      <c r="A231" s="5"/>
      <c r="B231" s="5"/>
      <c r="C231" s="5"/>
      <c r="D231" s="5"/>
      <c r="E231" s="5"/>
      <c r="F231" s="5"/>
      <c r="G231" s="36"/>
      <c r="J231" s="36"/>
      <c r="K231" s="5"/>
      <c r="M231" s="2"/>
      <c r="N231" s="49"/>
      <c r="O231" s="5"/>
      <c r="P231" s="5"/>
      <c r="Q231" s="49"/>
    </row>
    <row r="232" spans="1:17" x14ac:dyDescent="0.25">
      <c r="A232" s="5"/>
      <c r="B232" s="5"/>
      <c r="C232" s="5"/>
      <c r="D232" s="5"/>
      <c r="E232" s="5"/>
      <c r="F232" s="5"/>
      <c r="G232" s="36"/>
      <c r="J232" s="36"/>
      <c r="K232" s="5"/>
      <c r="M232" s="2"/>
      <c r="N232" s="49"/>
      <c r="O232" s="5"/>
      <c r="P232" s="5"/>
      <c r="Q232" s="49"/>
    </row>
    <row r="233" spans="1:17" x14ac:dyDescent="0.25">
      <c r="A233" s="5"/>
      <c r="B233" s="5"/>
      <c r="C233" s="5"/>
      <c r="D233" s="5"/>
      <c r="E233" s="5"/>
      <c r="F233" s="5"/>
      <c r="G233" s="36"/>
      <c r="J233" s="36"/>
      <c r="K233" s="5"/>
      <c r="M233" s="2"/>
      <c r="N233" s="49"/>
      <c r="O233" s="5"/>
      <c r="P233" s="5"/>
      <c r="Q233" s="49"/>
    </row>
    <row r="234" spans="1:17" x14ac:dyDescent="0.25">
      <c r="A234" s="5"/>
      <c r="B234" s="5"/>
      <c r="C234" s="5"/>
      <c r="D234" s="5"/>
      <c r="E234" s="5"/>
      <c r="F234" s="5"/>
      <c r="G234" s="36"/>
      <c r="J234" s="36"/>
      <c r="K234" s="5"/>
      <c r="M234" s="2"/>
      <c r="N234" s="49"/>
      <c r="O234" s="5"/>
      <c r="P234" s="5"/>
      <c r="Q234" s="49"/>
    </row>
    <row r="235" spans="1:17" x14ac:dyDescent="0.25">
      <c r="A235" s="5"/>
      <c r="B235" s="5"/>
      <c r="C235" s="5"/>
      <c r="D235" s="5"/>
      <c r="E235" s="5"/>
      <c r="F235" s="5"/>
      <c r="G235" s="36"/>
      <c r="J235" s="36"/>
      <c r="K235" s="5"/>
      <c r="M235" s="2"/>
      <c r="N235" s="49"/>
      <c r="O235" s="5"/>
      <c r="P235" s="5"/>
      <c r="Q235" s="49"/>
    </row>
    <row r="236" spans="1:17" x14ac:dyDescent="0.25">
      <c r="A236" s="5"/>
      <c r="B236" s="5"/>
      <c r="C236" s="5"/>
      <c r="D236" s="5"/>
      <c r="E236" s="5"/>
      <c r="F236" s="5"/>
      <c r="G236" s="36"/>
      <c r="J236" s="36"/>
      <c r="K236" s="5"/>
      <c r="M236" s="2"/>
      <c r="N236" s="49"/>
      <c r="O236" s="5"/>
      <c r="P236" s="5"/>
      <c r="Q236" s="49"/>
    </row>
    <row r="237" spans="1:17" x14ac:dyDescent="0.25">
      <c r="A237" s="5"/>
      <c r="B237" s="5"/>
      <c r="C237" s="5"/>
      <c r="D237" s="5"/>
      <c r="E237" s="5"/>
      <c r="F237" s="5"/>
      <c r="G237" s="36"/>
      <c r="J237" s="36"/>
      <c r="K237" s="5"/>
      <c r="M237" s="2"/>
      <c r="N237" s="49"/>
      <c r="O237" s="5"/>
      <c r="P237" s="5"/>
      <c r="Q237" s="49"/>
    </row>
    <row r="238" spans="1:17" x14ac:dyDescent="0.25">
      <c r="A238" s="5"/>
      <c r="B238" s="5"/>
      <c r="C238" s="5"/>
      <c r="D238" s="5"/>
      <c r="E238" s="5"/>
      <c r="F238" s="5"/>
      <c r="G238" s="36"/>
      <c r="J238" s="36"/>
      <c r="K238" s="5"/>
      <c r="M238" s="2"/>
      <c r="N238" s="49"/>
      <c r="O238" s="5"/>
      <c r="P238" s="5"/>
      <c r="Q238" s="49"/>
    </row>
    <row r="239" spans="1:17" x14ac:dyDescent="0.25">
      <c r="A239" s="5"/>
      <c r="B239" s="5"/>
      <c r="C239" s="5"/>
      <c r="D239" s="5"/>
      <c r="E239" s="5"/>
      <c r="F239" s="5"/>
      <c r="G239" s="36"/>
      <c r="J239" s="36"/>
      <c r="K239" s="5"/>
      <c r="M239" s="2"/>
      <c r="N239" s="49"/>
      <c r="O239" s="5"/>
      <c r="P239" s="5"/>
      <c r="Q239" s="49"/>
    </row>
    <row r="240" spans="1:17" x14ac:dyDescent="0.25">
      <c r="A240" s="5"/>
      <c r="B240" s="5"/>
      <c r="C240" s="5"/>
      <c r="D240" s="5"/>
      <c r="E240" s="5"/>
      <c r="F240" s="5"/>
      <c r="G240" s="36"/>
      <c r="J240" s="36"/>
      <c r="K240" s="5"/>
      <c r="M240" s="2"/>
      <c r="N240" s="49"/>
      <c r="O240" s="5"/>
      <c r="P240" s="5"/>
      <c r="Q240" s="49"/>
    </row>
    <row r="241" spans="1:17" x14ac:dyDescent="0.25">
      <c r="A241" s="5"/>
      <c r="B241" s="5"/>
      <c r="C241" s="5"/>
      <c r="D241" s="5"/>
      <c r="E241" s="5"/>
      <c r="F241" s="5"/>
      <c r="G241" s="36"/>
      <c r="J241" s="36"/>
      <c r="K241" s="5"/>
      <c r="M241" s="2"/>
      <c r="N241" s="49"/>
      <c r="O241" s="5"/>
      <c r="P241" s="5"/>
      <c r="Q241" s="49"/>
    </row>
    <row r="242" spans="1:17" x14ac:dyDescent="0.25">
      <c r="A242" s="5"/>
      <c r="B242" s="5"/>
      <c r="C242" s="5"/>
      <c r="D242" s="5"/>
      <c r="E242" s="5"/>
      <c r="F242" s="5"/>
      <c r="G242" s="36"/>
      <c r="J242" s="36"/>
      <c r="K242" s="5"/>
      <c r="M242" s="2"/>
      <c r="N242" s="49"/>
      <c r="O242" s="5"/>
      <c r="P242" s="5"/>
      <c r="Q242" s="49"/>
    </row>
    <row r="243" spans="1:17" x14ac:dyDescent="0.25">
      <c r="A243" s="5"/>
      <c r="B243" s="5"/>
      <c r="C243" s="5"/>
      <c r="D243" s="5"/>
      <c r="E243" s="5"/>
      <c r="F243" s="5"/>
      <c r="G243" s="36"/>
      <c r="J243" s="36"/>
      <c r="K243" s="5"/>
      <c r="M243" s="2"/>
      <c r="N243" s="49"/>
      <c r="O243" s="5"/>
      <c r="P243" s="5"/>
      <c r="Q243" s="49"/>
    </row>
    <row r="244" spans="1:17" x14ac:dyDescent="0.25">
      <c r="A244" s="5"/>
      <c r="B244" s="5"/>
      <c r="C244" s="5"/>
      <c r="D244" s="5"/>
      <c r="E244" s="5"/>
      <c r="F244" s="5"/>
      <c r="G244" s="36"/>
      <c r="J244" s="36"/>
      <c r="K244" s="5"/>
      <c r="M244" s="2"/>
      <c r="N244" s="49"/>
      <c r="O244" s="5"/>
      <c r="P244" s="5"/>
      <c r="Q244" s="49"/>
    </row>
    <row r="245" spans="1:17" x14ac:dyDescent="0.25">
      <c r="A245" s="5"/>
      <c r="B245" s="5"/>
      <c r="C245" s="5"/>
      <c r="D245" s="5"/>
      <c r="E245" s="5"/>
      <c r="F245" s="5"/>
      <c r="G245" s="36"/>
      <c r="J245" s="36"/>
      <c r="K245" s="5"/>
      <c r="M245" s="2"/>
      <c r="N245" s="49"/>
      <c r="O245" s="5"/>
      <c r="P245" s="5"/>
      <c r="Q245" s="49"/>
    </row>
    <row r="246" spans="1:17" x14ac:dyDescent="0.25">
      <c r="A246" s="5"/>
      <c r="B246" s="5"/>
      <c r="C246" s="5"/>
      <c r="D246" s="5"/>
      <c r="E246" s="5"/>
      <c r="F246" s="5"/>
      <c r="G246" s="36"/>
      <c r="J246" s="36"/>
      <c r="K246" s="5"/>
      <c r="M246" s="2"/>
      <c r="N246" s="49"/>
      <c r="O246" s="5"/>
      <c r="P246" s="5"/>
      <c r="Q246" s="49"/>
    </row>
    <row r="247" spans="1:17" x14ac:dyDescent="0.25">
      <c r="A247" s="5"/>
      <c r="B247" s="5"/>
      <c r="C247" s="5"/>
      <c r="D247" s="5"/>
      <c r="E247" s="5"/>
      <c r="F247" s="5"/>
      <c r="G247" s="36"/>
      <c r="J247" s="36"/>
      <c r="K247" s="5"/>
      <c r="M247" s="2"/>
      <c r="N247" s="49"/>
      <c r="O247" s="5"/>
      <c r="P247" s="5"/>
      <c r="Q247" s="49"/>
    </row>
    <row r="248" spans="1:17" x14ac:dyDescent="0.25">
      <c r="A248" s="5"/>
      <c r="B248" s="5"/>
      <c r="C248" s="5"/>
      <c r="D248" s="5"/>
      <c r="E248" s="5"/>
      <c r="F248" s="5"/>
      <c r="G248" s="36"/>
      <c r="J248" s="36"/>
      <c r="K248" s="5"/>
      <c r="M248" s="2"/>
      <c r="N248" s="49"/>
      <c r="O248" s="5"/>
      <c r="P248" s="5"/>
      <c r="Q248" s="49"/>
    </row>
    <row r="249" spans="1:17" x14ac:dyDescent="0.25">
      <c r="A249" s="5"/>
      <c r="B249" s="5"/>
      <c r="C249" s="5"/>
      <c r="D249" s="5"/>
      <c r="E249" s="5"/>
      <c r="F249" s="5"/>
      <c r="G249" s="36"/>
      <c r="J249" s="36"/>
      <c r="K249" s="5"/>
      <c r="M249" s="2"/>
      <c r="N249" s="49"/>
      <c r="O249" s="5"/>
      <c r="P249" s="5"/>
      <c r="Q249" s="49"/>
    </row>
    <row r="250" spans="1:17" x14ac:dyDescent="0.25">
      <c r="A250" s="5"/>
      <c r="B250" s="5"/>
      <c r="C250" s="5"/>
      <c r="D250" s="5"/>
      <c r="E250" s="5"/>
      <c r="F250" s="5"/>
      <c r="G250" s="36"/>
      <c r="J250" s="36"/>
      <c r="K250" s="5"/>
      <c r="M250" s="2"/>
      <c r="N250" s="49"/>
      <c r="O250" s="5"/>
      <c r="P250" s="5"/>
      <c r="Q250" s="49"/>
    </row>
    <row r="251" spans="1:17" x14ac:dyDescent="0.25">
      <c r="A251" s="5"/>
      <c r="B251" s="5"/>
      <c r="C251" s="5"/>
      <c r="D251" s="5"/>
      <c r="E251" s="5"/>
      <c r="F251" s="5"/>
      <c r="G251" s="36"/>
      <c r="J251" s="36"/>
      <c r="K251" s="5"/>
      <c r="M251" s="2"/>
      <c r="N251" s="49"/>
      <c r="O251" s="5"/>
      <c r="P251" s="5"/>
      <c r="Q251" s="49"/>
    </row>
    <row r="252" spans="1:17" x14ac:dyDescent="0.25">
      <c r="A252" s="5"/>
      <c r="B252" s="5"/>
      <c r="C252" s="5"/>
      <c r="D252" s="5"/>
      <c r="E252" s="5"/>
      <c r="F252" s="5"/>
      <c r="G252" s="36"/>
      <c r="J252" s="36"/>
      <c r="K252" s="5"/>
      <c r="M252" s="2"/>
      <c r="N252" s="49"/>
      <c r="O252" s="5"/>
      <c r="P252" s="5"/>
      <c r="Q252" s="49"/>
    </row>
    <row r="253" spans="1:17" x14ac:dyDescent="0.25">
      <c r="A253" s="5"/>
      <c r="B253" s="5"/>
      <c r="C253" s="5"/>
      <c r="D253" s="5"/>
      <c r="E253" s="5"/>
      <c r="F253" s="5"/>
      <c r="G253" s="36"/>
      <c r="J253" s="36"/>
      <c r="K253" s="5"/>
      <c r="M253" s="2"/>
      <c r="N253" s="49"/>
      <c r="O253" s="5"/>
      <c r="P253" s="5"/>
      <c r="Q253" s="49"/>
    </row>
    <row r="254" spans="1:17" x14ac:dyDescent="0.25">
      <c r="A254" s="5"/>
      <c r="B254" s="5"/>
      <c r="C254" s="5"/>
      <c r="D254" s="5"/>
      <c r="E254" s="5"/>
      <c r="F254" s="5"/>
      <c r="G254" s="36"/>
      <c r="J254" s="36"/>
      <c r="K254" s="5"/>
      <c r="M254" s="2"/>
      <c r="N254" s="49"/>
      <c r="O254" s="5"/>
      <c r="P254" s="5"/>
      <c r="Q254" s="49"/>
    </row>
    <row r="255" spans="1:17" x14ac:dyDescent="0.25">
      <c r="A255" s="5"/>
      <c r="B255" s="5"/>
      <c r="C255" s="5"/>
      <c r="D255" s="5"/>
      <c r="E255" s="5"/>
      <c r="F255" s="5"/>
      <c r="G255" s="36"/>
      <c r="J255" s="36"/>
      <c r="K255" s="5"/>
      <c r="M255" s="2"/>
      <c r="N255" s="49"/>
      <c r="O255" s="5"/>
      <c r="P255" s="5"/>
      <c r="Q255" s="49"/>
    </row>
    <row r="256" spans="1:17" x14ac:dyDescent="0.25">
      <c r="A256" s="5"/>
      <c r="B256" s="5"/>
      <c r="C256" s="5"/>
      <c r="D256" s="5"/>
      <c r="E256" s="5"/>
      <c r="F256" s="5"/>
      <c r="G256" s="36"/>
      <c r="J256" s="36"/>
      <c r="K256" s="5"/>
      <c r="M256" s="2"/>
      <c r="N256" s="49"/>
      <c r="O256" s="5"/>
      <c r="P256" s="5"/>
      <c r="Q256" s="49"/>
    </row>
    <row r="257" spans="1:17" x14ac:dyDescent="0.25">
      <c r="A257" s="5"/>
      <c r="B257" s="5"/>
      <c r="C257" s="5"/>
      <c r="D257" s="5"/>
      <c r="E257" s="5"/>
      <c r="F257" s="5"/>
      <c r="G257" s="36"/>
      <c r="J257" s="36"/>
      <c r="K257" s="5"/>
      <c r="M257" s="2"/>
      <c r="N257" s="49"/>
      <c r="O257" s="5"/>
      <c r="P257" s="5"/>
      <c r="Q257" s="49"/>
    </row>
    <row r="258" spans="1:17" x14ac:dyDescent="0.25">
      <c r="A258" s="5"/>
      <c r="B258" s="5"/>
      <c r="C258" s="5"/>
      <c r="D258" s="5"/>
      <c r="E258" s="5"/>
      <c r="F258" s="5"/>
      <c r="G258" s="36"/>
      <c r="J258" s="36"/>
      <c r="K258" s="5"/>
      <c r="M258" s="2"/>
      <c r="N258" s="49"/>
      <c r="O258" s="5"/>
      <c r="P258" s="5"/>
      <c r="Q258" s="49"/>
    </row>
    <row r="259" spans="1:17" x14ac:dyDescent="0.25">
      <c r="A259" s="5"/>
      <c r="B259" s="5"/>
      <c r="C259" s="5"/>
      <c r="D259" s="5"/>
      <c r="E259" s="5"/>
      <c r="F259" s="5"/>
      <c r="G259" s="36"/>
      <c r="J259" s="36"/>
      <c r="K259" s="5"/>
      <c r="M259" s="2"/>
      <c r="N259" s="49"/>
      <c r="O259" s="5"/>
      <c r="P259" s="5"/>
      <c r="Q259" s="49"/>
    </row>
    <row r="260" spans="1:17" x14ac:dyDescent="0.25">
      <c r="A260" s="5"/>
      <c r="B260" s="5"/>
      <c r="C260" s="5"/>
      <c r="D260" s="5"/>
      <c r="E260" s="5"/>
      <c r="F260" s="5"/>
      <c r="G260" s="36"/>
      <c r="J260" s="36"/>
      <c r="K260" s="5"/>
      <c r="M260" s="2"/>
      <c r="N260" s="49"/>
      <c r="O260" s="5"/>
      <c r="P260" s="5"/>
      <c r="Q260" s="49"/>
    </row>
    <row r="261" spans="1:17" x14ac:dyDescent="0.25">
      <c r="A261" s="5"/>
      <c r="B261" s="5"/>
      <c r="C261" s="5"/>
      <c r="D261" s="5"/>
      <c r="E261" s="5"/>
      <c r="F261" s="5"/>
      <c r="G261" s="36"/>
      <c r="J261" s="36"/>
      <c r="K261" s="5"/>
      <c r="M261" s="2"/>
      <c r="N261" s="49"/>
      <c r="O261" s="5"/>
      <c r="P261" s="5"/>
      <c r="Q261" s="49"/>
    </row>
    <row r="262" spans="1:17" x14ac:dyDescent="0.25">
      <c r="A262" s="5"/>
      <c r="B262" s="5"/>
      <c r="C262" s="5"/>
      <c r="D262" s="5"/>
      <c r="E262" s="5"/>
      <c r="F262" s="5"/>
      <c r="G262" s="36"/>
      <c r="J262" s="36"/>
      <c r="K262" s="5"/>
      <c r="M262" s="2"/>
      <c r="N262" s="49"/>
      <c r="O262" s="5"/>
      <c r="P262" s="5"/>
      <c r="Q262" s="49"/>
    </row>
    <row r="263" spans="1:17" x14ac:dyDescent="0.25">
      <c r="A263" s="5"/>
      <c r="B263" s="5"/>
      <c r="C263" s="5"/>
      <c r="D263" s="5"/>
      <c r="E263" s="5"/>
      <c r="F263" s="5"/>
      <c r="G263" s="36"/>
      <c r="J263" s="36"/>
      <c r="K263" s="5"/>
      <c r="M263" s="2"/>
      <c r="N263" s="49"/>
      <c r="O263" s="5"/>
      <c r="P263" s="5"/>
      <c r="Q263" s="49"/>
    </row>
    <row r="264" spans="1:17" x14ac:dyDescent="0.25">
      <c r="A264" s="5"/>
      <c r="B264" s="5"/>
      <c r="C264" s="5"/>
      <c r="D264" s="5"/>
      <c r="E264" s="5"/>
      <c r="F264" s="5"/>
      <c r="G264" s="36"/>
      <c r="J264" s="36"/>
      <c r="K264" s="5"/>
      <c r="M264" s="2"/>
      <c r="N264" s="49"/>
      <c r="O264" s="5"/>
      <c r="P264" s="5"/>
      <c r="Q264" s="49"/>
    </row>
    <row r="265" spans="1:17" x14ac:dyDescent="0.25">
      <c r="A265" s="5"/>
      <c r="B265" s="5"/>
      <c r="C265" s="5"/>
      <c r="D265" s="5"/>
      <c r="E265" s="5"/>
      <c r="F265" s="5"/>
      <c r="G265" s="36"/>
      <c r="J265" s="36"/>
      <c r="K265" s="5"/>
      <c r="M265" s="2"/>
      <c r="N265" s="49"/>
      <c r="O265" s="5"/>
      <c r="P265" s="5"/>
      <c r="Q265" s="49"/>
    </row>
    <row r="266" spans="1:17" x14ac:dyDescent="0.25">
      <c r="A266" s="5"/>
      <c r="B266" s="5"/>
      <c r="C266" s="5"/>
      <c r="D266" s="5"/>
      <c r="E266" s="5"/>
      <c r="F266" s="5"/>
      <c r="G266" s="36"/>
      <c r="J266" s="36"/>
      <c r="K266" s="5"/>
      <c r="M266" s="2"/>
      <c r="N266" s="49"/>
      <c r="O266" s="5"/>
      <c r="P266" s="5"/>
      <c r="Q266" s="49"/>
    </row>
    <row r="267" spans="1:17" x14ac:dyDescent="0.25">
      <c r="A267" s="5"/>
      <c r="B267" s="5"/>
      <c r="C267" s="5"/>
      <c r="D267" s="5"/>
      <c r="E267" s="5"/>
      <c r="F267" s="5"/>
      <c r="G267" s="36"/>
      <c r="J267" s="36"/>
      <c r="K267" s="5"/>
      <c r="M267" s="2"/>
      <c r="N267" s="49"/>
      <c r="O267" s="5"/>
      <c r="P267" s="5"/>
      <c r="Q267" s="49"/>
    </row>
    <row r="268" spans="1:17" x14ac:dyDescent="0.25">
      <c r="A268" s="5"/>
      <c r="B268" s="5"/>
      <c r="C268" s="5"/>
      <c r="D268" s="5"/>
      <c r="E268" s="5"/>
      <c r="F268" s="5"/>
      <c r="G268" s="36"/>
      <c r="J268" s="36"/>
      <c r="K268" s="5"/>
      <c r="M268" s="2"/>
      <c r="N268" s="49"/>
      <c r="O268" s="5"/>
      <c r="P268" s="5"/>
      <c r="Q268" s="49"/>
    </row>
    <row r="269" spans="1:17" x14ac:dyDescent="0.25">
      <c r="A269" s="5"/>
      <c r="B269" s="5"/>
      <c r="C269" s="5"/>
      <c r="D269" s="5"/>
      <c r="E269" s="5"/>
      <c r="F269" s="5"/>
      <c r="G269" s="36"/>
      <c r="J269" s="36"/>
      <c r="K269" s="5"/>
      <c r="M269" s="2"/>
      <c r="N269" s="49"/>
      <c r="O269" s="5"/>
      <c r="P269" s="5"/>
      <c r="Q269" s="49"/>
    </row>
    <row r="270" spans="1:17" x14ac:dyDescent="0.25">
      <c r="A270" s="5"/>
      <c r="B270" s="5"/>
      <c r="C270" s="5"/>
      <c r="D270" s="5"/>
      <c r="E270" s="5"/>
      <c r="F270" s="5"/>
      <c r="G270" s="36"/>
      <c r="J270" s="36"/>
      <c r="K270" s="5"/>
      <c r="M270" s="2"/>
      <c r="N270" s="49"/>
      <c r="O270" s="5"/>
      <c r="P270" s="5"/>
      <c r="Q270" s="49"/>
    </row>
    <row r="271" spans="1:17" x14ac:dyDescent="0.25">
      <c r="A271" s="5"/>
      <c r="B271" s="5"/>
      <c r="C271" s="5"/>
      <c r="D271" s="5"/>
      <c r="E271" s="5"/>
      <c r="F271" s="5"/>
      <c r="G271" s="36"/>
      <c r="J271" s="36"/>
      <c r="K271" s="5"/>
      <c r="M271" s="2"/>
      <c r="N271" s="49"/>
      <c r="O271" s="5"/>
      <c r="P271" s="5"/>
      <c r="Q271" s="49"/>
    </row>
    <row r="272" spans="1:17" x14ac:dyDescent="0.25">
      <c r="A272" s="5"/>
      <c r="B272" s="5"/>
      <c r="C272" s="5"/>
      <c r="D272" s="5"/>
      <c r="E272" s="5"/>
      <c r="F272" s="5"/>
      <c r="G272" s="36"/>
      <c r="J272" s="36"/>
      <c r="K272" s="5"/>
      <c r="M272" s="2"/>
      <c r="N272" s="49"/>
      <c r="O272" s="5"/>
      <c r="P272" s="5"/>
      <c r="Q272" s="49"/>
    </row>
    <row r="273" spans="1:17" x14ac:dyDescent="0.25">
      <c r="A273" s="5"/>
      <c r="B273" s="5"/>
      <c r="C273" s="5"/>
      <c r="D273" s="5"/>
      <c r="E273" s="5"/>
      <c r="F273" s="5"/>
      <c r="G273" s="36"/>
      <c r="J273" s="36"/>
      <c r="K273" s="5"/>
      <c r="M273" s="2"/>
      <c r="N273" s="49"/>
      <c r="O273" s="5"/>
      <c r="P273" s="5"/>
      <c r="Q273" s="49"/>
    </row>
    <row r="274" spans="1:17" x14ac:dyDescent="0.25">
      <c r="A274" s="5"/>
      <c r="B274" s="5"/>
      <c r="C274" s="5"/>
      <c r="D274" s="5"/>
      <c r="E274" s="5"/>
      <c r="F274" s="5"/>
      <c r="G274" s="36"/>
      <c r="J274" s="36"/>
      <c r="K274" s="5"/>
      <c r="M274" s="2"/>
      <c r="N274" s="49"/>
      <c r="O274" s="5"/>
      <c r="P274" s="5"/>
      <c r="Q274" s="49"/>
    </row>
    <row r="275" spans="1:17" x14ac:dyDescent="0.25">
      <c r="A275" s="5"/>
      <c r="B275" s="5"/>
      <c r="C275" s="5"/>
      <c r="D275" s="5"/>
      <c r="E275" s="5"/>
      <c r="F275" s="5"/>
      <c r="G275" s="36"/>
      <c r="J275" s="36"/>
      <c r="K275" s="5"/>
      <c r="M275" s="2"/>
      <c r="N275" s="49"/>
      <c r="O275" s="5"/>
      <c r="P275" s="5"/>
      <c r="Q275" s="49"/>
    </row>
    <row r="276" spans="1:17" x14ac:dyDescent="0.25">
      <c r="A276" s="5"/>
      <c r="B276" s="5"/>
      <c r="C276" s="5"/>
      <c r="D276" s="5"/>
      <c r="E276" s="5"/>
      <c r="F276" s="5"/>
      <c r="G276" s="36"/>
      <c r="J276" s="36"/>
      <c r="K276" s="5"/>
      <c r="M276" s="2"/>
      <c r="N276" s="49"/>
      <c r="O276" s="5"/>
      <c r="P276" s="5"/>
      <c r="Q276" s="49"/>
    </row>
    <row r="277" spans="1:17" x14ac:dyDescent="0.25">
      <c r="A277" s="5"/>
      <c r="B277" s="5"/>
      <c r="C277" s="5"/>
      <c r="D277" s="5"/>
      <c r="E277" s="5"/>
      <c r="F277" s="5"/>
      <c r="G277" s="36"/>
      <c r="J277" s="36"/>
      <c r="K277" s="5"/>
      <c r="M277" s="2"/>
      <c r="N277" s="49"/>
      <c r="O277" s="5"/>
      <c r="P277" s="5"/>
      <c r="Q277" s="49"/>
    </row>
    <row r="278" spans="1:17" x14ac:dyDescent="0.25">
      <c r="A278" s="5"/>
      <c r="B278" s="5"/>
      <c r="C278" s="5"/>
      <c r="D278" s="5"/>
      <c r="E278" s="5"/>
      <c r="F278" s="5"/>
      <c r="G278" s="36"/>
      <c r="J278" s="36"/>
      <c r="K278" s="5"/>
      <c r="M278" s="2"/>
      <c r="N278" s="49"/>
      <c r="O278" s="5"/>
      <c r="P278" s="5"/>
      <c r="Q278" s="49"/>
    </row>
    <row r="279" spans="1:17" x14ac:dyDescent="0.25">
      <c r="A279" s="5"/>
      <c r="B279" s="5"/>
      <c r="C279" s="5"/>
      <c r="D279" s="5"/>
      <c r="E279" s="5"/>
      <c r="F279" s="5"/>
      <c r="G279" s="36"/>
      <c r="J279" s="36"/>
      <c r="K279" s="5"/>
      <c r="M279" s="2"/>
      <c r="N279" s="49"/>
      <c r="O279" s="5"/>
      <c r="P279" s="5"/>
      <c r="Q279" s="49"/>
    </row>
    <row r="280" spans="1:17" x14ac:dyDescent="0.25">
      <c r="A280" s="5"/>
      <c r="B280" s="5"/>
      <c r="C280" s="5"/>
      <c r="D280" s="5"/>
      <c r="E280" s="5"/>
      <c r="F280" s="5"/>
      <c r="G280" s="36"/>
      <c r="J280" s="36"/>
      <c r="K280" s="5"/>
      <c r="M280" s="2"/>
      <c r="N280" s="49"/>
      <c r="O280" s="5"/>
      <c r="P280" s="5"/>
      <c r="Q280" s="49"/>
    </row>
    <row r="281" spans="1:17" x14ac:dyDescent="0.25">
      <c r="A281" s="5"/>
      <c r="B281" s="5"/>
      <c r="C281" s="5"/>
      <c r="D281" s="5"/>
      <c r="E281" s="5"/>
      <c r="F281" s="5"/>
      <c r="G281" s="36"/>
      <c r="J281" s="36"/>
      <c r="K281" s="5"/>
      <c r="M281" s="2"/>
      <c r="N281" s="49"/>
      <c r="O281" s="5"/>
      <c r="P281" s="5"/>
      <c r="Q281" s="49"/>
    </row>
    <row r="282" spans="1:17" x14ac:dyDescent="0.25">
      <c r="A282" s="5"/>
      <c r="B282" s="5"/>
      <c r="C282" s="5"/>
      <c r="D282" s="5"/>
      <c r="E282" s="5"/>
      <c r="F282" s="5"/>
      <c r="G282" s="36"/>
      <c r="J282" s="36"/>
      <c r="K282" s="5"/>
      <c r="M282" s="2"/>
      <c r="N282" s="49"/>
      <c r="O282" s="5"/>
      <c r="P282" s="5"/>
      <c r="Q282" s="49"/>
    </row>
    <row r="283" spans="1:17" x14ac:dyDescent="0.25">
      <c r="A283" s="5"/>
      <c r="B283" s="5"/>
      <c r="C283" s="5"/>
      <c r="D283" s="5"/>
      <c r="E283" s="5"/>
      <c r="F283" s="5"/>
      <c r="G283" s="36"/>
      <c r="J283" s="36"/>
      <c r="K283" s="5"/>
      <c r="M283" s="2"/>
      <c r="N283" s="49"/>
      <c r="O283" s="5"/>
      <c r="P283" s="5"/>
      <c r="Q283" s="49"/>
    </row>
    <row r="284" spans="1:17" x14ac:dyDescent="0.25">
      <c r="A284" s="5"/>
      <c r="B284" s="5"/>
      <c r="C284" s="5"/>
      <c r="D284" s="5"/>
      <c r="E284" s="5"/>
      <c r="F284" s="5"/>
      <c r="G284" s="36"/>
      <c r="J284" s="36"/>
      <c r="K284" s="5"/>
      <c r="M284" s="2"/>
      <c r="N284" s="49"/>
      <c r="O284" s="5"/>
      <c r="P284" s="5"/>
      <c r="Q284" s="49"/>
    </row>
    <row r="285" spans="1:17" x14ac:dyDescent="0.25">
      <c r="A285" s="5"/>
      <c r="B285" s="5"/>
      <c r="C285" s="5"/>
      <c r="D285" s="5"/>
      <c r="E285" s="5"/>
      <c r="F285" s="5"/>
      <c r="G285" s="36"/>
      <c r="J285" s="36"/>
      <c r="K285" s="5"/>
      <c r="M285" s="2"/>
      <c r="N285" s="49"/>
      <c r="O285" s="5"/>
      <c r="P285" s="5"/>
      <c r="Q285" s="49"/>
    </row>
    <row r="286" spans="1:17" x14ac:dyDescent="0.25">
      <c r="A286" s="5"/>
      <c r="B286" s="5"/>
      <c r="C286" s="5"/>
      <c r="D286" s="5"/>
      <c r="E286" s="5"/>
      <c r="F286" s="5"/>
      <c r="G286" s="36"/>
      <c r="J286" s="36"/>
      <c r="K286" s="5"/>
      <c r="M286" s="2"/>
      <c r="N286" s="49"/>
      <c r="O286" s="5"/>
      <c r="P286" s="5"/>
      <c r="Q286" s="49"/>
    </row>
    <row r="287" spans="1:17" x14ac:dyDescent="0.25">
      <c r="A287" s="5"/>
      <c r="B287" s="5"/>
      <c r="C287" s="5"/>
      <c r="D287" s="5"/>
      <c r="E287" s="5"/>
      <c r="F287" s="5"/>
      <c r="G287" s="36"/>
      <c r="J287" s="36"/>
      <c r="K287" s="5"/>
      <c r="M287" s="2"/>
      <c r="N287" s="49"/>
      <c r="O287" s="5"/>
      <c r="P287" s="5"/>
      <c r="Q287" s="49"/>
    </row>
    <row r="288" spans="1:17" x14ac:dyDescent="0.25">
      <c r="A288" s="5"/>
      <c r="B288" s="5"/>
      <c r="C288" s="5"/>
      <c r="D288" s="5"/>
      <c r="E288" s="5"/>
      <c r="F288" s="5"/>
      <c r="G288" s="36"/>
      <c r="J288" s="36"/>
      <c r="K288" s="5"/>
      <c r="M288" s="2"/>
      <c r="N288" s="49"/>
      <c r="O288" s="5"/>
      <c r="P288" s="5"/>
      <c r="Q288" s="49"/>
    </row>
    <row r="289" spans="1:17" x14ac:dyDescent="0.25">
      <c r="A289" s="5"/>
      <c r="B289" s="5"/>
      <c r="C289" s="5"/>
      <c r="D289" s="5"/>
      <c r="E289" s="5"/>
      <c r="F289" s="5"/>
      <c r="G289" s="36"/>
      <c r="J289" s="36"/>
      <c r="K289" s="5"/>
      <c r="M289" s="2"/>
      <c r="N289" s="49"/>
      <c r="O289" s="5"/>
      <c r="P289" s="5"/>
      <c r="Q289" s="49"/>
    </row>
    <row r="290" spans="1:17" x14ac:dyDescent="0.25">
      <c r="A290" s="5"/>
      <c r="B290" s="5"/>
      <c r="C290" s="5"/>
      <c r="D290" s="5"/>
      <c r="E290" s="5"/>
      <c r="F290" s="5"/>
      <c r="G290" s="36"/>
      <c r="J290" s="36"/>
      <c r="K290" s="5"/>
      <c r="M290" s="2"/>
      <c r="N290" s="49"/>
      <c r="O290" s="5"/>
      <c r="P290" s="5"/>
      <c r="Q290" s="49"/>
    </row>
    <row r="291" spans="1:17" x14ac:dyDescent="0.25">
      <c r="A291" s="5"/>
      <c r="B291" s="5"/>
      <c r="C291" s="5"/>
      <c r="D291" s="5"/>
      <c r="E291" s="5"/>
      <c r="F291" s="5"/>
      <c r="G291" s="36"/>
      <c r="J291" s="36"/>
      <c r="K291" s="5"/>
      <c r="M291" s="2"/>
      <c r="N291" s="49"/>
      <c r="O291" s="5"/>
      <c r="P291" s="5"/>
      <c r="Q291" s="49"/>
    </row>
    <row r="292" spans="1:17" x14ac:dyDescent="0.25">
      <c r="A292" s="5"/>
      <c r="B292" s="5"/>
      <c r="C292" s="5"/>
      <c r="D292" s="5"/>
      <c r="E292" s="5"/>
      <c r="F292" s="5"/>
      <c r="G292" s="36"/>
      <c r="J292" s="36"/>
      <c r="K292" s="5"/>
      <c r="M292" s="2"/>
      <c r="N292" s="49"/>
      <c r="O292" s="5"/>
      <c r="P292" s="5"/>
      <c r="Q292" s="49"/>
    </row>
    <row r="293" spans="1:17" x14ac:dyDescent="0.25">
      <c r="A293" s="5"/>
      <c r="B293" s="5"/>
      <c r="C293" s="5"/>
      <c r="D293" s="5"/>
      <c r="E293" s="5"/>
      <c r="F293" s="5"/>
      <c r="G293" s="36"/>
      <c r="J293" s="36"/>
      <c r="K293" s="5"/>
      <c r="M293" s="2"/>
      <c r="N293" s="49"/>
      <c r="O293" s="5"/>
      <c r="P293" s="5"/>
      <c r="Q293" s="49"/>
    </row>
    <row r="294" spans="1:17" x14ac:dyDescent="0.25">
      <c r="A294" s="5"/>
      <c r="B294" s="5"/>
      <c r="C294" s="5"/>
      <c r="D294" s="5"/>
      <c r="E294" s="5"/>
      <c r="F294" s="5"/>
      <c r="G294" s="36"/>
      <c r="J294" s="36"/>
      <c r="K294" s="5"/>
      <c r="M294" s="2"/>
      <c r="N294" s="49"/>
      <c r="O294" s="5"/>
      <c r="P294" s="5"/>
      <c r="Q294" s="49"/>
    </row>
    <row r="295" spans="1:17" x14ac:dyDescent="0.25">
      <c r="A295" s="5"/>
      <c r="B295" s="5"/>
      <c r="C295" s="5"/>
      <c r="D295" s="5"/>
      <c r="E295" s="5"/>
      <c r="F295" s="5"/>
      <c r="G295" s="36"/>
      <c r="J295" s="36"/>
      <c r="K295" s="5"/>
      <c r="M295" s="2"/>
      <c r="N295" s="49"/>
      <c r="O295" s="5"/>
      <c r="P295" s="5"/>
      <c r="Q295" s="49"/>
    </row>
    <row r="296" spans="1:17" x14ac:dyDescent="0.25">
      <c r="A296" s="5"/>
      <c r="B296" s="5"/>
      <c r="C296" s="5"/>
      <c r="D296" s="5"/>
      <c r="E296" s="5"/>
      <c r="F296" s="5"/>
      <c r="G296" s="36"/>
      <c r="J296" s="36"/>
      <c r="K296" s="5"/>
      <c r="M296" s="2"/>
      <c r="N296" s="49"/>
      <c r="O296" s="5"/>
      <c r="P296" s="5"/>
      <c r="Q296" s="49"/>
    </row>
  </sheetData>
  <sortState ref="A1:Q296">
    <sortCondition descending="1" ref="J1:J296"/>
  </sortState>
  <pageMargins left="0.25" right="0" top="0.5" bottom="0.5" header="0.3" footer="0.3"/>
  <pageSetup paperSize="5" scale="72" orientation="landscape" r:id="rId1"/>
  <headerFooter>
    <oddHeader xml:space="preserve">&amp;LUpdated:  3/18/15&amp;C2015 Proceeding Status (ReOpened) </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Master</vt:lpstr>
      <vt:lpstr>Active</vt:lpstr>
      <vt:lpstr>ReOpened</vt:lpstr>
      <vt:lpstr>Active!Print_Area</vt:lpstr>
      <vt:lpstr>Active!Print_Titles</vt:lpstr>
      <vt:lpstr>Master!Print_Titles</vt:lpstr>
      <vt:lpstr>ReOpened!Print_Titles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Oliveros, Michael J.</dc:creator>
  <cp:lastModifiedBy>Sullivan, Timothy J.</cp:lastModifiedBy>
  <cp:lastPrinted>2015-03-30T22:01:47Z</cp:lastPrinted>
  <dcterms:created xsi:type="dcterms:W3CDTF">2014-08-06T21:19:47Z</dcterms:created>
  <dcterms:modified xsi:type="dcterms:W3CDTF">2015-06-08T16:56:15Z</dcterms:modified>
</cp:coreProperties>
</file>