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filterPrivacy="1" defaultThemeVersion="166925"/>
  <xr:revisionPtr revIDLastSave="0" documentId="13_ncr:1_{A6C643C0-C917-4D59-B037-CAE5E00B4B13}" xr6:coauthVersionLast="40" xr6:coauthVersionMax="40" xr10:uidLastSave="{00000000-0000-0000-0000-000000000000}"/>
  <bookViews>
    <workbookView xWindow="19935" yWindow="285" windowWidth="18090" windowHeight="14505" xr2:uid="{00000000-000D-0000-FFFF-FFFF00000000}"/>
  </bookViews>
  <sheets>
    <sheet name="Readme" sheetId="5" r:id="rId1"/>
    <sheet name="AdjustPorts2030" sheetId="3" r:id="rId2"/>
    <sheet name="PortByYear" sheetId="8" r:id="rId3"/>
    <sheet name="2019-20TxInputUpdate" sheetId="9"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19" i="8" l="1"/>
  <c r="Q19" i="8"/>
  <c r="P19" i="8"/>
  <c r="I14" i="3"/>
  <c r="W9" i="3"/>
  <c r="V9" i="3"/>
  <c r="Q11" i="3"/>
  <c r="Q12" i="3"/>
  <c r="Q13" i="3"/>
  <c r="Q14" i="3"/>
  <c r="Q15" i="3"/>
  <c r="Q16" i="3"/>
  <c r="Q17" i="3"/>
  <c r="Q18" i="3"/>
  <c r="Q19" i="3"/>
  <c r="Q20" i="3"/>
  <c r="Q21" i="3"/>
  <c r="Q22" i="3"/>
  <c r="Q23" i="3"/>
  <c r="Q24" i="3"/>
  <c r="Q25" i="3"/>
  <c r="Q26" i="3"/>
  <c r="Q27" i="3"/>
  <c r="Q28" i="3"/>
  <c r="Q10" i="3"/>
  <c r="R11" i="3" l="1"/>
  <c r="S11" i="3" s="1"/>
  <c r="R12" i="3"/>
  <c r="S12" i="3" s="1"/>
  <c r="R13" i="3"/>
  <c r="S13" i="3" s="1"/>
  <c r="R14" i="3"/>
  <c r="S14" i="3" s="1"/>
  <c r="R15" i="3"/>
  <c r="S15" i="3" s="1"/>
  <c r="R16" i="3"/>
  <c r="S16" i="3" s="1"/>
  <c r="R17" i="3"/>
  <c r="S17" i="3" s="1"/>
  <c r="R18" i="3"/>
  <c r="S18" i="3" s="1"/>
  <c r="R19" i="3"/>
  <c r="S19" i="3" s="1"/>
  <c r="R20" i="3"/>
  <c r="S20" i="3" s="1"/>
  <c r="R21" i="3"/>
  <c r="S21" i="3" s="1"/>
  <c r="R22" i="3"/>
  <c r="S22" i="3" s="1"/>
  <c r="R23" i="3"/>
  <c r="S23" i="3" s="1"/>
  <c r="R24" i="3"/>
  <c r="S24" i="3" s="1"/>
  <c r="R25" i="3"/>
  <c r="S25" i="3" s="1"/>
  <c r="R26" i="3"/>
  <c r="S26" i="3" s="1"/>
  <c r="R27" i="3"/>
  <c r="S27" i="3" s="1"/>
  <c r="R28" i="3"/>
  <c r="S28" i="3" s="1"/>
  <c r="R10" i="3"/>
  <c r="S10" i="3" s="1"/>
  <c r="X24" i="9"/>
  <c r="N24" i="9"/>
  <c r="L24" i="9"/>
  <c r="T28" i="3" s="1"/>
  <c r="X23" i="9"/>
  <c r="Q23" i="9"/>
  <c r="N23" i="9"/>
  <c r="L23" i="9"/>
  <c r="T27" i="3" s="1"/>
  <c r="N22" i="9"/>
  <c r="L22" i="9"/>
  <c r="T26" i="3" s="1"/>
  <c r="R21" i="9"/>
  <c r="Q21" i="9"/>
  <c r="X21" i="9" s="1"/>
  <c r="L21" i="9"/>
  <c r="T25" i="3" s="1"/>
  <c r="W20" i="9"/>
  <c r="O20" i="9"/>
  <c r="N20" i="9"/>
  <c r="N21" i="9" s="1"/>
  <c r="L20" i="9"/>
  <c r="T24" i="3" s="1"/>
  <c r="L19" i="9"/>
  <c r="T23" i="3" s="1"/>
  <c r="L18" i="9"/>
  <c r="T22" i="3" s="1"/>
  <c r="L17" i="9"/>
  <c r="T21" i="3" s="1"/>
  <c r="Q16" i="9"/>
  <c r="X16" i="9" s="1"/>
  <c r="O16" i="9"/>
  <c r="N16" i="9"/>
  <c r="L16" i="9"/>
  <c r="T20" i="3" s="1"/>
  <c r="X15" i="9"/>
  <c r="Q15" i="9"/>
  <c r="L15" i="9"/>
  <c r="X14" i="9"/>
  <c r="N14" i="9"/>
  <c r="L14" i="9"/>
  <c r="T18" i="3" s="1"/>
  <c r="X13" i="9"/>
  <c r="N13" i="9"/>
  <c r="L13" i="9"/>
  <c r="X12" i="9"/>
  <c r="N12" i="9"/>
  <c r="L12" i="9"/>
  <c r="T16" i="3" s="1"/>
  <c r="W11" i="9"/>
  <c r="Q11" i="9"/>
  <c r="X11" i="9" s="1"/>
  <c r="O11" i="9"/>
  <c r="N11" i="9"/>
  <c r="L11" i="9"/>
  <c r="T15" i="3" s="1"/>
  <c r="Q10" i="9"/>
  <c r="X10" i="9" s="1"/>
  <c r="N10" i="9"/>
  <c r="L10" i="9"/>
  <c r="L9" i="9"/>
  <c r="T13" i="3" s="1"/>
  <c r="L8" i="9"/>
  <c r="T12" i="3" s="1"/>
  <c r="L7" i="9"/>
  <c r="T11" i="3" s="1"/>
  <c r="X6" i="9"/>
  <c r="Q6" i="9"/>
  <c r="O6" i="9"/>
  <c r="N6" i="9"/>
  <c r="L6" i="9"/>
  <c r="R6" i="9" s="1"/>
  <c r="R10" i="9" l="1"/>
  <c r="T14" i="3"/>
  <c r="R15" i="9"/>
  <c r="T19" i="3"/>
  <c r="R13" i="9"/>
  <c r="T17" i="3"/>
  <c r="R20" i="9"/>
  <c r="T10" i="3"/>
  <c r="R14" i="9"/>
  <c r="J14" i="3"/>
  <c r="I11" i="3"/>
  <c r="R12" i="9"/>
  <c r="R16" i="9"/>
  <c r="R23" i="9"/>
  <c r="J43" i="3"/>
  <c r="I43" i="3"/>
  <c r="R48" i="8" s="1"/>
  <c r="W48" i="8" s="1"/>
  <c r="Q20" i="9"/>
  <c r="X20" i="9" s="1"/>
  <c r="R11" i="9" l="1"/>
  <c r="P16" i="8"/>
  <c r="U19" i="8" s="1"/>
  <c r="AA19" i="8" s="1"/>
  <c r="AB19" i="8" s="1"/>
  <c r="AC19" i="8" s="1"/>
  <c r="AD19" i="8" s="1"/>
  <c r="Q16" i="8"/>
  <c r="V19" i="8" s="1"/>
  <c r="AE19" i="8" s="1"/>
  <c r="AF19" i="8" s="1"/>
  <c r="AG19" i="8" s="1"/>
  <c r="AH19" i="8" s="1"/>
  <c r="R16" i="8"/>
  <c r="W19" i="8" s="1"/>
  <c r="AI19" i="8" s="1"/>
  <c r="AI22" i="8"/>
  <c r="AI30" i="8"/>
  <c r="AI38" i="8"/>
  <c r="AI48" i="8"/>
  <c r="AH48" i="8" s="1"/>
  <c r="AA20" i="8"/>
  <c r="AB20" i="8" s="1"/>
  <c r="AC20" i="8" s="1"/>
  <c r="AD20" i="8" s="1"/>
  <c r="AA28" i="8"/>
  <c r="AA36" i="8"/>
  <c r="AB36" i="8" s="1"/>
  <c r="AC36" i="8" s="1"/>
  <c r="AD36" i="8" s="1"/>
  <c r="AA44" i="8"/>
  <c r="AB44" i="8" s="1"/>
  <c r="AC44" i="8" s="1"/>
  <c r="AD44" i="8" s="1"/>
  <c r="AI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10" i="8"/>
  <c r="Q5" i="8"/>
  <c r="AE5" i="8" s="1"/>
  <c r="AF5" i="8" s="1"/>
  <c r="AG5" i="8" s="1"/>
  <c r="AH5" i="8" s="1"/>
  <c r="P4" i="8"/>
  <c r="Q4" i="8"/>
  <c r="AE4" i="8" s="1"/>
  <c r="R4" i="8"/>
  <c r="AI4" i="8" s="1"/>
  <c r="P5" i="8"/>
  <c r="R5" i="8"/>
  <c r="AI5" i="8" s="1"/>
  <c r="O5" i="8"/>
  <c r="O4" i="8"/>
  <c r="W39" i="8"/>
  <c r="R39" i="8"/>
  <c r="AI39" i="8" s="1"/>
  <c r="AH39" i="8" s="1"/>
  <c r="T11" i="8"/>
  <c r="U11" i="8"/>
  <c r="V11" i="8"/>
  <c r="W11" i="8"/>
  <c r="T12" i="8"/>
  <c r="U12" i="8"/>
  <c r="AA12" i="8" s="1"/>
  <c r="AB12" i="8" s="1"/>
  <c r="AC12" i="8" s="1"/>
  <c r="AD12" i="8" s="1"/>
  <c r="V12" i="8"/>
  <c r="W12" i="8"/>
  <c r="T13" i="8"/>
  <c r="U13" i="8"/>
  <c r="V13" i="8"/>
  <c r="W13" i="8"/>
  <c r="T14" i="8"/>
  <c r="U14" i="8"/>
  <c r="V14" i="8"/>
  <c r="W14" i="8"/>
  <c r="AI14" i="8" s="1"/>
  <c r="T15" i="8"/>
  <c r="U15" i="8"/>
  <c r="V15" i="8"/>
  <c r="W15" i="8"/>
  <c r="T16" i="8"/>
  <c r="U16" i="8"/>
  <c r="AA16" i="8" s="1"/>
  <c r="V16" i="8"/>
  <c r="W16" i="8"/>
  <c r="T17" i="8"/>
  <c r="U17" i="8"/>
  <c r="V17" i="8"/>
  <c r="W17" i="8"/>
  <c r="T18" i="8"/>
  <c r="U18" i="8"/>
  <c r="V18" i="8"/>
  <c r="W18" i="8"/>
  <c r="T19" i="8"/>
  <c r="T20" i="8"/>
  <c r="U20" i="8"/>
  <c r="V20" i="8"/>
  <c r="W20" i="8"/>
  <c r="T21" i="8"/>
  <c r="U21" i="8"/>
  <c r="V21" i="8"/>
  <c r="W21" i="8"/>
  <c r="T22" i="8"/>
  <c r="U22" i="8"/>
  <c r="V22" i="8"/>
  <c r="W22" i="8"/>
  <c r="T23" i="8"/>
  <c r="U23" i="8"/>
  <c r="V23" i="8"/>
  <c r="W23" i="8"/>
  <c r="T24" i="8"/>
  <c r="U24" i="8"/>
  <c r="V24" i="8"/>
  <c r="W24" i="8"/>
  <c r="T25" i="8"/>
  <c r="U25" i="8"/>
  <c r="V25" i="8"/>
  <c r="W25" i="8"/>
  <c r="T26" i="8"/>
  <c r="U26" i="8"/>
  <c r="V26" i="8"/>
  <c r="W26" i="8"/>
  <c r="T27" i="8"/>
  <c r="U27" i="8"/>
  <c r="V27" i="8"/>
  <c r="W27" i="8"/>
  <c r="T28" i="8"/>
  <c r="U28" i="8"/>
  <c r="V28" i="8"/>
  <c r="W28" i="8"/>
  <c r="T29" i="8"/>
  <c r="U29" i="8"/>
  <c r="V29" i="8"/>
  <c r="W29" i="8"/>
  <c r="T30" i="8"/>
  <c r="U30" i="8"/>
  <c r="V30" i="8"/>
  <c r="W30" i="8"/>
  <c r="T31" i="8"/>
  <c r="U31" i="8"/>
  <c r="V31" i="8"/>
  <c r="W31" i="8"/>
  <c r="T32" i="8"/>
  <c r="U32" i="8"/>
  <c r="V32" i="8"/>
  <c r="W32" i="8"/>
  <c r="T33" i="8"/>
  <c r="U33" i="8"/>
  <c r="V33" i="8"/>
  <c r="W33" i="8"/>
  <c r="T34" i="8"/>
  <c r="U34" i="8"/>
  <c r="V34" i="8"/>
  <c r="W34" i="8"/>
  <c r="T35" i="8"/>
  <c r="U35" i="8"/>
  <c r="V35" i="8"/>
  <c r="W35" i="8"/>
  <c r="T36" i="8"/>
  <c r="U36" i="8"/>
  <c r="V36" i="8"/>
  <c r="W36" i="8"/>
  <c r="T37" i="8"/>
  <c r="U37" i="8"/>
  <c r="V37" i="8"/>
  <c r="W37" i="8"/>
  <c r="T38" i="8"/>
  <c r="U38" i="8"/>
  <c r="V38" i="8"/>
  <c r="W38" i="8"/>
  <c r="T39" i="8"/>
  <c r="U39" i="8"/>
  <c r="V39" i="8"/>
  <c r="T40" i="8"/>
  <c r="U40" i="8"/>
  <c r="V40" i="8"/>
  <c r="W40" i="8"/>
  <c r="T41" i="8"/>
  <c r="U41" i="8"/>
  <c r="V41" i="8"/>
  <c r="W41" i="8"/>
  <c r="T42" i="8"/>
  <c r="U42" i="8"/>
  <c r="V42" i="8"/>
  <c r="W42" i="8"/>
  <c r="T43" i="8"/>
  <c r="U43" i="8"/>
  <c r="V43" i="8"/>
  <c r="W43" i="8"/>
  <c r="T44" i="8"/>
  <c r="U44" i="8"/>
  <c r="V44" i="8"/>
  <c r="W44" i="8"/>
  <c r="T45" i="8"/>
  <c r="U45" i="8"/>
  <c r="V45" i="8"/>
  <c r="W45" i="8"/>
  <c r="T46" i="8"/>
  <c r="U46" i="8"/>
  <c r="V46" i="8"/>
  <c r="W46" i="8"/>
  <c r="T47" i="8"/>
  <c r="U47" i="8"/>
  <c r="V47" i="8"/>
  <c r="W47" i="8"/>
  <c r="T48" i="8"/>
  <c r="U48" i="8"/>
  <c r="V48" i="8"/>
  <c r="T49" i="8"/>
  <c r="U49" i="8"/>
  <c r="V49" i="8"/>
  <c r="W49" i="8"/>
  <c r="T50" i="8"/>
  <c r="U50" i="8"/>
  <c r="V50" i="8"/>
  <c r="W50" i="8"/>
  <c r="T51" i="8"/>
  <c r="U51" i="8"/>
  <c r="V51" i="8"/>
  <c r="W51" i="8"/>
  <c r="U10" i="8"/>
  <c r="V10" i="8"/>
  <c r="W10" i="8"/>
  <c r="T10" i="8"/>
  <c r="O11" i="8"/>
  <c r="P11" i="8"/>
  <c r="AA11" i="8" s="1"/>
  <c r="AB11" i="8" s="1"/>
  <c r="AC11" i="8" s="1"/>
  <c r="AD11" i="8" s="1"/>
  <c r="Q11" i="8"/>
  <c r="AE11" i="8" s="1"/>
  <c r="AF11" i="8" s="1"/>
  <c r="AG11" i="8" s="1"/>
  <c r="AH11" i="8" s="1"/>
  <c r="R11" i="8"/>
  <c r="AI11" i="8" s="1"/>
  <c r="O12" i="8"/>
  <c r="P12" i="8"/>
  <c r="Q12" i="8"/>
  <c r="AE12" i="8" s="1"/>
  <c r="AF12" i="8" s="1"/>
  <c r="AG12" i="8" s="1"/>
  <c r="AH12" i="8" s="1"/>
  <c r="R12" i="8"/>
  <c r="O13" i="8"/>
  <c r="P13" i="8"/>
  <c r="AA13" i="8" s="1"/>
  <c r="AB13" i="8" s="1"/>
  <c r="AC13" i="8" s="1"/>
  <c r="AD13" i="8" s="1"/>
  <c r="Q13" i="8"/>
  <c r="AE13" i="8" s="1"/>
  <c r="AF13" i="8" s="1"/>
  <c r="AG13" i="8" s="1"/>
  <c r="AH13" i="8" s="1"/>
  <c r="R13" i="8"/>
  <c r="AI13" i="8" s="1"/>
  <c r="O14" i="8"/>
  <c r="P14" i="8"/>
  <c r="AA14" i="8" s="1"/>
  <c r="AB14" i="8" s="1"/>
  <c r="AC14" i="8" s="1"/>
  <c r="AD14" i="8" s="1"/>
  <c r="Q14" i="8"/>
  <c r="AE14" i="8" s="1"/>
  <c r="AF14" i="8" s="1"/>
  <c r="AG14" i="8" s="1"/>
  <c r="AH14" i="8" s="1"/>
  <c r="R14" i="8"/>
  <c r="O15" i="8"/>
  <c r="P15" i="8"/>
  <c r="AA15" i="8" s="1"/>
  <c r="Q15" i="8"/>
  <c r="AE15" i="8" s="1"/>
  <c r="AF15" i="8" s="1"/>
  <c r="AG15" i="8" s="1"/>
  <c r="AH15" i="8" s="1"/>
  <c r="R15" i="8"/>
  <c r="AI15" i="8" s="1"/>
  <c r="O16" i="8"/>
  <c r="O17" i="8"/>
  <c r="P17" i="8"/>
  <c r="AA17" i="8" s="1"/>
  <c r="AB17" i="8" s="1"/>
  <c r="AC17" i="8" s="1"/>
  <c r="AD17" i="8" s="1"/>
  <c r="Q17" i="8"/>
  <c r="AE17" i="8" s="1"/>
  <c r="AF17" i="8" s="1"/>
  <c r="AG17" i="8" s="1"/>
  <c r="AH17" i="8" s="1"/>
  <c r="R17" i="8"/>
  <c r="AI17" i="8" s="1"/>
  <c r="O18" i="8"/>
  <c r="P18" i="8"/>
  <c r="AA18" i="8" s="1"/>
  <c r="AB18" i="8" s="1"/>
  <c r="AC18" i="8" s="1"/>
  <c r="AD18" i="8" s="1"/>
  <c r="Q18" i="8"/>
  <c r="AE18" i="8" s="1"/>
  <c r="AF18" i="8" s="1"/>
  <c r="AG18" i="8" s="1"/>
  <c r="AH18" i="8" s="1"/>
  <c r="R18" i="8"/>
  <c r="AI18" i="8" s="1"/>
  <c r="O19" i="8"/>
  <c r="O20" i="8"/>
  <c r="P20" i="8"/>
  <c r="Q20" i="8"/>
  <c r="AE20" i="8" s="1"/>
  <c r="AF20" i="8" s="1"/>
  <c r="AG20" i="8" s="1"/>
  <c r="AH20" i="8" s="1"/>
  <c r="R20" i="8"/>
  <c r="AI20" i="8" s="1"/>
  <c r="O21" i="8"/>
  <c r="P21" i="8"/>
  <c r="AA21" i="8" s="1"/>
  <c r="AB21" i="8" s="1"/>
  <c r="AC21" i="8" s="1"/>
  <c r="AD21" i="8" s="1"/>
  <c r="Q21" i="8"/>
  <c r="AE21" i="8" s="1"/>
  <c r="AF21" i="8" s="1"/>
  <c r="AG21" i="8" s="1"/>
  <c r="AH21" i="8" s="1"/>
  <c r="R21" i="8"/>
  <c r="AI21" i="8" s="1"/>
  <c r="O22" i="8"/>
  <c r="P22" i="8"/>
  <c r="AA22" i="8" s="1"/>
  <c r="AB22" i="8" s="1"/>
  <c r="AC22" i="8" s="1"/>
  <c r="AD22" i="8" s="1"/>
  <c r="Q22" i="8"/>
  <c r="AE22" i="8" s="1"/>
  <c r="AF22" i="8" s="1"/>
  <c r="AG22" i="8" s="1"/>
  <c r="AH22" i="8" s="1"/>
  <c r="R22" i="8"/>
  <c r="O23" i="8"/>
  <c r="P23" i="8"/>
  <c r="AA23" i="8" s="1"/>
  <c r="AB23" i="8" s="1"/>
  <c r="AC23" i="8" s="1"/>
  <c r="AD23" i="8" s="1"/>
  <c r="Q23" i="8"/>
  <c r="AE23" i="8" s="1"/>
  <c r="AF23" i="8" s="1"/>
  <c r="AG23" i="8" s="1"/>
  <c r="AH23" i="8" s="1"/>
  <c r="R23" i="8"/>
  <c r="AI23" i="8" s="1"/>
  <c r="O24" i="8"/>
  <c r="P24" i="8"/>
  <c r="AA24" i="8" s="1"/>
  <c r="Q24" i="8"/>
  <c r="AE24" i="8" s="1"/>
  <c r="AF24" i="8" s="1"/>
  <c r="AG24" i="8" s="1"/>
  <c r="AH24" i="8" s="1"/>
  <c r="R24" i="8"/>
  <c r="AI24" i="8" s="1"/>
  <c r="O25" i="8"/>
  <c r="P25" i="8"/>
  <c r="AA25" i="8" s="1"/>
  <c r="AB25" i="8" s="1"/>
  <c r="AC25" i="8" s="1"/>
  <c r="AD25" i="8" s="1"/>
  <c r="Q25" i="8"/>
  <c r="AE25" i="8" s="1"/>
  <c r="AF25" i="8" s="1"/>
  <c r="AG25" i="8" s="1"/>
  <c r="AH25" i="8" s="1"/>
  <c r="R25" i="8"/>
  <c r="AI25" i="8" s="1"/>
  <c r="O26" i="8"/>
  <c r="P26" i="8"/>
  <c r="AA26" i="8" s="1"/>
  <c r="AB26" i="8" s="1"/>
  <c r="AC26" i="8" s="1"/>
  <c r="AD26" i="8" s="1"/>
  <c r="Q26" i="8"/>
  <c r="AE26" i="8" s="1"/>
  <c r="AF26" i="8" s="1"/>
  <c r="AG26" i="8" s="1"/>
  <c r="AH26" i="8" s="1"/>
  <c r="R26" i="8"/>
  <c r="AI26" i="8" s="1"/>
  <c r="O27" i="8"/>
  <c r="P27" i="8"/>
  <c r="AA27" i="8" s="1"/>
  <c r="AB27" i="8" s="1"/>
  <c r="AC27" i="8" s="1"/>
  <c r="AD27" i="8" s="1"/>
  <c r="Q27" i="8"/>
  <c r="AE27" i="8" s="1"/>
  <c r="AF27" i="8" s="1"/>
  <c r="AG27" i="8" s="1"/>
  <c r="AH27" i="8" s="1"/>
  <c r="R27" i="8"/>
  <c r="AI27" i="8" s="1"/>
  <c r="O28" i="8"/>
  <c r="P28" i="8"/>
  <c r="Q28" i="8"/>
  <c r="AE28" i="8" s="1"/>
  <c r="AF28" i="8" s="1"/>
  <c r="AG28" i="8" s="1"/>
  <c r="AH28" i="8" s="1"/>
  <c r="R28" i="8"/>
  <c r="AI28" i="8" s="1"/>
  <c r="O29" i="8"/>
  <c r="P29" i="8"/>
  <c r="AA29" i="8" s="1"/>
  <c r="Q29" i="8"/>
  <c r="AE29" i="8" s="1"/>
  <c r="AF29" i="8" s="1"/>
  <c r="AG29" i="8" s="1"/>
  <c r="AH29" i="8" s="1"/>
  <c r="R29" i="8"/>
  <c r="AI29" i="8" s="1"/>
  <c r="O30" i="8"/>
  <c r="P30" i="8"/>
  <c r="AA30" i="8" s="1"/>
  <c r="Q30" i="8"/>
  <c r="AE30" i="8" s="1"/>
  <c r="AF30" i="8" s="1"/>
  <c r="AG30" i="8" s="1"/>
  <c r="AH30" i="8" s="1"/>
  <c r="R30" i="8"/>
  <c r="O31" i="8"/>
  <c r="P31" i="8"/>
  <c r="AA31" i="8" s="1"/>
  <c r="Q31" i="8"/>
  <c r="AE31" i="8" s="1"/>
  <c r="AF31" i="8" s="1"/>
  <c r="AG31" i="8" s="1"/>
  <c r="AH31" i="8" s="1"/>
  <c r="R31" i="8"/>
  <c r="AI31" i="8" s="1"/>
  <c r="O32" i="8"/>
  <c r="P32" i="8"/>
  <c r="AA32" i="8" s="1"/>
  <c r="AB32" i="8" s="1"/>
  <c r="AC32" i="8" s="1"/>
  <c r="AD32" i="8" s="1"/>
  <c r="Q32" i="8"/>
  <c r="AE32" i="8" s="1"/>
  <c r="AF32" i="8" s="1"/>
  <c r="AG32" i="8" s="1"/>
  <c r="AH32" i="8" s="1"/>
  <c r="R32" i="8"/>
  <c r="AI32" i="8" s="1"/>
  <c r="O33" i="8"/>
  <c r="P33" i="8"/>
  <c r="AA33" i="8" s="1"/>
  <c r="AB33" i="8" s="1"/>
  <c r="AC33" i="8" s="1"/>
  <c r="AD33" i="8" s="1"/>
  <c r="Q33" i="8"/>
  <c r="AE33" i="8" s="1"/>
  <c r="AF33" i="8" s="1"/>
  <c r="AG33" i="8" s="1"/>
  <c r="AH33" i="8" s="1"/>
  <c r="R33" i="8"/>
  <c r="AI33" i="8" s="1"/>
  <c r="O34" i="8"/>
  <c r="P34" i="8"/>
  <c r="AA34" i="8" s="1"/>
  <c r="Q34" i="8"/>
  <c r="AE34" i="8" s="1"/>
  <c r="AF34" i="8" s="1"/>
  <c r="AG34" i="8" s="1"/>
  <c r="AH34" i="8" s="1"/>
  <c r="R34" i="8"/>
  <c r="AI34" i="8" s="1"/>
  <c r="O35" i="8"/>
  <c r="P35" i="8"/>
  <c r="AA35" i="8" s="1"/>
  <c r="AB35" i="8" s="1"/>
  <c r="AC35" i="8" s="1"/>
  <c r="AD35" i="8" s="1"/>
  <c r="Q35" i="8"/>
  <c r="AE35" i="8" s="1"/>
  <c r="AF35" i="8" s="1"/>
  <c r="AG35" i="8" s="1"/>
  <c r="AH35" i="8" s="1"/>
  <c r="R35" i="8"/>
  <c r="AI35" i="8" s="1"/>
  <c r="O36" i="8"/>
  <c r="P36" i="8"/>
  <c r="Q36" i="8"/>
  <c r="AE36" i="8" s="1"/>
  <c r="AF36" i="8" s="1"/>
  <c r="AG36" i="8" s="1"/>
  <c r="AH36" i="8" s="1"/>
  <c r="R36" i="8"/>
  <c r="AI36" i="8" s="1"/>
  <c r="O37" i="8"/>
  <c r="P37" i="8"/>
  <c r="AA37" i="8" s="1"/>
  <c r="AB37" i="8" s="1"/>
  <c r="AC37" i="8" s="1"/>
  <c r="AD37" i="8" s="1"/>
  <c r="Q37" i="8"/>
  <c r="AE37" i="8" s="1"/>
  <c r="AF37" i="8" s="1"/>
  <c r="AG37" i="8" s="1"/>
  <c r="AH37" i="8" s="1"/>
  <c r="R37" i="8"/>
  <c r="AI37" i="8" s="1"/>
  <c r="O38" i="8"/>
  <c r="P38" i="8"/>
  <c r="AA38" i="8" s="1"/>
  <c r="AB38" i="8" s="1"/>
  <c r="AC38" i="8" s="1"/>
  <c r="AD38" i="8" s="1"/>
  <c r="Q38" i="8"/>
  <c r="AE38" i="8" s="1"/>
  <c r="AF38" i="8" s="1"/>
  <c r="AG38" i="8" s="1"/>
  <c r="AH38" i="8" s="1"/>
  <c r="R38" i="8"/>
  <c r="O39" i="8"/>
  <c r="P39" i="8"/>
  <c r="AA39" i="8" s="1"/>
  <c r="AB39" i="8" s="1"/>
  <c r="AC39" i="8" s="1"/>
  <c r="AD39" i="8" s="1"/>
  <c r="Q39" i="8"/>
  <c r="AE39" i="8" s="1"/>
  <c r="AF39" i="8" s="1"/>
  <c r="AG39" i="8" s="1"/>
  <c r="O40" i="8"/>
  <c r="P40" i="8"/>
  <c r="AA40" i="8" s="1"/>
  <c r="AB40" i="8" s="1"/>
  <c r="AC40" i="8" s="1"/>
  <c r="AD40" i="8" s="1"/>
  <c r="Q40" i="8"/>
  <c r="AE40" i="8" s="1"/>
  <c r="AF40" i="8" s="1"/>
  <c r="AG40" i="8" s="1"/>
  <c r="AH40" i="8" s="1"/>
  <c r="R40" i="8"/>
  <c r="AI40" i="8" s="1"/>
  <c r="O41" i="8"/>
  <c r="P41" i="8"/>
  <c r="AA41" i="8" s="1"/>
  <c r="AB41" i="8" s="1"/>
  <c r="AC41" i="8" s="1"/>
  <c r="AD41" i="8" s="1"/>
  <c r="Q41" i="8"/>
  <c r="AE41" i="8" s="1"/>
  <c r="AF41" i="8" s="1"/>
  <c r="AG41" i="8" s="1"/>
  <c r="AH41" i="8" s="1"/>
  <c r="R41" i="8"/>
  <c r="AI41" i="8" s="1"/>
  <c r="O42" i="8"/>
  <c r="P42" i="8"/>
  <c r="AA42" i="8" s="1"/>
  <c r="AB42" i="8" s="1"/>
  <c r="AC42" i="8" s="1"/>
  <c r="AD42" i="8" s="1"/>
  <c r="Q42" i="8"/>
  <c r="AE42" i="8" s="1"/>
  <c r="AF42" i="8" s="1"/>
  <c r="AG42" i="8" s="1"/>
  <c r="AH42" i="8" s="1"/>
  <c r="R42" i="8"/>
  <c r="AI42" i="8" s="1"/>
  <c r="O43" i="8"/>
  <c r="P43" i="8"/>
  <c r="AA43" i="8" s="1"/>
  <c r="AB43" i="8" s="1"/>
  <c r="AC43" i="8" s="1"/>
  <c r="AD43" i="8" s="1"/>
  <c r="Q43" i="8"/>
  <c r="AE43" i="8" s="1"/>
  <c r="AF43" i="8" s="1"/>
  <c r="AG43" i="8" s="1"/>
  <c r="AH43" i="8" s="1"/>
  <c r="R43" i="8"/>
  <c r="AI43" i="8" s="1"/>
  <c r="O44" i="8"/>
  <c r="P44" i="8"/>
  <c r="Q44" i="8"/>
  <c r="AE44" i="8" s="1"/>
  <c r="AF44" i="8" s="1"/>
  <c r="AG44" i="8" s="1"/>
  <c r="AH44" i="8" s="1"/>
  <c r="R44" i="8"/>
  <c r="AI44" i="8" s="1"/>
  <c r="O45" i="8"/>
  <c r="P45" i="8"/>
  <c r="AA45" i="8" s="1"/>
  <c r="AB45" i="8" s="1"/>
  <c r="AC45" i="8" s="1"/>
  <c r="AD45" i="8" s="1"/>
  <c r="Q45" i="8"/>
  <c r="AE45" i="8" s="1"/>
  <c r="AF45" i="8" s="1"/>
  <c r="AG45" i="8" s="1"/>
  <c r="AH45" i="8" s="1"/>
  <c r="R45" i="8"/>
  <c r="AI45" i="8" s="1"/>
  <c r="O46" i="8"/>
  <c r="P46" i="8"/>
  <c r="AA46" i="8" s="1"/>
  <c r="AB46" i="8" s="1"/>
  <c r="AC46" i="8" s="1"/>
  <c r="AD46" i="8" s="1"/>
  <c r="Q46" i="8"/>
  <c r="AE46" i="8" s="1"/>
  <c r="AF46" i="8" s="1"/>
  <c r="AG46" i="8" s="1"/>
  <c r="R46" i="8"/>
  <c r="AI46" i="8" s="1"/>
  <c r="AH46" i="8" s="1"/>
  <c r="O47" i="8"/>
  <c r="P47" i="8"/>
  <c r="AA47" i="8" s="1"/>
  <c r="AB47" i="8" s="1"/>
  <c r="AC47" i="8" s="1"/>
  <c r="AD47" i="8" s="1"/>
  <c r="Q47" i="8"/>
  <c r="AE47" i="8" s="1"/>
  <c r="AF47" i="8" s="1"/>
  <c r="AG47" i="8" s="1"/>
  <c r="AH47" i="8" s="1"/>
  <c r="R47" i="8"/>
  <c r="AI47" i="8" s="1"/>
  <c r="O48" i="8"/>
  <c r="P48" i="8"/>
  <c r="AA48" i="8" s="1"/>
  <c r="AB48" i="8" s="1"/>
  <c r="AC48" i="8" s="1"/>
  <c r="AD48" i="8" s="1"/>
  <c r="Q48" i="8"/>
  <c r="AE48" i="8" s="1"/>
  <c r="AF48" i="8" s="1"/>
  <c r="AG48" i="8" s="1"/>
  <c r="O49" i="8"/>
  <c r="P49" i="8"/>
  <c r="AA49" i="8" s="1"/>
  <c r="AB49" i="8" s="1"/>
  <c r="AC49" i="8" s="1"/>
  <c r="AD49" i="8" s="1"/>
  <c r="Q49" i="8"/>
  <c r="AE49" i="8" s="1"/>
  <c r="AF49" i="8" s="1"/>
  <c r="AG49" i="8" s="1"/>
  <c r="R49" i="8"/>
  <c r="AI49" i="8" s="1"/>
  <c r="AH49" i="8" s="1"/>
  <c r="O50" i="8"/>
  <c r="P50" i="8"/>
  <c r="AA50" i="8" s="1"/>
  <c r="AB50" i="8" s="1"/>
  <c r="AC50" i="8" s="1"/>
  <c r="AD50" i="8" s="1"/>
  <c r="Q50" i="8"/>
  <c r="AE50" i="8" s="1"/>
  <c r="AF50" i="8" s="1"/>
  <c r="AG50" i="8" s="1"/>
  <c r="AH50" i="8" s="1"/>
  <c r="R50" i="8"/>
  <c r="AI50" i="8" s="1"/>
  <c r="O51" i="8"/>
  <c r="P51" i="8"/>
  <c r="AA51" i="8" s="1"/>
  <c r="AB51" i="8" s="1"/>
  <c r="AC51" i="8" s="1"/>
  <c r="AD51" i="8" s="1"/>
  <c r="Q51" i="8"/>
  <c r="AE51" i="8" s="1"/>
  <c r="AF51" i="8" s="1"/>
  <c r="AG51" i="8" s="1"/>
  <c r="AH51" i="8" s="1"/>
  <c r="R51" i="8"/>
  <c r="AI51" i="8" s="1"/>
  <c r="P10" i="8"/>
  <c r="AA10" i="8" s="1"/>
  <c r="AB10" i="8" s="1"/>
  <c r="AC10" i="8" s="1"/>
  <c r="AD10" i="8" s="1"/>
  <c r="Q10" i="8"/>
  <c r="AE10" i="8" s="1"/>
  <c r="AF10" i="8" s="1"/>
  <c r="AG10" i="8" s="1"/>
  <c r="AH10" i="8" s="1"/>
  <c r="R10" i="8"/>
  <c r="O10" i="8"/>
  <c r="AE16" i="8" l="1"/>
  <c r="AF16" i="8" s="1"/>
  <c r="AG16" i="8" s="1"/>
  <c r="AH16" i="8" s="1"/>
  <c r="AB34" i="8"/>
  <c r="AC34" i="8" s="1"/>
  <c r="AD34" i="8" s="1"/>
  <c r="Z34" i="8"/>
  <c r="Z30" i="8"/>
  <c r="AB30" i="8"/>
  <c r="AC30" i="8" s="1"/>
  <c r="AD30" i="8" s="1"/>
  <c r="Z24" i="8"/>
  <c r="AB24" i="8"/>
  <c r="AC24" i="8" s="1"/>
  <c r="AD24" i="8" s="1"/>
  <c r="AI12" i="8"/>
  <c r="AF4" i="8"/>
  <c r="AG4" i="8"/>
  <c r="AH4" i="8"/>
  <c r="Z29" i="8"/>
  <c r="AB29" i="8"/>
  <c r="AC29" i="8" s="1"/>
  <c r="AD29" i="8" s="1"/>
  <c r="AB15" i="8"/>
  <c r="AC15" i="8" s="1"/>
  <c r="AD15" i="8" s="1"/>
  <c r="Z15" i="8"/>
  <c r="Z28" i="8"/>
  <c r="AB28" i="8"/>
  <c r="AC28" i="8" s="1"/>
  <c r="AD28" i="8" s="1"/>
  <c r="AB31" i="8"/>
  <c r="AC31" i="8" s="1"/>
  <c r="AD31" i="8" s="1"/>
  <c r="Z31" i="8"/>
  <c r="AB16" i="8"/>
  <c r="AC16" i="8" s="1"/>
  <c r="AD16" i="8" s="1"/>
  <c r="Z16" i="8"/>
  <c r="AI16" i="8"/>
  <c r="AI55" i="8" s="1"/>
  <c r="Z19" i="8"/>
  <c r="Z55" i="8" s="1"/>
  <c r="J56" i="8"/>
  <c r="AE55" i="8"/>
  <c r="Y56" i="8"/>
  <c r="AB56" i="8"/>
  <c r="AI56" i="8"/>
  <c r="AH56" i="8"/>
  <c r="Z56" i="8"/>
  <c r="AD55" i="8"/>
  <c r="AA56" i="8"/>
  <c r="AG56" i="8"/>
  <c r="AA55" i="8"/>
  <c r="AF56" i="8"/>
  <c r="AH55" i="8"/>
  <c r="AD56" i="8"/>
  <c r="AF55" i="8"/>
  <c r="W55" i="8"/>
  <c r="AE56" i="8"/>
  <c r="AG55" i="8"/>
  <c r="V55" i="8"/>
  <c r="Y55" i="8"/>
  <c r="AC56" i="8"/>
  <c r="R55" i="8"/>
  <c r="T56" i="8"/>
  <c r="P56" i="8"/>
  <c r="G55" i="8"/>
  <c r="Q56" i="8"/>
  <c r="W56" i="8"/>
  <c r="E55" i="8"/>
  <c r="J55" i="8"/>
  <c r="O55" i="8"/>
  <c r="T55" i="8"/>
  <c r="G56" i="8"/>
  <c r="M55" i="8"/>
  <c r="O56" i="8"/>
  <c r="K56" i="8"/>
  <c r="L56" i="8"/>
  <c r="F55" i="8"/>
  <c r="R56" i="8"/>
  <c r="E56" i="8"/>
  <c r="K55" i="8"/>
  <c r="P55" i="8"/>
  <c r="U55" i="8"/>
  <c r="F56" i="8"/>
  <c r="H55" i="8"/>
  <c r="U56" i="8"/>
  <c r="V56" i="8"/>
  <c r="M56" i="8"/>
  <c r="H56" i="8"/>
  <c r="L55" i="8"/>
  <c r="Q55" i="8"/>
  <c r="AB55" i="8" l="1"/>
  <c r="AC55" i="8"/>
  <c r="J34" i="3"/>
  <c r="I34" i="3"/>
  <c r="J54" i="3" l="1"/>
  <c r="I54" i="3"/>
  <c r="H54" i="3"/>
  <c r="F68" i="3" s="1"/>
  <c r="I6" i="3"/>
  <c r="J6" i="3"/>
  <c r="W14" i="3" s="1"/>
  <c r="I7" i="3"/>
  <c r="J7" i="3"/>
  <c r="I8" i="3"/>
  <c r="V16" i="3" s="1"/>
  <c r="J8" i="3"/>
  <c r="W16" i="3" s="1"/>
  <c r="I9" i="3"/>
  <c r="J9" i="3"/>
  <c r="I10" i="3"/>
  <c r="J10" i="3"/>
  <c r="J11" i="3"/>
  <c r="I12" i="3"/>
  <c r="J12" i="3"/>
  <c r="I13" i="3"/>
  <c r="J13" i="3"/>
  <c r="I15" i="3"/>
  <c r="J15" i="3"/>
  <c r="I16" i="3"/>
  <c r="J16" i="3"/>
  <c r="I17" i="3"/>
  <c r="J17" i="3"/>
  <c r="I18" i="3"/>
  <c r="J18" i="3"/>
  <c r="I19" i="3"/>
  <c r="J19" i="3"/>
  <c r="I20" i="3"/>
  <c r="J20" i="3"/>
  <c r="I21" i="3"/>
  <c r="J21" i="3"/>
  <c r="I22" i="3"/>
  <c r="J22" i="3"/>
  <c r="I23" i="3"/>
  <c r="J23" i="3"/>
  <c r="I24" i="3"/>
  <c r="J24" i="3"/>
  <c r="I25" i="3"/>
  <c r="J25" i="3"/>
  <c r="I26" i="3"/>
  <c r="J26" i="3"/>
  <c r="I27" i="3"/>
  <c r="J27" i="3"/>
  <c r="I28" i="3"/>
  <c r="J28" i="3"/>
  <c r="I29" i="3"/>
  <c r="J29" i="3"/>
  <c r="I30" i="3"/>
  <c r="J30" i="3"/>
  <c r="I31" i="3"/>
  <c r="J31" i="3"/>
  <c r="I32" i="3"/>
  <c r="J32" i="3"/>
  <c r="I33" i="3"/>
  <c r="J33" i="3"/>
  <c r="I35" i="3"/>
  <c r="J35" i="3"/>
  <c r="I36" i="3"/>
  <c r="J36" i="3"/>
  <c r="I37" i="3"/>
  <c r="J37" i="3"/>
  <c r="I38" i="3"/>
  <c r="J38" i="3"/>
  <c r="I39" i="3"/>
  <c r="J39" i="3"/>
  <c r="I40" i="3"/>
  <c r="J40" i="3"/>
  <c r="I41" i="3"/>
  <c r="J41" i="3"/>
  <c r="I42" i="3"/>
  <c r="I61" i="3" s="1"/>
  <c r="J42" i="3"/>
  <c r="J61" i="3" s="1"/>
  <c r="I44" i="3"/>
  <c r="J44" i="3"/>
  <c r="I45" i="3"/>
  <c r="J45" i="3"/>
  <c r="I46" i="3"/>
  <c r="J46" i="3"/>
  <c r="I47" i="3"/>
  <c r="J47" i="3"/>
  <c r="I48" i="3"/>
  <c r="J48" i="3"/>
  <c r="I49" i="3"/>
  <c r="J49" i="3"/>
  <c r="J62" i="3" s="1"/>
  <c r="J5" i="3"/>
  <c r="I5" i="3"/>
  <c r="J3" i="3"/>
  <c r="J53" i="3" s="1"/>
  <c r="I3" i="3"/>
  <c r="I53" i="3" s="1"/>
  <c r="W19" i="3" l="1"/>
  <c r="V17" i="3"/>
  <c r="W17" i="3"/>
  <c r="W20" i="3"/>
  <c r="H40" i="3"/>
  <c r="V19" i="3"/>
  <c r="H16" i="3"/>
  <c r="V18" i="3"/>
  <c r="V27" i="3"/>
  <c r="V20" i="3"/>
  <c r="V28" i="3"/>
  <c r="W25" i="3"/>
  <c r="W28" i="3"/>
  <c r="V11" i="3"/>
  <c r="W11" i="3"/>
  <c r="W10" i="3" s="1"/>
  <c r="V25" i="3"/>
  <c r="W18" i="3"/>
  <c r="W27" i="3"/>
  <c r="V14" i="3"/>
  <c r="H18" i="3"/>
  <c r="H48" i="3"/>
  <c r="H44" i="3"/>
  <c r="H27" i="3"/>
  <c r="H38" i="3"/>
  <c r="H34" i="3"/>
  <c r="H26" i="3"/>
  <c r="H22" i="3"/>
  <c r="J55" i="3"/>
  <c r="H70" i="3" s="1"/>
  <c r="H28" i="3"/>
  <c r="H10" i="3"/>
  <c r="H6" i="3"/>
  <c r="H8" i="3"/>
  <c r="H46" i="3"/>
  <c r="J59" i="3"/>
  <c r="L70" i="3" s="1"/>
  <c r="H11" i="3"/>
  <c r="J57" i="3"/>
  <c r="J72" i="3" s="1"/>
  <c r="H42" i="3"/>
  <c r="H61" i="3" s="1"/>
  <c r="H30" i="3"/>
  <c r="J60" i="3"/>
  <c r="N70" i="3" s="1"/>
  <c r="H32" i="3"/>
  <c r="H24" i="3"/>
  <c r="H20" i="3"/>
  <c r="H39" i="3"/>
  <c r="H35" i="3"/>
  <c r="H31" i="3"/>
  <c r="H23" i="3"/>
  <c r="H19" i="3"/>
  <c r="H15" i="3"/>
  <c r="I56" i="3"/>
  <c r="J69" i="3" s="1"/>
  <c r="H13" i="3"/>
  <c r="J58" i="3"/>
  <c r="H36" i="3"/>
  <c r="H47" i="3"/>
  <c r="H5" i="3"/>
  <c r="H12" i="3"/>
  <c r="H43" i="3"/>
  <c r="H41" i="3"/>
  <c r="H7" i="3"/>
  <c r="H45" i="3"/>
  <c r="H3" i="3"/>
  <c r="H53" i="3" s="1"/>
  <c r="F67" i="3" s="1"/>
  <c r="H9" i="3"/>
  <c r="H37" i="3"/>
  <c r="H29" i="3"/>
  <c r="H25" i="3"/>
  <c r="H17" i="3"/>
  <c r="J51" i="3"/>
  <c r="I55" i="3"/>
  <c r="H69" i="3" s="1"/>
  <c r="I58" i="3"/>
  <c r="H49" i="3"/>
  <c r="H62" i="3" s="1"/>
  <c r="J56" i="3"/>
  <c r="I59" i="3"/>
  <c r="L69" i="3" s="1"/>
  <c r="I57" i="3"/>
  <c r="J71" i="3" s="1"/>
  <c r="H33" i="3"/>
  <c r="H21" i="3"/>
  <c r="I62" i="3"/>
  <c r="I60" i="3" s="1"/>
  <c r="N69" i="3" s="1"/>
  <c r="I51" i="3"/>
  <c r="H14" i="3"/>
  <c r="V15" i="3" l="1"/>
  <c r="W15" i="3"/>
  <c r="V10" i="3"/>
  <c r="H59" i="3"/>
  <c r="W24" i="3"/>
  <c r="J63" i="3"/>
  <c r="J70" i="3"/>
  <c r="V24" i="3"/>
  <c r="H60" i="3"/>
  <c r="I63" i="3"/>
  <c r="H57" i="3"/>
  <c r="H55" i="3"/>
  <c r="H56" i="3"/>
  <c r="H51" i="3"/>
  <c r="H58" i="3"/>
  <c r="H63" i="3" l="1"/>
  <c r="E50" i="3" l="1"/>
  <c r="E49" i="3"/>
  <c r="E48" i="3"/>
  <c r="E47" i="3"/>
  <c r="E46" i="3"/>
  <c r="E45" i="3"/>
  <c r="E44" i="3"/>
  <c r="E43" i="3"/>
  <c r="E42" i="3"/>
  <c r="E40" i="3"/>
  <c r="E39" i="3"/>
  <c r="E38" i="3"/>
  <c r="E37" i="3"/>
  <c r="E36" i="3"/>
  <c r="E35" i="3"/>
  <c r="E34" i="3"/>
  <c r="E32" i="3"/>
  <c r="E31" i="3"/>
  <c r="E30" i="3"/>
  <c r="E29" i="3"/>
  <c r="E28" i="3"/>
  <c r="E27" i="3"/>
  <c r="E26" i="3"/>
  <c r="E25" i="3"/>
  <c r="E24" i="3"/>
  <c r="E23" i="3"/>
  <c r="E22" i="3"/>
  <c r="E21" i="3"/>
  <c r="E20" i="3"/>
  <c r="E18" i="3"/>
  <c r="E17" i="3"/>
  <c r="E16" i="3"/>
  <c r="E15" i="3"/>
  <c r="E14" i="3"/>
  <c r="E13" i="3"/>
  <c r="E12" i="3"/>
  <c r="E11" i="3"/>
  <c r="E10" i="3"/>
  <c r="E9" i="3"/>
  <c r="E8" i="3"/>
  <c r="E7" i="3"/>
  <c r="E6" i="3"/>
  <c r="G55" i="3"/>
  <c r="G70" i="3" s="1"/>
  <c r="G53" i="3" l="1"/>
  <c r="G51" i="3"/>
  <c r="E19" i="3"/>
  <c r="E5" i="3"/>
  <c r="E33" i="3"/>
  <c r="E62" i="3"/>
  <c r="F61" i="3"/>
  <c r="E54" i="3"/>
  <c r="E68" i="3" s="1"/>
  <c r="E59" i="3"/>
  <c r="F58" i="3"/>
  <c r="G57" i="3"/>
  <c r="I72" i="3" s="1"/>
  <c r="F56" i="3"/>
  <c r="I69" i="3" s="1"/>
  <c r="E3" i="3"/>
  <c r="F53" i="3"/>
  <c r="F51" i="3"/>
  <c r="E41" i="3"/>
  <c r="G58" i="3"/>
  <c r="F59" i="3"/>
  <c r="K69" i="3" s="1"/>
  <c r="G59" i="3"/>
  <c r="K70" i="3" s="1"/>
  <c r="E61" i="3"/>
  <c r="F54" i="3"/>
  <c r="G61" i="3"/>
  <c r="F62" i="3"/>
  <c r="G54" i="3"/>
  <c r="F55" i="3"/>
  <c r="G69" i="3" s="1"/>
  <c r="E56" i="3"/>
  <c r="G62" i="3"/>
  <c r="G56" i="3"/>
  <c r="I70" i="3" s="1"/>
  <c r="F57" i="3"/>
  <c r="I71" i="3" s="1"/>
  <c r="E58" i="3" l="1"/>
  <c r="E57" i="3"/>
  <c r="E55" i="3"/>
  <c r="E60" i="3"/>
  <c r="G63" i="3"/>
  <c r="G60" i="3"/>
  <c r="M70" i="3" s="1"/>
  <c r="F60" i="3"/>
  <c r="M69" i="3" s="1"/>
  <c r="E53" i="3"/>
  <c r="E51" i="3"/>
  <c r="F63" i="3"/>
  <c r="E67" i="3" l="1"/>
  <c r="E6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R9" authorId="0" shapeId="0" xr:uid="{00000000-0006-0000-0100-000001000000}">
      <text>
        <r>
          <rPr>
            <b/>
            <sz val="9"/>
            <color indexed="81"/>
            <rFont val="Tahoma"/>
            <family val="2"/>
          </rPr>
          <t>Available transmission capacity BEFORE accounting for projects that have contracts but are not yet built</t>
        </r>
      </text>
    </comment>
    <comment ref="S9" authorId="0" shapeId="0" xr:uid="{00000000-0006-0000-0100-000002000000}">
      <text>
        <r>
          <rPr>
            <b/>
            <sz val="9"/>
            <color indexed="81"/>
            <rFont val="Tahoma"/>
            <family val="2"/>
          </rPr>
          <t>Available transmission capacity AFTER accounting for projects that have contracts but are not yet built</t>
        </r>
      </text>
    </comment>
    <comment ref="U11" authorId="0" shapeId="0" xr:uid="{00000000-0006-0000-0100-000003000000}">
      <text>
        <r>
          <rPr>
            <b/>
            <sz val="8"/>
            <color indexed="81"/>
            <rFont val="Tahoma"/>
            <family val="2"/>
          </rPr>
          <t>RESOLVE treats "Northern CA" as everything in the CAISO-defined "Northern CA superzone" except for Solano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00000000-0006-0000-0300-000001000000}">
      <text>
        <r>
          <rPr>
            <b/>
            <sz val="9"/>
            <color indexed="81"/>
            <rFont val="Tahoma"/>
            <family val="2"/>
          </rPr>
          <t>2/1 correction: This should be 1000 MW but staff did not incorporate into RESOLVE and rerun because it is unlikely to affect results.</t>
        </r>
      </text>
    </comment>
    <comment ref="E12" authorId="0" shapeId="0" xr:uid="{00000000-0006-0000-0300-000002000000}">
      <text>
        <r>
          <rPr>
            <b/>
            <sz val="9"/>
            <color indexed="81"/>
            <rFont val="Tahoma"/>
            <family val="2"/>
          </rPr>
          <t>2/1 correction: This should be 1000 MW but staff did not incorporate into RESOLVE and rerun because it is unlikely to affect results.</t>
        </r>
      </text>
    </comment>
    <comment ref="Q12" authorId="0" shapeId="0" xr:uid="{00000000-0006-0000-0300-000003000000}">
      <text>
        <r>
          <rPr>
            <b/>
            <sz val="9"/>
            <color indexed="81"/>
            <rFont val="Tahoma"/>
            <family val="2"/>
          </rPr>
          <t>Westlands and Greater Carrizo approximately proportionally reduced to fit within Southern PG&amp;E cap.</t>
        </r>
      </text>
    </comment>
    <comment ref="Q13" authorId="0" shapeId="0" xr:uid="{00000000-0006-0000-0300-000004000000}">
      <text>
        <r>
          <rPr>
            <b/>
            <sz val="9"/>
            <color indexed="81"/>
            <rFont val="Tahoma"/>
            <family val="2"/>
          </rPr>
          <t>Westlands and Greater Carrizo approximately proportionally reduced to fit within Southern PG&amp;E cap.</t>
        </r>
      </text>
    </comment>
    <comment ref="Q14" authorId="0" shapeId="0" xr:uid="{00000000-0006-0000-0300-000005000000}">
      <text>
        <r>
          <rPr>
            <b/>
            <sz val="9"/>
            <color indexed="81"/>
            <rFont val="Tahoma"/>
            <family val="2"/>
          </rPr>
          <t>Central Vly Los Banos reduced to level just above this zone's wind resource potential to fit within Southern PG&amp;E cap. RESOLVE tends not to pick any solar in this zone.</t>
        </r>
      </text>
    </comment>
    <comment ref="N21" authorId="0" shapeId="0" xr:uid="{00000000-0006-0000-0300-000006000000}">
      <text>
        <r>
          <rPr>
            <b/>
            <sz val="9"/>
            <color indexed="81"/>
            <rFont val="Tahoma"/>
            <family val="2"/>
          </rPr>
          <t>Cost of larger major upgrade for overall zone is used as a proxy for the cost of upgrading the individual zone to an amount above 300 MW.</t>
        </r>
      </text>
    </comment>
    <comment ref="Q24" authorId="0" shapeId="0" xr:uid="{00000000-0006-0000-0300-000007000000}">
      <text>
        <r>
          <rPr>
            <b/>
            <sz val="9"/>
            <color indexed="81"/>
            <rFont val="Tahoma"/>
            <family val="2"/>
          </rPr>
          <t>Riverside E &amp; Palm Springs reduced to fit within SoCal Desert So NV overall zone limits.  Mtn Pass El Dorado and Greater Imperial were not modified to ensure comparable access to WY wind, So NV resources, and Greater Imperial geothermal, all resources which RESOLVE tends to value.</t>
        </r>
      </text>
    </comment>
    <comment ref="R24" authorId="0" shapeId="0" xr:uid="{00000000-0006-0000-0300-000008000000}">
      <text>
        <r>
          <rPr>
            <b/>
            <sz val="9"/>
            <color indexed="81"/>
            <rFont val="Tahoma"/>
            <family val="2"/>
          </rPr>
          <t>Riverside E &amp; Palm Springs reduced to fit within SoCal Desert So NV overall zone limits.  Mtn Pass El Dorado and Greater Imperial were not modified to ensure comparable access to WY wind, So NV resources, and Greater Imperial geothermal, all resources which RESOLVE tends to value.</t>
        </r>
      </text>
    </comment>
  </commentList>
</comments>
</file>

<file path=xl/sharedStrings.xml><?xml version="1.0" encoding="utf-8"?>
<sst xmlns="http://schemas.openxmlformats.org/spreadsheetml/2006/main" count="473" uniqueCount="204">
  <si>
    <t>Nameplate MW</t>
  </si>
  <si>
    <t>Battery_1_hr</t>
  </si>
  <si>
    <t>Battery_4_hr</t>
  </si>
  <si>
    <t>Biogas_LandfillGas</t>
  </si>
  <si>
    <t>Biomass/Wood</t>
  </si>
  <si>
    <t>Geothermal</t>
  </si>
  <si>
    <t>Wind</t>
  </si>
  <si>
    <t>In-state</t>
  </si>
  <si>
    <t>OOS</t>
  </si>
  <si>
    <t>Solar</t>
  </si>
  <si>
    <t>In-state?</t>
  </si>
  <si>
    <t>RESOLVE Total</t>
  </si>
  <si>
    <t>RESOLVE selected FCDS</t>
  </si>
  <si>
    <t>RESOLVE selected EO</t>
  </si>
  <si>
    <t>Battery efficiency</t>
  </si>
  <si>
    <t>% Fixed</t>
  </si>
  <si>
    <t>% Tracking</t>
  </si>
  <si>
    <t>Northern_California_Solar</t>
  </si>
  <si>
    <t>Solano_Solar</t>
  </si>
  <si>
    <t>Central_Valley_North_Los_Banos_Solar</t>
  </si>
  <si>
    <t>Westlands_Solar</t>
  </si>
  <si>
    <t>Greater_Carrizo_Solar</t>
  </si>
  <si>
    <t>Tehachapi_Solar</t>
  </si>
  <si>
    <t>Kramer_Inyokern_Solar</t>
  </si>
  <si>
    <t>Mountain_Pass_El_Dorado_Solar</t>
  </si>
  <si>
    <t>Southern_California_Desert_Solar</t>
  </si>
  <si>
    <t>Riverside_East_Palm_Springs_Solar</t>
  </si>
  <si>
    <t>Greater_Imperial_Solar</t>
  </si>
  <si>
    <t>Distributed_Solar</t>
  </si>
  <si>
    <t>Baja_California_Solar</t>
  </si>
  <si>
    <t>Utah_Solar</t>
  </si>
  <si>
    <t>Southern_Nevada_Solar</t>
  </si>
  <si>
    <t>Arizona_Solar</t>
  </si>
  <si>
    <t>New_Mexico_Solar</t>
  </si>
  <si>
    <t>Northern_California_Wind</t>
  </si>
  <si>
    <t>Solano_Wind</t>
  </si>
  <si>
    <t>Central_Valley_North_Los_Banos_Wind</t>
  </si>
  <si>
    <t>Greater_Carrizo_Wind</t>
  </si>
  <si>
    <t>Tehachapi_Wind</t>
  </si>
  <si>
    <t>Kramer_Inyokern_Wind</t>
  </si>
  <si>
    <t>Southern_California_Desert_Wind</t>
  </si>
  <si>
    <t>Riverside_East_Palm_Springs_Wind</t>
  </si>
  <si>
    <t>Greater_Imperial_Wind</t>
  </si>
  <si>
    <t>Distributed_Wind</t>
  </si>
  <si>
    <t>Baja_California_Wind</t>
  </si>
  <si>
    <t>Pacific_Northwest_Wind</t>
  </si>
  <si>
    <t>NW_Ext_Tx_WIND</t>
  </si>
  <si>
    <t>Idaho_Wind</t>
  </si>
  <si>
    <t>Utah_Wind</t>
  </si>
  <si>
    <t>Wyoming_Wind</t>
  </si>
  <si>
    <t>Southern_Nevada_Wind</t>
  </si>
  <si>
    <t>Arizona_Wind</t>
  </si>
  <si>
    <t>New_Mexico_Wind</t>
  </si>
  <si>
    <t>SW_Ext_Tx_Wind</t>
  </si>
  <si>
    <t>InState_Biomass</t>
  </si>
  <si>
    <t>Greater_Imperial_Geothermal</t>
  </si>
  <si>
    <t>Northern_California_Geothermal</t>
  </si>
  <si>
    <t>Pacific_Northwest_Geothermal</t>
  </si>
  <si>
    <t>Southern_Nevada_Geothermal</t>
  </si>
  <si>
    <t>Other_New_Solar</t>
  </si>
  <si>
    <t>Other_New_Wind</t>
  </si>
  <si>
    <t>Other_New_Biogas</t>
  </si>
  <si>
    <t>Check Totals</t>
  </si>
  <si>
    <t>1 hour</t>
  </si>
  <si>
    <t>4 hour</t>
  </si>
  <si>
    <t>Check with Sum</t>
  </si>
  <si>
    <t>*_Solar</t>
  </si>
  <si>
    <t>In-State Wind</t>
  </si>
  <si>
    <t>*_Wind</t>
  </si>
  <si>
    <t>OOS Wind</t>
  </si>
  <si>
    <t>Total Wind</t>
  </si>
  <si>
    <t>*_Geothermal</t>
  </si>
  <si>
    <t>Biomass/biogas</t>
  </si>
  <si>
    <t>*_Biomass</t>
  </si>
  <si>
    <t>*_Biogas</t>
  </si>
  <si>
    <t>In-state FCDS</t>
  </si>
  <si>
    <t>In-state EO</t>
  </si>
  <si>
    <t>OOS FCDS</t>
  </si>
  <si>
    <t>OOS EO</t>
  </si>
  <si>
    <t>Multiple</t>
  </si>
  <si>
    <t>PGE_Valley</t>
  </si>
  <si>
    <t>PGE_Bay</t>
  </si>
  <si>
    <t>SCE</t>
  </si>
  <si>
    <t>SDGE</t>
  </si>
  <si>
    <t>BPAT</t>
  </si>
  <si>
    <t>WACM</t>
  </si>
  <si>
    <t>AZPS</t>
  </si>
  <si>
    <t>PNM_EPE</t>
  </si>
  <si>
    <t>The rows at the bottom of this worksheet are summary tables and can be used to create summary bar charts.</t>
  </si>
  <si>
    <t>Technology Type</t>
  </si>
  <si>
    <t>Candidate Resource Type</t>
  </si>
  <si>
    <t>RESOLVE battery</t>
  </si>
  <si>
    <t>TxUpd RESOLVE battery</t>
  </si>
  <si>
    <t>RESOLVE solar</t>
  </si>
  <si>
    <t>TxUpd RESOLVE solar</t>
  </si>
  <si>
    <t>RESOLVE wind</t>
  </si>
  <si>
    <t>TxUpd RESOLVE wind</t>
  </si>
  <si>
    <t>RESOLVE geothermal</t>
  </si>
  <si>
    <t>TxUpd RESOLVE geothermal</t>
  </si>
  <si>
    <t>RESOLVE biomass/biogas</t>
  </si>
  <si>
    <t>TxUpd RESOLVE biomass/biogas</t>
  </si>
  <si>
    <t>Transmission Capability Estimates and Costs - CAISO Data (2019-2020 TPP)</t>
  </si>
  <si>
    <t>Tx Capability Estimated for 2019-2020 TPP</t>
  </si>
  <si>
    <t>Estimated FCDS Capability (MW)</t>
  </si>
  <si>
    <t>Incremental Upgrade Cost Estimate ($MM)</t>
  </si>
  <si>
    <t>Estimated EODS Capability**
(MW)</t>
  </si>
  <si>
    <t>Transmission Area</t>
  </si>
  <si>
    <t>Existing System</t>
  </si>
  <si>
    <t>Minor Upgrades</t>
  </si>
  <si>
    <t>Major Upgrade #1</t>
  </si>
  <si>
    <t>Major Upgrade #2</t>
  </si>
  <si>
    <t>Incremental EODS</t>
  </si>
  <si>
    <t>Northern CA</t>
  </si>
  <si>
    <t>- Round mountain</t>
  </si>
  <si>
    <t>- Humboldt</t>
  </si>
  <si>
    <t>- Sacramento River</t>
  </si>
  <si>
    <t>- Solano</t>
  </si>
  <si>
    <t>Southern PG&amp;E</t>
  </si>
  <si>
    <t>- Westlands</t>
  </si>
  <si>
    <t>- Kern and Greater Carrizo</t>
  </si>
  <si>
    <t>- Central Valley North &amp; Los Banos</t>
  </si>
  <si>
    <t>Tehachapi</t>
  </si>
  <si>
    <t>Greater Kramer (North of Lugo)</t>
  </si>
  <si>
    <t>- North of Victor</t>
  </si>
  <si>
    <t>- Inyokern and North of Kramer</t>
  </si>
  <si>
    <t>- Pisgah</t>
  </si>
  <si>
    <t>Southern CA Desert and Southern NV</t>
  </si>
  <si>
    <t>- Southern NV (GridLiance-VEA), El Dorado and Mountain Pass</t>
  </si>
  <si>
    <t>- Southern NV (GridLiance-VEA)</t>
  </si>
  <si>
    <t>- Greater Imperial*</t>
  </si>
  <si>
    <t>- Riverside East &amp; Palm Springs</t>
  </si>
  <si>
    <t>Tx Zone</t>
  </si>
  <si>
    <t>Northern_California</t>
  </si>
  <si>
    <t>Solano</t>
  </si>
  <si>
    <t>Central_Valley_North_Los_Banos</t>
  </si>
  <si>
    <t>Westlands</t>
  </si>
  <si>
    <t>Greater_Carrizo</t>
  </si>
  <si>
    <t>Kramer_Inyokern</t>
  </si>
  <si>
    <t>Mountain_Pass_El_Dorado</t>
  </si>
  <si>
    <t>Southern_California_Desert</t>
  </si>
  <si>
    <t>Riverside_East_Palm_Springs</t>
  </si>
  <si>
    <t>Greater_Imperial</t>
  </si>
  <si>
    <t>None</t>
  </si>
  <si>
    <t>Biomass</t>
  </si>
  <si>
    <t>Biogas</t>
  </si>
  <si>
    <t>Updated Transmission Availability</t>
  </si>
  <si>
    <t>EO Cap</t>
  </si>
  <si>
    <t>CAISO Names</t>
  </si>
  <si>
    <t>RESOLVE Names</t>
  </si>
  <si>
    <t>FCDS Renewable Resource Summary by Location (MW)</t>
  </si>
  <si>
    <t>RESOLVE Resource</t>
  </si>
  <si>
    <t>NW_Ext_Tx_Wind</t>
  </si>
  <si>
    <t>EO Renewable Resource Summary by Location (MW)</t>
  </si>
  <si>
    <t>BEFORE MANUAL ADJUSTMENTS</t>
  </si>
  <si>
    <t>AFTER MANUAL ADJUSTMENTS</t>
  </si>
  <si>
    <t>Li_Battery MW</t>
  </si>
  <si>
    <t>Li_Battery Duration Hours</t>
  </si>
  <si>
    <t>SERVM region assignment</t>
  </si>
  <si>
    <t>AFTER MANUAL ADJUSTMENTS AND INTERPOLATING INTERIM YEARS</t>
  </si>
  <si>
    <t>Total Renewable Resource Summary by Location (MW) (FCDS+EODS)</t>
  </si>
  <si>
    <t>(1) Columns E:G show the resource mix and FCDS/EO breakout for the 2017 IEPR updated version of the RESOLVE 42 MMT case. (Presented 9/24/18)</t>
  </si>
  <si>
    <t>Columns E:M show the as-is 2017 IEPR updated version of the RESOLVE 42 MMT case, ((1) above), for each RESOLVE modeled year.</t>
  </si>
  <si>
    <t>Columns Y:AI show the adjusted new build portfolio roughly interpolated to span all years from 2020 through 2030.</t>
  </si>
  <si>
    <t>Annualization Factor</t>
  </si>
  <si>
    <t xml:space="preserve">AFUDC (Allowance for Funds Used During Construction) </t>
  </si>
  <si>
    <t>Overall Levelized Upgrade Cost</t>
  </si>
  <si>
    <t>Weighted Avg Levelized Upgrade Cost</t>
  </si>
  <si>
    <t>$/kW-yr</t>
  </si>
  <si>
    <t>RESOLVE FC Input</t>
  </si>
  <si>
    <t>RESOLVE EO Input</t>
  </si>
  <si>
    <t>RESOLVE Zone Description</t>
  </si>
  <si>
    <t>"Superzone" Name</t>
  </si>
  <si>
    <t>New FCDS Resources (MW)</t>
  </si>
  <si>
    <t>Actual Remaining FC MW</t>
  </si>
  <si>
    <t>Northern CA = overall limits for NorCal minus limits for Solano</t>
  </si>
  <si>
    <t>Greater Carrizo</t>
  </si>
  <si>
    <t>Central Valley North &amp; Los Banos</t>
  </si>
  <si>
    <t>Greater Kramer</t>
  </si>
  <si>
    <t>Mountain Pass El Dorado</t>
  </si>
  <si>
    <t>Greater Imperial</t>
  </si>
  <si>
    <t>Riverside East &amp; Palm Springs</t>
  </si>
  <si>
    <t>Gross FC Cap</t>
  </si>
  <si>
    <t>Net FC Cap</t>
  </si>
  <si>
    <t>TX update and DS adjusted RESOLVE selected FCDS</t>
  </si>
  <si>
    <t>TX update and DS adjusted RESOLVE selected EO</t>
  </si>
  <si>
    <t>TX update and DS adjusted RESOLVE Total</t>
  </si>
  <si>
    <t>This table checks that the TX update and DS adjusted RESOLVE selected FC and EO fit within the January 2019 Updated Transmission Availability.</t>
  </si>
  <si>
    <t>The worksheet "2019-20TxInputUpdate" contains the newly updated transmission availability data provided by the CAISO (on 1/18/19).</t>
  </si>
  <si>
    <t>Columns B:K are the data provided by the CAISO; Columns L:Y contain additional CPUC calculations to translate the data into RESOLVE-compatible inputs.</t>
  </si>
  <si>
    <t>The worksheet "AdjustPorts2030" itemizes 2030 data by candidate resource type.</t>
  </si>
  <si>
    <t>Red font indicates the cells with manual adjustments.</t>
  </si>
  <si>
    <t>The table starting in column Q shows that the manually-adjusted RESOLVE 42 MMT case in columns H:J, ((2) above), fits within the updated transmission availability provided by the CAISO (on 1/18/19).</t>
  </si>
  <si>
    <t xml:space="preserve">This workbook summarizes the new build portfolio being considered for study in the CAISO's 2019-20 TPP as the Reliability and Policy-Driven Base Case: </t>
  </si>
  <si>
    <t>RESOLVE assumed "contracted not yet built projects" debited from available FCDS (from RESOLVE UI:  REN_Existing_Resources worksheet)</t>
  </si>
  <si>
    <t>Note: Resources with #N/A as transmission zone were not made available to RESOLVE for this case</t>
  </si>
  <si>
    <t>DS = Deliverability Status</t>
  </si>
  <si>
    <t>The worksheet "PortByYear" creates an adjusted new build portfolio for each RESOLVE-modeled year of the planning horizon.</t>
  </si>
  <si>
    <t>Columns O:W show (2) above, manually-adjusted for each RESOLVE-modeled year.</t>
  </si>
  <si>
    <t>Energy Commission staff allocated the portfolio herein to transmission substations to facilitate power-flow analysis.  The allocation will be posted to the following webpage within a few days of 2/28/19.</t>
  </si>
  <si>
    <t>https://efiling.energy.ca.gov/Lists/DocketLog.aspx?docketnumber=17-MISC-03</t>
  </si>
  <si>
    <t>This workbook version is current as of 2/28/2019, and is the best available working documentation made available by the CPUC prior to formal consideration and adoption by the Commission.</t>
  </si>
  <si>
    <t>The resource information contained in this workbook is subject to change.</t>
  </si>
  <si>
    <t>(2) Columns H:J show the above case manually-adjusted to fit within updated transmission availability provided by the CAISO (on 1/18/19), and to change geothermal and OOS wind to be fully deliverable to the extent possible. (New 2/28/19)</t>
  </si>
  <si>
    <t>the 2017 IEPR updated version of the RESOLVE 42 MMT case from the 2017-18 IRP Reference System Plan, with adjustments reflecting updated transmission availability data from the CAISO ((2)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</si>
</sst>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_(* #,##0.0_);_(* \(#,##0.0\);_(*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11"/>
      <color rgb="FF0070C0"/>
      <name val="Calibri"/>
      <family val="2"/>
      <scheme val="minor"/>
    </font>
    <font>
      <b/>
      <sz val="11"/>
      <color rgb="FF0070C0"/>
      <name val="Calibri"/>
      <family val="2"/>
      <scheme val="minor"/>
    </font>
    <font>
      <sz val="11"/>
      <name val="Calibri"/>
      <family val="2"/>
      <scheme val="minor"/>
    </font>
    <font>
      <sz val="11"/>
      <color rgb="FFFF0000"/>
      <name val="Calibri"/>
      <family val="2"/>
      <scheme val="minor"/>
    </font>
    <font>
      <b/>
      <sz val="18"/>
      <name val="Calibri"/>
      <family val="2"/>
      <scheme val="minor"/>
    </font>
    <font>
      <b/>
      <sz val="11"/>
      <name val="Calibri"/>
      <family val="2"/>
      <scheme val="minor"/>
    </font>
    <font>
      <b/>
      <sz val="12"/>
      <color theme="0"/>
      <name val="Calibri"/>
      <family val="2"/>
      <scheme val="minor"/>
    </font>
    <font>
      <b/>
      <sz val="12"/>
      <name val="Calibri"/>
      <family val="2"/>
      <scheme val="minor"/>
    </font>
    <font>
      <i/>
      <sz val="11"/>
      <name val="Calibri"/>
      <family val="2"/>
      <scheme val="minor"/>
    </font>
    <font>
      <i/>
      <sz val="11"/>
      <color theme="1"/>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i/>
      <sz val="10"/>
      <color theme="1"/>
      <name val="Calibri"/>
      <family val="2"/>
      <scheme val="minor"/>
    </font>
    <font>
      <sz val="10"/>
      <color rgb="FFFF0000"/>
      <name val="Calibri"/>
      <family val="2"/>
      <scheme val="minor"/>
    </font>
    <font>
      <b/>
      <sz val="9"/>
      <color indexed="81"/>
      <name val="Tahoma"/>
      <family val="2"/>
    </font>
    <font>
      <sz val="11"/>
      <color theme="5" tint="-0.499984740745262"/>
      <name val="Calibri"/>
      <family val="2"/>
      <scheme val="minor"/>
    </font>
    <font>
      <sz val="11"/>
      <color theme="9" tint="-0.249977111117893"/>
      <name val="Calibri"/>
      <family val="2"/>
      <scheme val="minor"/>
    </font>
    <font>
      <b/>
      <sz val="8"/>
      <color indexed="81"/>
      <name val="Tahoma"/>
      <family val="2"/>
    </font>
    <font>
      <u/>
      <sz val="11"/>
      <color theme="10"/>
      <name val="Calibri"/>
      <family val="2"/>
      <scheme val="minor"/>
    </font>
  </fonts>
  <fills count="13">
    <fill>
      <patternFill patternType="none"/>
    </fill>
    <fill>
      <patternFill patternType="gray125"/>
    </fill>
    <fill>
      <patternFill patternType="solid">
        <fgColor theme="9" tint="0.59999389629810485"/>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1"/>
        <bgColor indexed="64"/>
      </patternFill>
    </fill>
    <fill>
      <patternFill patternType="solid">
        <fgColor theme="7" tint="0.79998168889431442"/>
        <bgColor indexed="64"/>
      </patternFill>
    </fill>
    <fill>
      <patternFill patternType="solid">
        <fgColor rgb="FF005070"/>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0" fontId="22" fillId="0" borderId="0" applyNumberFormat="0" applyFill="0" applyBorder="0" applyAlignment="0" applyProtection="0"/>
  </cellStyleXfs>
  <cellXfs count="115">
    <xf numFmtId="0" fontId="0" fillId="0" borderId="0" xfId="0"/>
    <xf numFmtId="0" fontId="2" fillId="0" borderId="0" xfId="0" applyFont="1"/>
    <xf numFmtId="0" fontId="0" fillId="2" borderId="0" xfId="0" applyFill="1"/>
    <xf numFmtId="0" fontId="3" fillId="0" borderId="0" xfId="0" applyFont="1"/>
    <xf numFmtId="0" fontId="2" fillId="2" borderId="0" xfId="0" applyFont="1" applyFill="1"/>
    <xf numFmtId="0" fontId="2" fillId="2" borderId="0" xfId="0" applyFont="1" applyFill="1" applyAlignment="1">
      <alignment wrapText="1"/>
    </xf>
    <xf numFmtId="0" fontId="4" fillId="0" borderId="0" xfId="0" applyFont="1" applyAlignment="1">
      <alignment wrapText="1"/>
    </xf>
    <xf numFmtId="0" fontId="2" fillId="0" borderId="0" xfId="0" applyFont="1" applyAlignment="1">
      <alignment wrapText="1"/>
    </xf>
    <xf numFmtId="0" fontId="4" fillId="2" borderId="0" xfId="0" applyFont="1" applyFill="1" applyAlignment="1">
      <alignment wrapText="1"/>
    </xf>
    <xf numFmtId="164" fontId="3" fillId="0" borderId="0" xfId="1" applyNumberFormat="1" applyFont="1"/>
    <xf numFmtId="164" fontId="0" fillId="0" borderId="0" xfId="1" applyNumberFormat="1" applyFont="1"/>
    <xf numFmtId="164" fontId="3" fillId="2" borderId="0" xfId="1" applyNumberFormat="1" applyFont="1" applyFill="1"/>
    <xf numFmtId="164" fontId="3" fillId="3" borderId="0" xfId="1" applyNumberFormat="1" applyFont="1" applyFill="1"/>
    <xf numFmtId="164" fontId="0" fillId="3" borderId="0" xfId="1" applyNumberFormat="1" applyFont="1" applyFill="1"/>
    <xf numFmtId="165" fontId="0" fillId="2" borderId="0" xfId="2" applyNumberFormat="1" applyFont="1" applyFill="1"/>
    <xf numFmtId="164" fontId="4" fillId="0" borderId="0" xfId="1" applyNumberFormat="1" applyFont="1"/>
    <xf numFmtId="164" fontId="2" fillId="0" borderId="0" xfId="1" applyNumberFormat="1" applyFont="1"/>
    <xf numFmtId="164" fontId="3" fillId="0" borderId="1" xfId="1" applyNumberFormat="1" applyFont="1" applyBorder="1"/>
    <xf numFmtId="164" fontId="3" fillId="0" borderId="2" xfId="1" applyNumberFormat="1" applyFont="1" applyBorder="1"/>
    <xf numFmtId="164" fontId="0" fillId="0" borderId="3" xfId="1" applyNumberFormat="1" applyFont="1" applyBorder="1"/>
    <xf numFmtId="164" fontId="0" fillId="0" borderId="4" xfId="1" applyNumberFormat="1" applyFont="1" applyBorder="1"/>
    <xf numFmtId="164" fontId="0" fillId="0" borderId="5" xfId="1" applyNumberFormat="1" applyFont="1" applyBorder="1"/>
    <xf numFmtId="164" fontId="0" fillId="0" borderId="6" xfId="1" applyNumberFormat="1" applyFont="1" applyBorder="1"/>
    <xf numFmtId="164" fontId="0" fillId="0" borderId="7" xfId="1" applyNumberFormat="1" applyFont="1" applyBorder="1"/>
    <xf numFmtId="164" fontId="0" fillId="0" borderId="8" xfId="1" applyNumberFormat="1" applyFont="1" applyBorder="1"/>
    <xf numFmtId="164" fontId="4" fillId="0" borderId="0" xfId="0" applyNumberFormat="1" applyFont="1"/>
    <xf numFmtId="164" fontId="2" fillId="0" borderId="0" xfId="0" applyNumberFormat="1" applyFont="1"/>
    <xf numFmtId="0" fontId="5" fillId="0" borderId="0" xfId="0" applyFont="1"/>
    <xf numFmtId="164" fontId="0" fillId="0" borderId="0" xfId="0" applyNumberFormat="1"/>
    <xf numFmtId="14" fontId="0" fillId="0" borderId="0" xfId="0" applyNumberFormat="1"/>
    <xf numFmtId="0" fontId="7" fillId="6" borderId="0" xfId="4" applyFont="1" applyFill="1" applyBorder="1" applyAlignment="1">
      <alignment vertical="center"/>
    </xf>
    <xf numFmtId="0" fontId="5" fillId="6" borderId="0" xfId="4" applyFont="1" applyFill="1" applyBorder="1" applyAlignment="1">
      <alignment vertical="center"/>
    </xf>
    <xf numFmtId="0" fontId="0" fillId="0" borderId="0" xfId="0" applyAlignment="1">
      <alignment vertical="center"/>
    </xf>
    <xf numFmtId="164" fontId="8" fillId="6" borderId="0" xfId="1" applyNumberFormat="1" applyFont="1" applyFill="1" applyBorder="1" applyAlignment="1">
      <alignment vertical="center"/>
    </xf>
    <xf numFmtId="0" fontId="5" fillId="6" borderId="1" xfId="4" applyFont="1" applyFill="1" applyBorder="1" applyAlignment="1">
      <alignment vertical="center" wrapText="1"/>
    </xf>
    <xf numFmtId="0" fontId="10" fillId="6" borderId="11" xfId="4" applyFont="1" applyFill="1" applyBorder="1" applyAlignment="1">
      <alignment horizontal="center" vertical="center" wrapText="1"/>
    </xf>
    <xf numFmtId="0" fontId="8" fillId="6" borderId="11" xfId="4" applyFont="1" applyFill="1" applyBorder="1" applyAlignment="1">
      <alignment vertical="center" wrapText="1"/>
    </xf>
    <xf numFmtId="0" fontId="8" fillId="6" borderId="11" xfId="4" applyFont="1" applyFill="1" applyBorder="1" applyAlignment="1">
      <alignment horizontal="center" vertical="center" wrapText="1"/>
    </xf>
    <xf numFmtId="0" fontId="8" fillId="6" borderId="12" xfId="4" applyFont="1" applyFill="1" applyBorder="1" applyAlignment="1">
      <alignment horizontal="center" vertical="center" wrapText="1"/>
    </xf>
    <xf numFmtId="0" fontId="8" fillId="6" borderId="0" xfId="4" applyFont="1" applyFill="1" applyBorder="1" applyAlignment="1">
      <alignment vertical="center"/>
    </xf>
    <xf numFmtId="0" fontId="8" fillId="0" borderId="11" xfId="4" applyFont="1" applyFill="1" applyBorder="1" applyAlignment="1">
      <alignment vertical="center" wrapText="1"/>
    </xf>
    <xf numFmtId="164" fontId="8" fillId="4" borderId="11" xfId="1" applyNumberFormat="1" applyFont="1" applyFill="1" applyBorder="1" applyAlignment="1">
      <alignment horizontal="center" vertical="center"/>
    </xf>
    <xf numFmtId="166" fontId="8" fillId="8" borderId="11" xfId="3" applyNumberFormat="1" applyFont="1" applyFill="1" applyBorder="1" applyAlignment="1">
      <alignment horizontal="center" vertical="center"/>
    </xf>
    <xf numFmtId="164" fontId="2" fillId="5" borderId="11" xfId="1" applyNumberFormat="1" applyFont="1" applyFill="1" applyBorder="1" applyAlignment="1">
      <alignment horizontal="center" vertical="center"/>
    </xf>
    <xf numFmtId="0" fontId="11" fillId="0" borderId="11" xfId="4" quotePrefix="1" applyFont="1" applyFill="1" applyBorder="1" applyAlignment="1">
      <alignment horizontal="left" vertical="center" wrapText="1" indent="3"/>
    </xf>
    <xf numFmtId="164" fontId="11" fillId="4" borderId="11" xfId="1" applyNumberFormat="1" applyFont="1" applyFill="1" applyBorder="1" applyAlignment="1">
      <alignment horizontal="center" vertical="center"/>
    </xf>
    <xf numFmtId="166" fontId="11" fillId="8" borderId="11" xfId="3" applyNumberFormat="1" applyFont="1" applyFill="1" applyBorder="1" applyAlignment="1">
      <alignment horizontal="center" vertical="center"/>
    </xf>
    <xf numFmtId="164" fontId="12" fillId="5" borderId="11" xfId="1" applyNumberFormat="1" applyFont="1" applyFill="1" applyBorder="1" applyAlignment="1">
      <alignment horizontal="center" vertical="center"/>
    </xf>
    <xf numFmtId="167" fontId="11" fillId="4" borderId="11" xfId="1" applyNumberFormat="1" applyFont="1" applyFill="1" applyBorder="1" applyAlignment="1">
      <alignment horizontal="center" vertical="center"/>
    </xf>
    <xf numFmtId="0" fontId="11" fillId="6" borderId="11" xfId="4" quotePrefix="1" applyFont="1" applyFill="1" applyBorder="1" applyAlignment="1">
      <alignment horizontal="left" vertical="center" wrapText="1" indent="3"/>
    </xf>
    <xf numFmtId="43" fontId="0" fillId="0" borderId="0" xfId="1" applyFont="1"/>
    <xf numFmtId="167" fontId="0" fillId="0" borderId="0" xfId="1" applyNumberFormat="1" applyFont="1"/>
    <xf numFmtId="0" fontId="13" fillId="0" borderId="0" xfId="0" applyFont="1"/>
    <xf numFmtId="0" fontId="14" fillId="0" borderId="0" xfId="0" applyFont="1"/>
    <xf numFmtId="0" fontId="15" fillId="9" borderId="5" xfId="0" applyFont="1" applyFill="1" applyBorder="1"/>
    <xf numFmtId="0" fontId="15" fillId="9" borderId="6" xfId="0" applyFont="1" applyFill="1" applyBorder="1"/>
    <xf numFmtId="0" fontId="15" fillId="9" borderId="10" xfId="0" applyFont="1" applyFill="1" applyBorder="1"/>
    <xf numFmtId="0" fontId="14" fillId="0" borderId="13" xfId="0" applyFont="1" applyBorder="1"/>
    <xf numFmtId="0" fontId="14" fillId="0" borderId="14" xfId="0" applyFont="1" applyBorder="1"/>
    <xf numFmtId="164" fontId="14" fillId="0" borderId="0" xfId="1" applyNumberFormat="1" applyFont="1" applyBorder="1"/>
    <xf numFmtId="0" fontId="14" fillId="0" borderId="5" xfId="0" applyFont="1" applyBorder="1"/>
    <xf numFmtId="0" fontId="14" fillId="0" borderId="6" xfId="0" applyFont="1" applyBorder="1"/>
    <xf numFmtId="164" fontId="14" fillId="0" borderId="10" xfId="1" applyNumberFormat="1" applyFont="1" applyBorder="1"/>
    <xf numFmtId="0" fontId="14" fillId="0" borderId="7" xfId="0" applyFont="1" applyBorder="1"/>
    <xf numFmtId="0" fontId="14" fillId="0" borderId="8" xfId="0" applyFont="1" applyBorder="1"/>
    <xf numFmtId="164" fontId="14" fillId="0" borderId="9" xfId="1" applyNumberFormat="1" applyFont="1" applyBorder="1"/>
    <xf numFmtId="0" fontId="16" fillId="0" borderId="0" xfId="0" applyFont="1" applyBorder="1"/>
    <xf numFmtId="0" fontId="0" fillId="10" borderId="0" xfId="0" applyFill="1"/>
    <xf numFmtId="164" fontId="17" fillId="0" borderId="0" xfId="1" applyNumberFormat="1" applyFont="1" applyBorder="1"/>
    <xf numFmtId="167" fontId="0" fillId="0" borderId="0" xfId="0" applyNumberFormat="1"/>
    <xf numFmtId="167" fontId="6" fillId="0" borderId="0" xfId="0" applyNumberFormat="1" applyFont="1"/>
    <xf numFmtId="0" fontId="14" fillId="0" borderId="0" xfId="0" applyFont="1" applyFill="1" applyBorder="1"/>
    <xf numFmtId="0" fontId="15" fillId="9" borderId="0" xfId="0" applyFont="1" applyFill="1" applyBorder="1"/>
    <xf numFmtId="0" fontId="0" fillId="11" borderId="0" xfId="0" applyFill="1"/>
    <xf numFmtId="164" fontId="0" fillId="11" borderId="0" xfId="0" applyNumberFormat="1" applyFill="1"/>
    <xf numFmtId="164" fontId="0" fillId="11" borderId="0" xfId="1" applyNumberFormat="1" applyFont="1" applyFill="1"/>
    <xf numFmtId="0" fontId="0" fillId="0" borderId="15" xfId="0" applyBorder="1"/>
    <xf numFmtId="0" fontId="0" fillId="0" borderId="16" xfId="0" applyBorder="1"/>
    <xf numFmtId="0" fontId="0" fillId="0" borderId="17" xfId="0" applyBorder="1"/>
    <xf numFmtId="0" fontId="0" fillId="0" borderId="0" xfId="0" applyAlignment="1">
      <alignment wrapText="1"/>
    </xf>
    <xf numFmtId="0" fontId="0" fillId="0" borderId="18" xfId="0" applyBorder="1"/>
    <xf numFmtId="0" fontId="2" fillId="0" borderId="0" xfId="0" applyFont="1" applyBorder="1" applyAlignment="1">
      <alignment wrapText="1"/>
    </xf>
    <xf numFmtId="0" fontId="2" fillId="0" borderId="0" xfId="0" applyFont="1" applyBorder="1"/>
    <xf numFmtId="0" fontId="0" fillId="0" borderId="19" xfId="0" applyBorder="1"/>
    <xf numFmtId="0" fontId="2" fillId="0" borderId="0" xfId="0" applyFont="1" applyFill="1" applyBorder="1" applyAlignment="1">
      <alignment wrapText="1"/>
    </xf>
    <xf numFmtId="167" fontId="0" fillId="12" borderId="0" xfId="1" applyNumberFormat="1" applyFont="1" applyFill="1"/>
    <xf numFmtId="164" fontId="0" fillId="12" borderId="0" xfId="0" applyNumberFormat="1" applyFill="1"/>
    <xf numFmtId="0" fontId="0" fillId="12" borderId="0" xfId="0" applyFill="1"/>
    <xf numFmtId="0" fontId="0" fillId="0" borderId="0" xfId="0" applyBorder="1"/>
    <xf numFmtId="164" fontId="0" fillId="0" borderId="0" xfId="1" applyNumberFormat="1" applyFont="1" applyBorder="1"/>
    <xf numFmtId="164" fontId="0" fillId="0" borderId="0" xfId="0" applyNumberFormat="1" applyBorder="1"/>
    <xf numFmtId="164" fontId="6" fillId="12" borderId="0" xfId="1" applyNumberFormat="1" applyFont="1" applyFill="1"/>
    <xf numFmtId="164" fontId="0" fillId="12" borderId="0" xfId="1" applyNumberFormat="1" applyFont="1" applyFill="1"/>
    <xf numFmtId="167" fontId="0" fillId="0" borderId="0" xfId="1" applyNumberFormat="1" applyFont="1" applyFill="1"/>
    <xf numFmtId="167" fontId="6" fillId="12" borderId="0" xfId="1" applyNumberFormat="1" applyFont="1" applyFill="1"/>
    <xf numFmtId="166" fontId="0" fillId="0" borderId="0" xfId="0" applyNumberFormat="1"/>
    <xf numFmtId="0" fontId="0" fillId="0" borderId="20" xfId="0" applyBorder="1"/>
    <xf numFmtId="0" fontId="0" fillId="0" borderId="21" xfId="0" applyBorder="1"/>
    <xf numFmtId="0" fontId="0" fillId="0" borderId="22" xfId="0" applyBorder="1"/>
    <xf numFmtId="0" fontId="0" fillId="4" borderId="0" xfId="0" applyFill="1"/>
    <xf numFmtId="0" fontId="2" fillId="4" borderId="0" xfId="0" applyFont="1" applyFill="1" applyAlignment="1">
      <alignment wrapText="1"/>
    </xf>
    <xf numFmtId="164" fontId="0" fillId="4" borderId="0" xfId="1" applyNumberFormat="1" applyFont="1" applyFill="1"/>
    <xf numFmtId="164" fontId="6" fillId="4" borderId="0" xfId="1" applyNumberFormat="1" applyFont="1" applyFill="1"/>
    <xf numFmtId="0" fontId="19" fillId="0" borderId="0" xfId="0" applyFont="1"/>
    <xf numFmtId="164" fontId="19" fillId="0" borderId="0" xfId="1" applyNumberFormat="1" applyFont="1"/>
    <xf numFmtId="164" fontId="19" fillId="0" borderId="0" xfId="0" applyNumberFormat="1" applyFont="1"/>
    <xf numFmtId="0" fontId="20" fillId="0" borderId="0" xfId="0" applyFont="1"/>
    <xf numFmtId="164" fontId="20" fillId="0" borderId="0" xfId="1" applyNumberFormat="1" applyFont="1"/>
    <xf numFmtId="164" fontId="20" fillId="0" borderId="0" xfId="0" applyNumberFormat="1" applyFont="1"/>
    <xf numFmtId="0" fontId="9" fillId="7" borderId="9" xfId="4" applyFont="1" applyFill="1" applyBorder="1" applyAlignment="1">
      <alignment horizontal="center" vertical="center"/>
    </xf>
    <xf numFmtId="0" fontId="10" fillId="6" borderId="5" xfId="4" applyFont="1" applyFill="1" applyBorder="1" applyAlignment="1">
      <alignment horizontal="center" vertical="center"/>
    </xf>
    <xf numFmtId="0" fontId="10" fillId="6" borderId="10" xfId="4" applyFont="1" applyFill="1" applyBorder="1" applyAlignment="1">
      <alignment horizontal="center" vertical="center"/>
    </xf>
    <xf numFmtId="0" fontId="10" fillId="6" borderId="6" xfId="4" applyFont="1" applyFill="1" applyBorder="1" applyAlignment="1">
      <alignment horizontal="center" vertical="center"/>
    </xf>
    <xf numFmtId="0" fontId="0" fillId="0" borderId="0" xfId="0" applyFill="1"/>
    <xf numFmtId="0" fontId="22" fillId="0" borderId="0" xfId="5" applyFill="1"/>
  </cellXfs>
  <cellStyles count="6">
    <cellStyle name="Comma" xfId="1" builtinId="3"/>
    <cellStyle name="Currency" xfId="3" builtinId="4"/>
    <cellStyle name="Hyperlink" xfId="5" builtinId="8"/>
    <cellStyle name="Normal" xfId="0" builtinId="0"/>
    <cellStyle name="Normal 2" xfId="4" xr:uid="{00000000-0005-0000-0000-000003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0" i="0" u="none" strike="noStrike" kern="1200" spc="0" baseline="0">
                <a:solidFill>
                  <a:schemeClr val="tx1">
                    <a:lumMod val="65000"/>
                    <a:lumOff val="35000"/>
                  </a:schemeClr>
                </a:solidFill>
                <a:latin typeface="+mn-lt"/>
                <a:ea typeface="+mn-ea"/>
                <a:cs typeface="+mn-cs"/>
              </a:defRPr>
            </a:pPr>
            <a:r>
              <a:rPr lang="en-US"/>
              <a:t>New build comparison: RESOLVE, Adjusted RESOLVE</a:t>
            </a:r>
          </a:p>
        </c:rich>
      </c:tx>
      <c:overlay val="0"/>
      <c:spPr>
        <a:noFill/>
        <a:ln>
          <a:noFill/>
        </a:ln>
        <a:effectLst/>
      </c:spPr>
      <c:txPr>
        <a:bodyPr rot="0" spcFirstLastPara="1" vertOverflow="ellipsis" vert="horz" wrap="square" anchor="ctr" anchorCtr="1"/>
        <a:lstStyle/>
        <a:p>
          <a:pPr>
            <a:defRPr sz="168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AdjustPorts2030!$D$67</c:f>
              <c:strCache>
                <c:ptCount val="1"/>
                <c:pt idx="0">
                  <c:v>1 hour</c:v>
                </c:pt>
              </c:strCache>
            </c:strRef>
          </c:tx>
          <c:spPr>
            <a:solidFill>
              <a:srgbClr val="7030A0"/>
            </a:solidFill>
            <a:ln>
              <a:noFill/>
            </a:ln>
            <a:effectLst/>
          </c:spPr>
          <c:invertIfNegative val="0"/>
          <c:cat>
            <c:strRef>
              <c:f>AdjustPorts2030!$E$66:$L$66</c:f>
              <c:strCache>
                <c:ptCount val="8"/>
                <c:pt idx="0">
                  <c:v>RESOLVE battery</c:v>
                </c:pt>
                <c:pt idx="1">
                  <c:v>TxUpd RESOLVE battery</c:v>
                </c:pt>
                <c:pt idx="2">
                  <c:v>RESOLVE solar</c:v>
                </c:pt>
                <c:pt idx="3">
                  <c:v>TxUpd RESOLVE solar</c:v>
                </c:pt>
                <c:pt idx="4">
                  <c:v>RESOLVE wind</c:v>
                </c:pt>
                <c:pt idx="5">
                  <c:v>TxUpd RESOLVE wind</c:v>
                </c:pt>
                <c:pt idx="6">
                  <c:v>RESOLVE geothermal</c:v>
                </c:pt>
                <c:pt idx="7">
                  <c:v>TxUpd RESOLVE geothermal</c:v>
                </c:pt>
              </c:strCache>
            </c:strRef>
          </c:cat>
          <c:val>
            <c:numRef>
              <c:f>AdjustPorts2030!$E$67:$L$67</c:f>
              <c:numCache>
                <c:formatCode>_(* #,##0_);_(* \(#,##0\);_(* "-"??_);_(@_)</c:formatCode>
                <c:ptCount val="8"/>
                <c:pt idx="0">
                  <c:v>2104.1999999999998</c:v>
                </c:pt>
                <c:pt idx="1">
                  <c:v>2104.1999999999998</c:v>
                </c:pt>
              </c:numCache>
            </c:numRef>
          </c:val>
          <c:extLst>
            <c:ext xmlns:c16="http://schemas.microsoft.com/office/drawing/2014/chart" uri="{C3380CC4-5D6E-409C-BE32-E72D297353CC}">
              <c16:uniqueId val="{00000000-D3FA-4EA7-97A3-EDEFB97B3EAC}"/>
            </c:ext>
          </c:extLst>
        </c:ser>
        <c:ser>
          <c:idx val="1"/>
          <c:order val="1"/>
          <c:tx>
            <c:strRef>
              <c:f>AdjustPorts2030!$D$68</c:f>
              <c:strCache>
                <c:ptCount val="1"/>
                <c:pt idx="0">
                  <c:v>4 hour</c:v>
                </c:pt>
              </c:strCache>
            </c:strRef>
          </c:tx>
          <c:spPr>
            <a:solidFill>
              <a:srgbClr val="B482DA"/>
            </a:solidFill>
            <a:ln>
              <a:noFill/>
            </a:ln>
            <a:effectLst/>
          </c:spPr>
          <c:invertIfNegative val="0"/>
          <c:cat>
            <c:strRef>
              <c:f>AdjustPorts2030!$E$66:$L$66</c:f>
              <c:strCache>
                <c:ptCount val="8"/>
                <c:pt idx="0">
                  <c:v>RESOLVE battery</c:v>
                </c:pt>
                <c:pt idx="1">
                  <c:v>TxUpd RESOLVE battery</c:v>
                </c:pt>
                <c:pt idx="2">
                  <c:v>RESOLVE solar</c:v>
                </c:pt>
                <c:pt idx="3">
                  <c:v>TxUpd RESOLVE solar</c:v>
                </c:pt>
                <c:pt idx="4">
                  <c:v>RESOLVE wind</c:v>
                </c:pt>
                <c:pt idx="5">
                  <c:v>TxUpd RESOLVE wind</c:v>
                </c:pt>
                <c:pt idx="6">
                  <c:v>RESOLVE geothermal</c:v>
                </c:pt>
                <c:pt idx="7">
                  <c:v>TxUpd RESOLVE geothermal</c:v>
                </c:pt>
              </c:strCache>
            </c:strRef>
          </c:cat>
          <c:val>
            <c:numRef>
              <c:f>AdjustPorts2030!$E$68:$L$68</c:f>
              <c:numCache>
                <c:formatCode>_(* #,##0_);_(* \(#,##0\);_(* "-"??_);_(@_)</c:formatCode>
                <c:ptCount val="8"/>
                <c:pt idx="0">
                  <c:v>0</c:v>
                </c:pt>
                <c:pt idx="1">
                  <c:v>0</c:v>
                </c:pt>
              </c:numCache>
            </c:numRef>
          </c:val>
          <c:extLst>
            <c:ext xmlns:c16="http://schemas.microsoft.com/office/drawing/2014/chart" uri="{C3380CC4-5D6E-409C-BE32-E72D297353CC}">
              <c16:uniqueId val="{00000001-D3FA-4EA7-97A3-EDEFB97B3EAC}"/>
            </c:ext>
          </c:extLst>
        </c:ser>
        <c:ser>
          <c:idx val="2"/>
          <c:order val="2"/>
          <c:tx>
            <c:strRef>
              <c:f>AdjustPorts2030!$D$69</c:f>
              <c:strCache>
                <c:ptCount val="1"/>
                <c:pt idx="0">
                  <c:v>In-state FCDS</c:v>
                </c:pt>
              </c:strCache>
            </c:strRef>
          </c:tx>
          <c:spPr>
            <a:solidFill>
              <a:schemeClr val="accent2">
                <a:lumMod val="75000"/>
              </a:schemeClr>
            </a:solidFill>
            <a:ln>
              <a:noFill/>
            </a:ln>
            <a:effectLst/>
          </c:spPr>
          <c:invertIfNegative val="0"/>
          <c:cat>
            <c:strRef>
              <c:f>AdjustPorts2030!$E$66:$L$66</c:f>
              <c:strCache>
                <c:ptCount val="8"/>
                <c:pt idx="0">
                  <c:v>RESOLVE battery</c:v>
                </c:pt>
                <c:pt idx="1">
                  <c:v>TxUpd RESOLVE battery</c:v>
                </c:pt>
                <c:pt idx="2">
                  <c:v>RESOLVE solar</c:v>
                </c:pt>
                <c:pt idx="3">
                  <c:v>TxUpd RESOLVE solar</c:v>
                </c:pt>
                <c:pt idx="4">
                  <c:v>RESOLVE wind</c:v>
                </c:pt>
                <c:pt idx="5">
                  <c:v>TxUpd RESOLVE wind</c:v>
                </c:pt>
                <c:pt idx="6">
                  <c:v>RESOLVE geothermal</c:v>
                </c:pt>
                <c:pt idx="7">
                  <c:v>TxUpd RESOLVE geothermal</c:v>
                </c:pt>
              </c:strCache>
            </c:strRef>
          </c:cat>
          <c:val>
            <c:numRef>
              <c:f>AdjustPorts2030!$E$69:$L$69</c:f>
              <c:numCache>
                <c:formatCode>General</c:formatCode>
                <c:ptCount val="8"/>
                <c:pt idx="2" formatCode="_(* #,##0_);_(* \(#,##0\);_(* &quot;-&quot;??_);_(@_)">
                  <c:v>3711.5585586029124</c:v>
                </c:pt>
                <c:pt idx="3" formatCode="_(* #,##0_);_(* \(#,##0\);_(* &quot;-&quot;??_);_(@_)">
                  <c:v>2709.2754525190921</c:v>
                </c:pt>
                <c:pt idx="4" formatCode="_(* #,##0_);_(* \(#,##0\);_(* &quot;-&quot;??_);_(@_)">
                  <c:v>341.37313065969141</c:v>
                </c:pt>
                <c:pt idx="5" formatCode="_(* #,##0_);_(* \(#,##0\);_(* &quot;-&quot;??_);_(@_)">
                  <c:v>341.37313065969141</c:v>
                </c:pt>
                <c:pt idx="6" formatCode="_(* #,##0_);_(* \(#,##0\);_(* &quot;-&quot;??_);_(@_)">
                  <c:v>1131.936687744507</c:v>
                </c:pt>
                <c:pt idx="7" formatCode="_(* #,##0_);_(* \(#,##0\);_(* &quot;-&quot;??_);_(@_)">
                  <c:v>1048</c:v>
                </c:pt>
              </c:numCache>
            </c:numRef>
          </c:val>
          <c:extLst>
            <c:ext xmlns:c16="http://schemas.microsoft.com/office/drawing/2014/chart" uri="{C3380CC4-5D6E-409C-BE32-E72D297353CC}">
              <c16:uniqueId val="{00000002-D3FA-4EA7-97A3-EDEFB97B3EAC}"/>
            </c:ext>
          </c:extLst>
        </c:ser>
        <c:ser>
          <c:idx val="3"/>
          <c:order val="3"/>
          <c:tx>
            <c:strRef>
              <c:f>AdjustPorts2030!$D$70</c:f>
              <c:strCache>
                <c:ptCount val="1"/>
                <c:pt idx="0">
                  <c:v>In-state EO</c:v>
                </c:pt>
              </c:strCache>
            </c:strRef>
          </c:tx>
          <c:spPr>
            <a:solidFill>
              <a:schemeClr val="accent2">
                <a:lumMod val="60000"/>
                <a:lumOff val="40000"/>
              </a:schemeClr>
            </a:solidFill>
            <a:ln>
              <a:noFill/>
            </a:ln>
            <a:effectLst/>
          </c:spPr>
          <c:invertIfNegative val="0"/>
          <c:cat>
            <c:strRef>
              <c:f>AdjustPorts2030!$E$66:$L$66</c:f>
              <c:strCache>
                <c:ptCount val="8"/>
                <c:pt idx="0">
                  <c:v>RESOLVE battery</c:v>
                </c:pt>
                <c:pt idx="1">
                  <c:v>TxUpd RESOLVE battery</c:v>
                </c:pt>
                <c:pt idx="2">
                  <c:v>RESOLVE solar</c:v>
                </c:pt>
                <c:pt idx="3">
                  <c:v>TxUpd RESOLVE solar</c:v>
                </c:pt>
                <c:pt idx="4">
                  <c:v>RESOLVE wind</c:v>
                </c:pt>
                <c:pt idx="5">
                  <c:v>TxUpd RESOLVE wind</c:v>
                </c:pt>
                <c:pt idx="6">
                  <c:v>RESOLVE geothermal</c:v>
                </c:pt>
                <c:pt idx="7">
                  <c:v>TxUpd RESOLVE geothermal</c:v>
                </c:pt>
              </c:strCache>
            </c:strRef>
          </c:cat>
          <c:val>
            <c:numRef>
              <c:f>AdjustPorts2030!$E$70:$L$70</c:f>
              <c:numCache>
                <c:formatCode>General</c:formatCode>
                <c:ptCount val="8"/>
                <c:pt idx="2" formatCode="_(* #,##0_);_(* \(#,##0\);_(* &quot;-&quot;??_);_(@_)">
                  <c:v>2204.3484009544554</c:v>
                </c:pt>
                <c:pt idx="3" formatCode="_(* #,##0_);_(* \(#,##0\);_(* &quot;-&quot;??_);_(@_)">
                  <c:v>3206.6315070382757</c:v>
                </c:pt>
                <c:pt idx="4" formatCode="_(* #,##0_);_(* \(#,##0\);_(* &quot;-&quot;??_);_(@_)">
                  <c:v>803.1456332902228</c:v>
                </c:pt>
                <c:pt idx="5" formatCode="_(* #,##0_);_(* \(#,##0\);_(* &quot;-&quot;??_);_(@_)">
                  <c:v>803.1456332902228</c:v>
                </c:pt>
                <c:pt idx="6" formatCode="_(* #,##0_);_(* \(#,##0\);_(* &quot;-&quot;??_);_(@_)">
                  <c:v>567.94766790509243</c:v>
                </c:pt>
                <c:pt idx="7" formatCode="_(* #,##0_);_(* \(#,##0\);_(* &quot;-&quot;??_);_(@_)">
                  <c:v>651.88435564959946</c:v>
                </c:pt>
              </c:numCache>
            </c:numRef>
          </c:val>
          <c:extLst>
            <c:ext xmlns:c16="http://schemas.microsoft.com/office/drawing/2014/chart" uri="{C3380CC4-5D6E-409C-BE32-E72D297353CC}">
              <c16:uniqueId val="{00000003-D3FA-4EA7-97A3-EDEFB97B3EAC}"/>
            </c:ext>
          </c:extLst>
        </c:ser>
        <c:ser>
          <c:idx val="4"/>
          <c:order val="4"/>
          <c:tx>
            <c:strRef>
              <c:f>AdjustPorts2030!$D$71</c:f>
              <c:strCache>
                <c:ptCount val="1"/>
                <c:pt idx="0">
                  <c:v>OOS FCDS</c:v>
                </c:pt>
              </c:strCache>
            </c:strRef>
          </c:tx>
          <c:spPr>
            <a:solidFill>
              <a:schemeClr val="accent1">
                <a:lumMod val="75000"/>
              </a:schemeClr>
            </a:solidFill>
            <a:ln>
              <a:noFill/>
            </a:ln>
            <a:effectLst/>
          </c:spPr>
          <c:invertIfNegative val="0"/>
          <c:cat>
            <c:strRef>
              <c:f>AdjustPorts2030!$E$66:$L$66</c:f>
              <c:strCache>
                <c:ptCount val="8"/>
                <c:pt idx="0">
                  <c:v>RESOLVE battery</c:v>
                </c:pt>
                <c:pt idx="1">
                  <c:v>TxUpd RESOLVE battery</c:v>
                </c:pt>
                <c:pt idx="2">
                  <c:v>RESOLVE solar</c:v>
                </c:pt>
                <c:pt idx="3">
                  <c:v>TxUpd RESOLVE solar</c:v>
                </c:pt>
                <c:pt idx="4">
                  <c:v>RESOLVE wind</c:v>
                </c:pt>
                <c:pt idx="5">
                  <c:v>TxUpd RESOLVE wind</c:v>
                </c:pt>
                <c:pt idx="6">
                  <c:v>RESOLVE geothermal</c:v>
                </c:pt>
                <c:pt idx="7">
                  <c:v>TxUpd RESOLVE geothermal</c:v>
                </c:pt>
              </c:strCache>
            </c:strRef>
          </c:cat>
          <c:val>
            <c:numRef>
              <c:f>AdjustPorts2030!$E$71:$L$71</c:f>
              <c:numCache>
                <c:formatCode>General</c:formatCode>
                <c:ptCount val="8"/>
                <c:pt idx="4" formatCode="_(* #,##0_);_(* \(#,##0\);_(* &quot;-&quot;??_);_(@_)">
                  <c:v>820.57142698965868</c:v>
                </c:pt>
                <c:pt idx="5" formatCode="_(* #,##0_);_(* \(#,##0\);_(* &quot;-&quot;??_);_(@_)">
                  <c:v>1101.3152117199579</c:v>
                </c:pt>
              </c:numCache>
            </c:numRef>
          </c:val>
          <c:extLst>
            <c:ext xmlns:c16="http://schemas.microsoft.com/office/drawing/2014/chart" uri="{C3380CC4-5D6E-409C-BE32-E72D297353CC}">
              <c16:uniqueId val="{00000004-D3FA-4EA7-97A3-EDEFB97B3EAC}"/>
            </c:ext>
          </c:extLst>
        </c:ser>
        <c:ser>
          <c:idx val="5"/>
          <c:order val="5"/>
          <c:tx>
            <c:strRef>
              <c:f>AdjustPorts2030!$D$72</c:f>
              <c:strCache>
                <c:ptCount val="1"/>
                <c:pt idx="0">
                  <c:v>OOS EO</c:v>
                </c:pt>
              </c:strCache>
            </c:strRef>
          </c:tx>
          <c:spPr>
            <a:solidFill>
              <a:schemeClr val="accent1">
                <a:lumMod val="60000"/>
                <a:lumOff val="40000"/>
              </a:schemeClr>
            </a:solidFill>
            <a:ln>
              <a:noFill/>
            </a:ln>
            <a:effectLst/>
          </c:spPr>
          <c:invertIfNegative val="0"/>
          <c:cat>
            <c:strRef>
              <c:f>AdjustPorts2030!$E$66:$L$66</c:f>
              <c:strCache>
                <c:ptCount val="8"/>
                <c:pt idx="0">
                  <c:v>RESOLVE battery</c:v>
                </c:pt>
                <c:pt idx="1">
                  <c:v>TxUpd RESOLVE battery</c:v>
                </c:pt>
                <c:pt idx="2">
                  <c:v>RESOLVE solar</c:v>
                </c:pt>
                <c:pt idx="3">
                  <c:v>TxUpd RESOLVE solar</c:v>
                </c:pt>
                <c:pt idx="4">
                  <c:v>RESOLVE wind</c:v>
                </c:pt>
                <c:pt idx="5">
                  <c:v>TxUpd RESOLVE wind</c:v>
                </c:pt>
                <c:pt idx="6">
                  <c:v>RESOLVE geothermal</c:v>
                </c:pt>
                <c:pt idx="7">
                  <c:v>TxUpd RESOLVE geothermal</c:v>
                </c:pt>
              </c:strCache>
            </c:strRef>
          </c:cat>
          <c:val>
            <c:numRef>
              <c:f>AdjustPorts2030!$E$72:$L$72</c:f>
              <c:numCache>
                <c:formatCode>General</c:formatCode>
                <c:ptCount val="8"/>
                <c:pt idx="4" formatCode="_(* #,##0_);_(* \(#,##0\);_(* &quot;-&quot;??_);_(@_)">
                  <c:v>280.74378473029913</c:v>
                </c:pt>
                <c:pt idx="5" formatCode="_(* #,##0_);_(* \(#,##0\);_(* &quot;-&quot;??_);_(@_)">
                  <c:v>0</c:v>
                </c:pt>
              </c:numCache>
            </c:numRef>
          </c:val>
          <c:extLst>
            <c:ext xmlns:c16="http://schemas.microsoft.com/office/drawing/2014/chart" uri="{C3380CC4-5D6E-409C-BE32-E72D297353CC}">
              <c16:uniqueId val="{00000005-D3FA-4EA7-97A3-EDEFB97B3EAC}"/>
            </c:ext>
          </c:extLst>
        </c:ser>
        <c:dLbls>
          <c:showLegendKey val="0"/>
          <c:showVal val="0"/>
          <c:showCatName val="0"/>
          <c:showSerName val="0"/>
          <c:showPercent val="0"/>
          <c:showBubbleSize val="0"/>
        </c:dLbls>
        <c:gapWidth val="150"/>
        <c:overlap val="100"/>
        <c:axId val="585724304"/>
        <c:axId val="506121232"/>
      </c:barChart>
      <c:catAx>
        <c:axId val="585724304"/>
        <c:scaling>
          <c:orientation val="minMax"/>
        </c:scaling>
        <c:delete val="0"/>
        <c:axPos val="b"/>
        <c:title>
          <c:tx>
            <c:rich>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US"/>
                  <a:t>Resource types from RESOLVE, Adjusted RESOLVE</a:t>
                </a:r>
              </a:p>
            </c:rich>
          </c:tx>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506121232"/>
        <c:crosses val="autoZero"/>
        <c:auto val="1"/>
        <c:lblAlgn val="ctr"/>
        <c:lblOffset val="100"/>
        <c:noMultiLvlLbl val="0"/>
      </c:catAx>
      <c:valAx>
        <c:axId val="506121232"/>
        <c:scaling>
          <c:orientation val="minMax"/>
          <c:max val="7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US"/>
                  <a:t>New MW</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58572430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121443</xdr:colOff>
      <xdr:row>72</xdr:row>
      <xdr:rowOff>147639</xdr:rowOff>
    </xdr:from>
    <xdr:to>
      <xdr:col>15</xdr:col>
      <xdr:colOff>135731</xdr:colOff>
      <xdr:row>99</xdr:row>
      <xdr:rowOff>90489</xdr:rowOff>
    </xdr:to>
    <xdr:graphicFrame macro="">
      <xdr:nvGraphicFramePr>
        <xdr:cNvPr id="2" name="Chart 1">
          <a:extLst>
            <a:ext uri="{FF2B5EF4-FFF2-40B4-BE49-F238E27FC236}">
              <a16:creationId xmlns:a16="http://schemas.microsoft.com/office/drawing/2014/main" id="{C2DF8691-C577-4577-B6B5-E38101AF86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28</xdr:row>
      <xdr:rowOff>133350</xdr:rowOff>
    </xdr:from>
    <xdr:to>
      <xdr:col>10</xdr:col>
      <xdr:colOff>1200149</xdr:colOff>
      <xdr:row>35</xdr:row>
      <xdr:rowOff>114300</xdr:rowOff>
    </xdr:to>
    <xdr:sp macro="" textlink="">
      <xdr:nvSpPr>
        <xdr:cNvPr id="2" name="TextBox 1">
          <a:extLst>
            <a:ext uri="{FF2B5EF4-FFF2-40B4-BE49-F238E27FC236}">
              <a16:creationId xmlns:a16="http://schemas.microsoft.com/office/drawing/2014/main" id="{BDC79E45-EF99-490A-99AE-C03C7CA3539A}"/>
            </a:ext>
          </a:extLst>
        </xdr:cNvPr>
        <xdr:cNvSpPr txBox="1"/>
      </xdr:nvSpPr>
      <xdr:spPr>
        <a:xfrm>
          <a:off x="609600" y="6743700"/>
          <a:ext cx="11668124" cy="1314450"/>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lstStyle/>
        <a:p>
          <a:r>
            <a:rPr lang="en-US" sz="1200" b="1" u="sng"/>
            <a:t>NOTE</a:t>
          </a:r>
          <a:r>
            <a:rPr lang="en-US" sz="1200" b="1"/>
            <a:t>: </a:t>
          </a:r>
        </a:p>
        <a:p>
          <a:r>
            <a:rPr lang="en-US" sz="1200" b="0"/>
            <a:t>(i) The transmission areas</a:t>
          </a:r>
          <a:r>
            <a:rPr lang="en-US" sz="1200" b="0" baseline="0"/>
            <a:t> indented in the table are </a:t>
          </a:r>
          <a:r>
            <a:rPr lang="en-US" sz="1200" b="0"/>
            <a:t>subsets of the overarching transmission areas listed immediately</a:t>
          </a:r>
          <a:r>
            <a:rPr lang="en-US" sz="1200" b="0" baseline="0"/>
            <a:t> above the indented areas.</a:t>
          </a:r>
          <a:endParaRPr lang="en-US" sz="1200" b="0"/>
        </a:p>
        <a:p>
          <a:r>
            <a:rPr lang="en-US" sz="1200" b="0"/>
            <a:t>(ii) The transmission capability estimates rely on the latest generation interconnection studies</a:t>
          </a:r>
          <a:r>
            <a:rPr lang="en-US" sz="1200" b="0" baseline="0"/>
            <a:t> as one of the inputs. Estimated available transmission has been reduced by the amount of renewable resources that have come online by December 31, 2018 assuming that all these resources have a contract with an entity within CAISO BA.</a:t>
          </a:r>
        </a:p>
        <a:p>
          <a:r>
            <a:rPr lang="en-US" sz="1200" b="0" baseline="0"/>
            <a:t>(ii) The estimated capability added due to major upgrades and corresponding costs are ballpark numbers and are conceptual in nature.</a:t>
          </a:r>
        </a:p>
        <a:p>
          <a:r>
            <a:rPr lang="en-US" sz="1200" b="0" baseline="0"/>
            <a:t>(iv) The capability estimates have not been updated to account for the results of 2018-2019 TPP policy-assessment because the studies are underway as of the day of this transmittal.</a:t>
          </a:r>
          <a:endParaRPr lang="en-US" sz="1200" b="0"/>
        </a:p>
      </xdr:txBody>
    </xdr:sp>
    <xdr:clientData/>
  </xdr:twoCellAnchor>
  <xdr:oneCellAnchor>
    <xdr:from>
      <xdr:col>1</xdr:col>
      <xdr:colOff>0</xdr:colOff>
      <xdr:row>25</xdr:row>
      <xdr:rowOff>0</xdr:rowOff>
    </xdr:from>
    <xdr:ext cx="11677650" cy="609013"/>
    <xdr:sp macro="" textlink="">
      <xdr:nvSpPr>
        <xdr:cNvPr id="3" name="TextBox 2">
          <a:extLst>
            <a:ext uri="{FF2B5EF4-FFF2-40B4-BE49-F238E27FC236}">
              <a16:creationId xmlns:a16="http://schemas.microsoft.com/office/drawing/2014/main" id="{86075EEA-1EB9-4F30-B8C4-11CD05675603}"/>
            </a:ext>
          </a:extLst>
        </xdr:cNvPr>
        <xdr:cNvSpPr txBox="1"/>
      </xdr:nvSpPr>
      <xdr:spPr>
        <a:xfrm>
          <a:off x="609600" y="6038850"/>
          <a:ext cx="11677650" cy="60901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en-US" sz="1100">
              <a:solidFill>
                <a:sysClr val="windowText" lastClr="000000"/>
              </a:solidFill>
            </a:rPr>
            <a:t>* Subject to mitigation of the S-line constraint.</a:t>
          </a:r>
        </a:p>
        <a:p>
          <a:endParaRPr lang="en-US" sz="1100"/>
        </a:p>
        <a:p>
          <a:r>
            <a:rPr lang="en-US" sz="1100"/>
            <a:t>** Estimate EODS capability numbers are inclusive</a:t>
          </a:r>
          <a:r>
            <a:rPr lang="en-US" sz="1100" baseline="0"/>
            <a:t> of the FCDS estimates. So the incremental EODS capability = Estimated EODS capability - Estimated FCDS capability</a:t>
          </a:r>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filing.energy.ca.gov/Lists/DocketLog.aspx?docketnumber=17-MISC-03"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20"/>
  <sheetViews>
    <sheetView tabSelected="1" workbookViewId="0">
      <selection activeCell="C4" sqref="C4"/>
    </sheetView>
  </sheetViews>
  <sheetFormatPr defaultRowHeight="15" x14ac:dyDescent="0.25"/>
  <cols>
    <col min="2" max="2" width="9.7109375" bestFit="1" customWidth="1"/>
  </cols>
  <sheetData>
    <row r="1" spans="2:4" x14ac:dyDescent="0.25">
      <c r="B1" s="29">
        <v>43524</v>
      </c>
    </row>
    <row r="2" spans="2:4" x14ac:dyDescent="0.25">
      <c r="B2" t="s">
        <v>192</v>
      </c>
    </row>
    <row r="3" spans="2:4" x14ac:dyDescent="0.25">
      <c r="C3" t="s">
        <v>203</v>
      </c>
    </row>
    <row r="4" spans="2:4" x14ac:dyDescent="0.25">
      <c r="B4" t="s">
        <v>200</v>
      </c>
    </row>
    <row r="5" spans="2:4" x14ac:dyDescent="0.25">
      <c r="B5" t="s">
        <v>201</v>
      </c>
    </row>
    <row r="6" spans="2:4" x14ac:dyDescent="0.25">
      <c r="B6" t="s">
        <v>189</v>
      </c>
    </row>
    <row r="7" spans="2:4" x14ac:dyDescent="0.25">
      <c r="C7" t="s">
        <v>160</v>
      </c>
    </row>
    <row r="8" spans="2:4" x14ac:dyDescent="0.25">
      <c r="C8" t="s">
        <v>202</v>
      </c>
    </row>
    <row r="9" spans="2:4" x14ac:dyDescent="0.25">
      <c r="D9" t="s">
        <v>190</v>
      </c>
    </row>
    <row r="10" spans="2:4" x14ac:dyDescent="0.25">
      <c r="C10" t="s">
        <v>88</v>
      </c>
    </row>
    <row r="11" spans="2:4" x14ac:dyDescent="0.25">
      <c r="C11" t="s">
        <v>191</v>
      </c>
    </row>
    <row r="12" spans="2:4" x14ac:dyDescent="0.25">
      <c r="B12" t="s">
        <v>196</v>
      </c>
    </row>
    <row r="13" spans="2:4" x14ac:dyDescent="0.25">
      <c r="C13" t="s">
        <v>161</v>
      </c>
    </row>
    <row r="14" spans="2:4" x14ac:dyDescent="0.25">
      <c r="C14" t="s">
        <v>197</v>
      </c>
    </row>
    <row r="15" spans="2:4" x14ac:dyDescent="0.25">
      <c r="D15" t="s">
        <v>190</v>
      </c>
    </row>
    <row r="16" spans="2:4" x14ac:dyDescent="0.25">
      <c r="C16" t="s">
        <v>162</v>
      </c>
    </row>
    <row r="17" spans="2:4" x14ac:dyDescent="0.25">
      <c r="B17" t="s">
        <v>187</v>
      </c>
    </row>
    <row r="18" spans="2:4" x14ac:dyDescent="0.25">
      <c r="C18" t="s">
        <v>188</v>
      </c>
    </row>
    <row r="19" spans="2:4" x14ac:dyDescent="0.25">
      <c r="B19" s="1" t="s">
        <v>198</v>
      </c>
    </row>
    <row r="20" spans="2:4" x14ac:dyDescent="0.25">
      <c r="C20" s="114" t="s">
        <v>199</v>
      </c>
      <c r="D20" s="113"/>
    </row>
  </sheetData>
  <hyperlinks>
    <hyperlink ref="C20" r:id="rId1" xr:uid="{B946560F-BB49-4D2B-9A8E-AF8798CCE087}"/>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74"/>
  <sheetViews>
    <sheetView zoomScale="80" zoomScaleNormal="80" workbookViewId="0">
      <pane xSplit="3" ySplit="2" topLeftCell="D3" activePane="bottomRight" state="frozen"/>
      <selection pane="topRight" activeCell="B1" sqref="B1"/>
      <selection pane="bottomLeft" activeCell="A3" sqref="A3"/>
      <selection pane="bottomRight" activeCell="C1" sqref="C1"/>
    </sheetView>
  </sheetViews>
  <sheetFormatPr defaultRowHeight="15" x14ac:dyDescent="0.25"/>
  <cols>
    <col min="1" max="1" width="19.140625" customWidth="1"/>
    <col min="2" max="2" width="34.140625" bestFit="1" customWidth="1"/>
    <col min="3" max="3" width="36.85546875" bestFit="1" customWidth="1"/>
    <col min="5" max="5" width="10.5703125" style="3" bestFit="1" customWidth="1"/>
    <col min="6" max="7" width="9.5703125" bestFit="1" customWidth="1"/>
    <col min="8" max="10" width="11.140625" customWidth="1"/>
    <col min="11" max="11" width="10.5703125" style="3" bestFit="1" customWidth="1"/>
    <col min="12" max="12" width="10.5703125" bestFit="1" customWidth="1"/>
    <col min="13" max="13" width="9.28515625" bestFit="1" customWidth="1"/>
    <col min="14" max="14" width="10.5703125" style="3" bestFit="1" customWidth="1"/>
    <col min="15" max="16" width="9.5703125" bestFit="1" customWidth="1"/>
    <col min="17" max="17" width="38.140625" customWidth="1"/>
    <col min="18" max="18" width="13.5703125" bestFit="1" customWidth="1"/>
    <col min="19" max="19" width="11.42578125" bestFit="1" customWidth="1"/>
    <col min="20" max="20" width="10.7109375" customWidth="1"/>
    <col min="21" max="21" width="30" customWidth="1"/>
    <col min="22" max="22" width="16.42578125" customWidth="1"/>
    <col min="23" max="23" width="15.5703125" customWidth="1"/>
    <col min="25" max="25" width="37.85546875" customWidth="1"/>
    <col min="26" max="26" width="10.140625" bestFit="1" customWidth="1"/>
    <col min="27" max="27" width="10.140625" customWidth="1"/>
    <col min="28" max="28" width="10.140625" bestFit="1" customWidth="1"/>
    <col min="29" max="29" width="32.140625" customWidth="1"/>
  </cols>
  <sheetData>
    <row r="1" spans="1:23" x14ac:dyDescent="0.25">
      <c r="A1" s="2"/>
      <c r="B1" s="2"/>
      <c r="C1" s="2">
        <v>2030</v>
      </c>
      <c r="D1" s="2" t="s">
        <v>0</v>
      </c>
      <c r="H1" s="2" t="s">
        <v>195</v>
      </c>
      <c r="I1" s="99"/>
      <c r="J1" s="99"/>
      <c r="K1" s="2"/>
      <c r="L1" s="2"/>
      <c r="M1" s="2"/>
      <c r="N1"/>
    </row>
    <row r="2" spans="1:23" ht="90" x14ac:dyDescent="0.25">
      <c r="A2" s="4" t="s">
        <v>89</v>
      </c>
      <c r="B2" s="4" t="s">
        <v>131</v>
      </c>
      <c r="C2" s="4" t="s">
        <v>90</v>
      </c>
      <c r="D2" s="5" t="s">
        <v>10</v>
      </c>
      <c r="E2" s="6" t="s">
        <v>11</v>
      </c>
      <c r="F2" s="7" t="s">
        <v>12</v>
      </c>
      <c r="G2" s="7" t="s">
        <v>13</v>
      </c>
      <c r="H2" s="8" t="s">
        <v>185</v>
      </c>
      <c r="I2" s="100" t="s">
        <v>183</v>
      </c>
      <c r="J2" s="100" t="s">
        <v>184</v>
      </c>
      <c r="K2" s="5" t="s">
        <v>14</v>
      </c>
      <c r="L2" s="5" t="s">
        <v>15</v>
      </c>
      <c r="M2" s="5" t="s">
        <v>16</v>
      </c>
      <c r="N2"/>
    </row>
    <row r="3" spans="1:23" x14ac:dyDescent="0.25">
      <c r="A3" s="2" t="s">
        <v>1</v>
      </c>
      <c r="B3" s="2" t="s">
        <v>142</v>
      </c>
      <c r="C3" s="2" t="s">
        <v>1</v>
      </c>
      <c r="D3" s="2" t="s">
        <v>7</v>
      </c>
      <c r="E3" s="9">
        <f>F3+G3</f>
        <v>2104.1999999999998</v>
      </c>
      <c r="F3" s="10">
        <v>2104.1999999999998</v>
      </c>
      <c r="G3" s="10">
        <v>0</v>
      </c>
      <c r="H3" s="11">
        <f>I3+J3</f>
        <v>2104.1999999999998</v>
      </c>
      <c r="I3" s="101">
        <f>F3</f>
        <v>2104.1999999999998</v>
      </c>
      <c r="J3" s="101">
        <f>G3</f>
        <v>0</v>
      </c>
      <c r="K3" s="2">
        <v>0.85</v>
      </c>
      <c r="L3" s="2"/>
      <c r="M3" s="2"/>
      <c r="N3"/>
    </row>
    <row r="4" spans="1:23" x14ac:dyDescent="0.25">
      <c r="A4" s="2" t="s">
        <v>2</v>
      </c>
      <c r="B4" s="2" t="s">
        <v>142</v>
      </c>
      <c r="C4" s="2" t="s">
        <v>2</v>
      </c>
      <c r="D4" s="2" t="s">
        <v>7</v>
      </c>
      <c r="E4" s="12"/>
      <c r="F4" s="13"/>
      <c r="G4" s="13"/>
      <c r="H4" s="11"/>
      <c r="I4" s="101"/>
      <c r="J4" s="101"/>
      <c r="K4" s="2">
        <v>0.85</v>
      </c>
      <c r="L4" s="2"/>
      <c r="M4" s="2"/>
      <c r="N4"/>
    </row>
    <row r="5" spans="1:23" x14ac:dyDescent="0.25">
      <c r="A5" s="2" t="s">
        <v>9</v>
      </c>
      <c r="B5" s="2" t="s">
        <v>132</v>
      </c>
      <c r="C5" s="2" t="s">
        <v>17</v>
      </c>
      <c r="D5" s="2" t="s">
        <v>7</v>
      </c>
      <c r="E5" s="9">
        <f t="shared" ref="E5:E49" si="0">F5+G5</f>
        <v>0</v>
      </c>
      <c r="F5" s="10">
        <v>0</v>
      </c>
      <c r="G5" s="10">
        <v>0</v>
      </c>
      <c r="H5" s="11">
        <f t="shared" ref="H5:H49" si="1">I5+J5</f>
        <v>0</v>
      </c>
      <c r="I5" s="101">
        <f>F5</f>
        <v>0</v>
      </c>
      <c r="J5" s="101">
        <f>G5</f>
        <v>0</v>
      </c>
      <c r="K5" s="2"/>
      <c r="L5" s="14">
        <v>0.1586265748721937</v>
      </c>
      <c r="M5" s="14">
        <v>0.84137342512780622</v>
      </c>
      <c r="N5"/>
    </row>
    <row r="6" spans="1:23" x14ac:dyDescent="0.25">
      <c r="A6" s="2" t="s">
        <v>9</v>
      </c>
      <c r="B6" s="2" t="s">
        <v>133</v>
      </c>
      <c r="C6" s="2" t="s">
        <v>18</v>
      </c>
      <c r="D6" s="2" t="s">
        <v>7</v>
      </c>
      <c r="E6" s="9">
        <f t="shared" si="0"/>
        <v>0</v>
      </c>
      <c r="F6" s="10">
        <v>0</v>
      </c>
      <c r="G6" s="10">
        <v>0</v>
      </c>
      <c r="H6" s="11">
        <f t="shared" si="1"/>
        <v>0</v>
      </c>
      <c r="I6" s="101">
        <f t="shared" ref="I6:I49" si="2">F6</f>
        <v>0</v>
      </c>
      <c r="J6" s="101">
        <f t="shared" ref="J6:J49" si="3">G6</f>
        <v>0</v>
      </c>
      <c r="K6" s="2"/>
      <c r="L6" s="14">
        <v>0.1586265748721937</v>
      </c>
      <c r="M6" s="14">
        <v>0.84137342512780622</v>
      </c>
      <c r="N6"/>
    </row>
    <row r="7" spans="1:23" x14ac:dyDescent="0.25">
      <c r="A7" s="2" t="s">
        <v>9</v>
      </c>
      <c r="B7" s="2" t="s">
        <v>134</v>
      </c>
      <c r="C7" s="2" t="s">
        <v>19</v>
      </c>
      <c r="D7" s="2" t="s">
        <v>7</v>
      </c>
      <c r="E7" s="9">
        <f t="shared" si="0"/>
        <v>0</v>
      </c>
      <c r="F7" s="10">
        <v>0</v>
      </c>
      <c r="G7" s="10">
        <v>0</v>
      </c>
      <c r="H7" s="11">
        <f t="shared" si="1"/>
        <v>0</v>
      </c>
      <c r="I7" s="101">
        <f t="shared" si="2"/>
        <v>0</v>
      </c>
      <c r="J7" s="101">
        <f t="shared" si="3"/>
        <v>0</v>
      </c>
      <c r="K7" s="2"/>
      <c r="L7" s="14">
        <v>0.1586265748721937</v>
      </c>
      <c r="M7" s="14">
        <v>0.84137342512780622</v>
      </c>
      <c r="N7"/>
      <c r="Q7" t="s">
        <v>186</v>
      </c>
    </row>
    <row r="8" spans="1:23" x14ac:dyDescent="0.25">
      <c r="A8" s="2" t="s">
        <v>9</v>
      </c>
      <c r="B8" s="2" t="s">
        <v>135</v>
      </c>
      <c r="C8" s="2" t="s">
        <v>20</v>
      </c>
      <c r="D8" s="2" t="s">
        <v>7</v>
      </c>
      <c r="E8" s="9">
        <f t="shared" si="0"/>
        <v>0</v>
      </c>
      <c r="F8" s="10">
        <v>0</v>
      </c>
      <c r="G8" s="10">
        <v>0</v>
      </c>
      <c r="H8" s="11">
        <f t="shared" si="1"/>
        <v>0</v>
      </c>
      <c r="I8" s="101">
        <f t="shared" si="2"/>
        <v>0</v>
      </c>
      <c r="J8" s="101">
        <f t="shared" si="3"/>
        <v>0</v>
      </c>
      <c r="K8" s="2"/>
      <c r="L8" s="14">
        <v>0.1586265748721937</v>
      </c>
      <c r="M8" s="14">
        <v>0.84137342512780622</v>
      </c>
      <c r="N8"/>
      <c r="Q8" t="s">
        <v>147</v>
      </c>
      <c r="U8" t="s">
        <v>148</v>
      </c>
    </row>
    <row r="9" spans="1:23" x14ac:dyDescent="0.25">
      <c r="A9" s="2" t="s">
        <v>9</v>
      </c>
      <c r="B9" s="2" t="s">
        <v>136</v>
      </c>
      <c r="C9" s="2" t="s">
        <v>21</v>
      </c>
      <c r="D9" s="2" t="s">
        <v>7</v>
      </c>
      <c r="E9" s="9">
        <f t="shared" si="0"/>
        <v>0</v>
      </c>
      <c r="F9" s="10">
        <v>0</v>
      </c>
      <c r="G9" s="10">
        <v>0</v>
      </c>
      <c r="H9" s="11">
        <f t="shared" si="1"/>
        <v>0</v>
      </c>
      <c r="I9" s="101">
        <f t="shared" si="2"/>
        <v>0</v>
      </c>
      <c r="J9" s="101">
        <f t="shared" si="3"/>
        <v>0</v>
      </c>
      <c r="K9" s="2"/>
      <c r="L9" s="14">
        <v>0.1586265748721937</v>
      </c>
      <c r="M9" s="14">
        <v>0.84137342512780622</v>
      </c>
      <c r="N9"/>
      <c r="Q9" t="s">
        <v>145</v>
      </c>
      <c r="R9" t="s">
        <v>181</v>
      </c>
      <c r="S9" s="103" t="s">
        <v>182</v>
      </c>
      <c r="T9" s="106" t="s">
        <v>146</v>
      </c>
      <c r="V9" s="103" t="str">
        <f>I2</f>
        <v>TX update and DS adjusted RESOLVE selected FCDS</v>
      </c>
      <c r="W9" s="106" t="str">
        <f>J2</f>
        <v>TX update and DS adjusted RESOLVE selected EO</v>
      </c>
    </row>
    <row r="10" spans="1:23" x14ac:dyDescent="0.25">
      <c r="A10" s="2" t="s">
        <v>9</v>
      </c>
      <c r="B10" s="2" t="s">
        <v>121</v>
      </c>
      <c r="C10" s="2" t="s">
        <v>22</v>
      </c>
      <c r="D10" s="2" t="s">
        <v>7</v>
      </c>
      <c r="E10" s="9">
        <f t="shared" si="0"/>
        <v>1013.2206383318768</v>
      </c>
      <c r="F10" s="10">
        <v>1013.2206383318768</v>
      </c>
      <c r="G10" s="10">
        <v>0</v>
      </c>
      <c r="H10" s="11">
        <f t="shared" si="1"/>
        <v>1013.2206383318768</v>
      </c>
      <c r="I10" s="101">
        <f t="shared" si="2"/>
        <v>1013.2206383318768</v>
      </c>
      <c r="J10" s="101">
        <f t="shared" si="3"/>
        <v>0</v>
      </c>
      <c r="K10" s="2"/>
      <c r="L10" s="14">
        <v>0.1586265748721937</v>
      </c>
      <c r="M10" s="14">
        <v>0.84137342512780622</v>
      </c>
      <c r="N10"/>
      <c r="Q10" t="str">
        <f>'2019-20TxInputUpdate'!B6</f>
        <v>Northern CA</v>
      </c>
      <c r="R10" s="10">
        <f>'2019-20TxInputUpdate'!C6</f>
        <v>2000</v>
      </c>
      <c r="S10" s="104">
        <f>R10-'2019-20TxInputUpdate'!W6</f>
        <v>1992</v>
      </c>
      <c r="T10" s="107">
        <f>'2019-20TxInputUpdate'!L6</f>
        <v>1900</v>
      </c>
      <c r="V10" s="105">
        <f>SUM(V11:V14)</f>
        <v>1025.3152690823667</v>
      </c>
      <c r="W10" s="108">
        <f>SUM(W11:W14)</f>
        <v>642.99651279836792</v>
      </c>
    </row>
    <row r="11" spans="1:23" x14ac:dyDescent="0.25">
      <c r="A11" s="2" t="s">
        <v>9</v>
      </c>
      <c r="B11" s="2" t="s">
        <v>137</v>
      </c>
      <c r="C11" s="2" t="s">
        <v>23</v>
      </c>
      <c r="D11" s="2" t="s">
        <v>7</v>
      </c>
      <c r="E11" s="9">
        <f t="shared" si="0"/>
        <v>978.28310608382026</v>
      </c>
      <c r="F11" s="10">
        <v>978.28310608382026</v>
      </c>
      <c r="G11" s="10">
        <v>0</v>
      </c>
      <c r="H11" s="11">
        <f t="shared" si="1"/>
        <v>576</v>
      </c>
      <c r="I11" s="102">
        <f>S20</f>
        <v>576</v>
      </c>
      <c r="J11" s="101">
        <f t="shared" si="3"/>
        <v>0</v>
      </c>
      <c r="K11" s="2"/>
      <c r="L11" s="14">
        <v>0.1586265748721937</v>
      </c>
      <c r="M11" s="14">
        <v>0.84137342512780622</v>
      </c>
      <c r="N11"/>
      <c r="Q11" t="str">
        <f>'2019-20TxInputUpdate'!B7</f>
        <v>- Round mountain</v>
      </c>
      <c r="R11" s="10">
        <f>'2019-20TxInputUpdate'!C7</f>
        <v>500</v>
      </c>
      <c r="S11" s="104">
        <f>R11-'2019-20TxInputUpdate'!W7</f>
        <v>500</v>
      </c>
      <c r="T11" s="107">
        <f>'2019-20TxInputUpdate'!L7</f>
        <v>1600</v>
      </c>
      <c r="U11" t="s">
        <v>132</v>
      </c>
      <c r="V11" s="104">
        <f>SUMIFS(I:I,$B:$B,$U11)</f>
        <v>1025.3152690823667</v>
      </c>
      <c r="W11" s="107">
        <f>SUMIFS(J:J,$B:$B,$U11)</f>
        <v>0</v>
      </c>
    </row>
    <row r="12" spans="1:23" x14ac:dyDescent="0.25">
      <c r="A12" s="2" t="s">
        <v>9</v>
      </c>
      <c r="B12" s="2" t="s">
        <v>138</v>
      </c>
      <c r="C12" s="2" t="s">
        <v>24</v>
      </c>
      <c r="D12" s="2" t="s">
        <v>7</v>
      </c>
      <c r="E12" s="9">
        <f t="shared" si="0"/>
        <v>0</v>
      </c>
      <c r="F12" s="10">
        <v>0</v>
      </c>
      <c r="G12" s="10">
        <v>0</v>
      </c>
      <c r="H12" s="11">
        <f t="shared" si="1"/>
        <v>0</v>
      </c>
      <c r="I12" s="101">
        <f t="shared" si="2"/>
        <v>0</v>
      </c>
      <c r="J12" s="101">
        <f t="shared" si="3"/>
        <v>0</v>
      </c>
      <c r="K12" s="2"/>
      <c r="L12" s="14">
        <v>0.1586265748721937</v>
      </c>
      <c r="M12" s="14">
        <v>0.84137342512780622</v>
      </c>
      <c r="N12"/>
      <c r="Q12" t="str">
        <f>'2019-20TxInputUpdate'!B8</f>
        <v>- Humboldt</v>
      </c>
      <c r="R12" s="10">
        <f>'2019-20TxInputUpdate'!C8</f>
        <v>0</v>
      </c>
      <c r="S12" s="104">
        <f>R12-'2019-20TxInputUpdate'!W8</f>
        <v>0</v>
      </c>
      <c r="T12" s="107">
        <f>'2019-20TxInputUpdate'!L8</f>
        <v>100</v>
      </c>
      <c r="V12" s="104"/>
      <c r="W12" s="107"/>
    </row>
    <row r="13" spans="1:23" x14ac:dyDescent="0.25">
      <c r="A13" s="2" t="s">
        <v>9</v>
      </c>
      <c r="B13" s="2" t="s">
        <v>139</v>
      </c>
      <c r="C13" s="2" t="s">
        <v>25</v>
      </c>
      <c r="D13" s="2" t="s">
        <v>7</v>
      </c>
      <c r="E13" s="9">
        <f t="shared" si="0"/>
        <v>0</v>
      </c>
      <c r="F13" s="10">
        <v>0</v>
      </c>
      <c r="G13" s="10">
        <v>0</v>
      </c>
      <c r="H13" s="11">
        <f t="shared" si="1"/>
        <v>0</v>
      </c>
      <c r="I13" s="101">
        <f t="shared" si="2"/>
        <v>0</v>
      </c>
      <c r="J13" s="101">
        <f t="shared" si="3"/>
        <v>0</v>
      </c>
      <c r="K13" s="2"/>
      <c r="L13" s="14">
        <v>0.1586265748721937</v>
      </c>
      <c r="M13" s="14">
        <v>0.84137342512780622</v>
      </c>
      <c r="N13"/>
      <c r="Q13" t="str">
        <f>'2019-20TxInputUpdate'!B9</f>
        <v>- Sacramento River</v>
      </c>
      <c r="R13" s="10">
        <f>'2019-20TxInputUpdate'!C9</f>
        <v>2000</v>
      </c>
      <c r="S13" s="104">
        <f>R13-'2019-20TxInputUpdate'!W9</f>
        <v>2000</v>
      </c>
      <c r="T13" s="107">
        <f>'2019-20TxInputUpdate'!L9</f>
        <v>2600</v>
      </c>
      <c r="V13" s="104"/>
      <c r="W13" s="107"/>
    </row>
    <row r="14" spans="1:23" x14ac:dyDescent="0.25">
      <c r="A14" s="2" t="s">
        <v>9</v>
      </c>
      <c r="B14" s="2" t="s">
        <v>140</v>
      </c>
      <c r="C14" s="2" t="s">
        <v>26</v>
      </c>
      <c r="D14" s="2" t="s">
        <v>7</v>
      </c>
      <c r="E14" s="9">
        <f t="shared" si="0"/>
        <v>918.47357747650437</v>
      </c>
      <c r="F14" s="10">
        <v>918.47357747650437</v>
      </c>
      <c r="G14" s="10">
        <v>0</v>
      </c>
      <c r="H14" s="11">
        <f t="shared" si="1"/>
        <v>1320.7566835603247</v>
      </c>
      <c r="I14" s="102">
        <f>F14-600</f>
        <v>318.47357747650437</v>
      </c>
      <c r="J14" s="102">
        <f>G14+F11-S20+600</f>
        <v>1002.2831060838203</v>
      </c>
      <c r="K14" s="2"/>
      <c r="L14" s="14">
        <v>0.1586265748721937</v>
      </c>
      <c r="M14" s="14">
        <v>0.84137342512780622</v>
      </c>
      <c r="N14"/>
      <c r="Q14" t="str">
        <f>'2019-20TxInputUpdate'!B10</f>
        <v>- Solano</v>
      </c>
      <c r="R14" s="10">
        <f>'2019-20TxInputUpdate'!C10</f>
        <v>600</v>
      </c>
      <c r="S14" s="104">
        <f>R14-'2019-20TxInputUpdate'!W10</f>
        <v>581</v>
      </c>
      <c r="T14" s="107">
        <f>'2019-20TxInputUpdate'!L10</f>
        <v>700</v>
      </c>
      <c r="U14" t="s">
        <v>133</v>
      </c>
      <c r="V14" s="104">
        <f>SUMIFS(I:I,$B:$B,$U14)</f>
        <v>0</v>
      </c>
      <c r="W14" s="107">
        <f>SUMIFS(J:J,$B:$B,$U14)</f>
        <v>642.99651279836792</v>
      </c>
    </row>
    <row r="15" spans="1:23" x14ac:dyDescent="0.25">
      <c r="A15" s="2" t="s">
        <v>9</v>
      </c>
      <c r="B15" s="2" t="s">
        <v>141</v>
      </c>
      <c r="C15" s="2" t="s">
        <v>27</v>
      </c>
      <c r="D15" s="2" t="s">
        <v>7</v>
      </c>
      <c r="E15" s="9">
        <f t="shared" si="0"/>
        <v>0</v>
      </c>
      <c r="F15" s="10">
        <v>0</v>
      </c>
      <c r="G15" s="10">
        <v>0</v>
      </c>
      <c r="H15" s="11">
        <f t="shared" si="1"/>
        <v>0</v>
      </c>
      <c r="I15" s="101">
        <f t="shared" si="2"/>
        <v>0</v>
      </c>
      <c r="J15" s="101">
        <f t="shared" si="3"/>
        <v>0</v>
      </c>
      <c r="K15" s="2"/>
      <c r="L15" s="14">
        <v>0.1586265748721937</v>
      </c>
      <c r="M15" s="14">
        <v>0.84137342512780622</v>
      </c>
      <c r="N15"/>
      <c r="Q15" t="str">
        <f>'2019-20TxInputUpdate'!B11</f>
        <v>Southern PG&amp;E</v>
      </c>
      <c r="R15" s="10">
        <f>'2019-20TxInputUpdate'!C11</f>
        <v>1100</v>
      </c>
      <c r="S15" s="104">
        <f>R15-'2019-20TxInputUpdate'!W11</f>
        <v>815</v>
      </c>
      <c r="T15" s="107">
        <f>'2019-20TxInputUpdate'!L11</f>
        <v>900</v>
      </c>
      <c r="V15" s="104">
        <f>SUM(V16:V18)</f>
        <v>145.99970852405221</v>
      </c>
      <c r="W15" s="107">
        <f>SUM(W16:W18)</f>
        <v>160.14912049185486</v>
      </c>
    </row>
    <row r="16" spans="1:23" x14ac:dyDescent="0.25">
      <c r="A16" s="2" t="s">
        <v>9</v>
      </c>
      <c r="B16" s="2" t="s">
        <v>142</v>
      </c>
      <c r="C16" s="2" t="s">
        <v>28</v>
      </c>
      <c r="D16" s="2" t="s">
        <v>7</v>
      </c>
      <c r="E16" s="9">
        <f t="shared" si="0"/>
        <v>0</v>
      </c>
      <c r="F16" s="10">
        <v>0</v>
      </c>
      <c r="G16" s="10">
        <v>0</v>
      </c>
      <c r="H16" s="11">
        <f t="shared" si="1"/>
        <v>0</v>
      </c>
      <c r="I16" s="101">
        <f t="shared" si="2"/>
        <v>0</v>
      </c>
      <c r="J16" s="101">
        <f t="shared" si="3"/>
        <v>0</v>
      </c>
      <c r="K16" s="2"/>
      <c r="L16" s="14">
        <v>0.1586265748721937</v>
      </c>
      <c r="M16" s="14">
        <v>0.84137342512780622</v>
      </c>
      <c r="N16"/>
      <c r="Q16" t="str">
        <f>'2019-20TxInputUpdate'!B12</f>
        <v>- Westlands</v>
      </c>
      <c r="R16" s="10">
        <f>'2019-20TxInputUpdate'!C12</f>
        <v>1100</v>
      </c>
      <c r="S16" s="104">
        <f>R16-'2019-20TxInputUpdate'!W12</f>
        <v>978</v>
      </c>
      <c r="T16" s="107">
        <f>'2019-20TxInputUpdate'!L12</f>
        <v>700</v>
      </c>
      <c r="U16" t="s">
        <v>135</v>
      </c>
      <c r="V16" s="104">
        <f t="shared" ref="V16:W20" si="4">SUMIFS(I:I,$B:$B,$U16)</f>
        <v>0</v>
      </c>
      <c r="W16" s="107">
        <f t="shared" si="4"/>
        <v>0</v>
      </c>
    </row>
    <row r="17" spans="1:23" x14ac:dyDescent="0.25">
      <c r="A17" s="2" t="s">
        <v>9</v>
      </c>
      <c r="B17" s="2" t="s">
        <v>141</v>
      </c>
      <c r="C17" s="2" t="s">
        <v>29</v>
      </c>
      <c r="D17" s="2" t="s">
        <v>8</v>
      </c>
      <c r="E17" s="9">
        <f t="shared" si="0"/>
        <v>0</v>
      </c>
      <c r="F17" s="10">
        <v>0</v>
      </c>
      <c r="G17" s="10">
        <v>0</v>
      </c>
      <c r="H17" s="11">
        <f t="shared" si="1"/>
        <v>0</v>
      </c>
      <c r="I17" s="101">
        <f t="shared" si="2"/>
        <v>0</v>
      </c>
      <c r="J17" s="101">
        <f t="shared" si="3"/>
        <v>0</v>
      </c>
      <c r="K17" s="2"/>
      <c r="L17" s="14">
        <v>0.1586265748721937</v>
      </c>
      <c r="M17" s="14">
        <v>0.84137342512780622</v>
      </c>
      <c r="N17"/>
      <c r="Q17" t="str">
        <f>'2019-20TxInputUpdate'!B13</f>
        <v>- Kern and Greater Carrizo</v>
      </c>
      <c r="R17" s="10">
        <f>'2019-20TxInputUpdate'!C13</f>
        <v>1000</v>
      </c>
      <c r="S17" s="104">
        <f>R17-'2019-20TxInputUpdate'!W13</f>
        <v>840</v>
      </c>
      <c r="T17" s="107">
        <f>'2019-20TxInputUpdate'!L13</f>
        <v>200</v>
      </c>
      <c r="U17" t="s">
        <v>136</v>
      </c>
      <c r="V17" s="104">
        <f t="shared" si="4"/>
        <v>0</v>
      </c>
      <c r="W17" s="107">
        <f t="shared" si="4"/>
        <v>160.14912049185486</v>
      </c>
    </row>
    <row r="18" spans="1:23" x14ac:dyDescent="0.25">
      <c r="A18" s="2" t="s">
        <v>9</v>
      </c>
      <c r="B18" s="2" t="s">
        <v>138</v>
      </c>
      <c r="C18" s="2" t="s">
        <v>30</v>
      </c>
      <c r="D18" s="2" t="s">
        <v>8</v>
      </c>
      <c r="E18" s="9">
        <f t="shared" si="0"/>
        <v>0</v>
      </c>
      <c r="F18" s="10">
        <v>0</v>
      </c>
      <c r="G18" s="10">
        <v>0</v>
      </c>
      <c r="H18" s="11">
        <f t="shared" si="1"/>
        <v>0</v>
      </c>
      <c r="I18" s="101">
        <f t="shared" si="2"/>
        <v>0</v>
      </c>
      <c r="J18" s="101">
        <f t="shared" si="3"/>
        <v>0</v>
      </c>
      <c r="K18" s="2"/>
      <c r="L18" s="14">
        <v>0.1586265748721937</v>
      </c>
      <c r="M18" s="14">
        <v>0.84137342512780622</v>
      </c>
      <c r="N18"/>
      <c r="Q18" t="str">
        <f>'2019-20TxInputUpdate'!B14</f>
        <v>- Central Valley North &amp; Los Banos</v>
      </c>
      <c r="R18" s="10">
        <f>'2019-20TxInputUpdate'!C14</f>
        <v>1000</v>
      </c>
      <c r="S18" s="104">
        <f>R18-'2019-20TxInputUpdate'!W14</f>
        <v>997</v>
      </c>
      <c r="T18" s="107">
        <f>'2019-20TxInputUpdate'!L14</f>
        <v>0</v>
      </c>
      <c r="U18" t="s">
        <v>134</v>
      </c>
      <c r="V18" s="104">
        <f t="shared" si="4"/>
        <v>145.99970852405221</v>
      </c>
      <c r="W18" s="107">
        <f t="shared" si="4"/>
        <v>0</v>
      </c>
    </row>
    <row r="19" spans="1:23" x14ac:dyDescent="0.25">
      <c r="A19" s="2" t="s">
        <v>9</v>
      </c>
      <c r="B19" s="2" t="s">
        <v>138</v>
      </c>
      <c r="C19" s="2" t="s">
        <v>31</v>
      </c>
      <c r="D19" s="2" t="s">
        <v>7</v>
      </c>
      <c r="E19" s="9">
        <f t="shared" si="0"/>
        <v>3005.9296376651664</v>
      </c>
      <c r="F19" s="10">
        <v>801.5812367107111</v>
      </c>
      <c r="G19" s="10">
        <v>2204.3484009544554</v>
      </c>
      <c r="H19" s="11">
        <f t="shared" si="1"/>
        <v>3005.9296376651664</v>
      </c>
      <c r="I19" s="101">
        <f t="shared" si="2"/>
        <v>801.5812367107111</v>
      </c>
      <c r="J19" s="101">
        <f t="shared" si="3"/>
        <v>2204.3484009544554</v>
      </c>
      <c r="K19" s="2"/>
      <c r="L19" s="14">
        <v>0.1586265748721937</v>
      </c>
      <c r="M19" s="14">
        <v>0.84137342512780622</v>
      </c>
      <c r="N19"/>
      <c r="Q19" t="str">
        <f>'2019-20TxInputUpdate'!B15</f>
        <v>Tehachapi</v>
      </c>
      <c r="R19" s="10">
        <f>'2019-20TxInputUpdate'!C15</f>
        <v>4300</v>
      </c>
      <c r="S19" s="104">
        <f>R19-'2019-20TxInputUpdate'!W15</f>
        <v>3912</v>
      </c>
      <c r="T19" s="107">
        <f>'2019-20TxInputUpdate'!L15</f>
        <v>800</v>
      </c>
      <c r="U19" t="s">
        <v>121</v>
      </c>
      <c r="V19" s="104">
        <f t="shared" si="4"/>
        <v>1166.5920727248365</v>
      </c>
      <c r="W19" s="107">
        <f t="shared" si="4"/>
        <v>0</v>
      </c>
    </row>
    <row r="20" spans="1:23" x14ac:dyDescent="0.25">
      <c r="A20" s="2" t="s">
        <v>9</v>
      </c>
      <c r="B20" s="2" t="s">
        <v>140</v>
      </c>
      <c r="C20" s="2" t="s">
        <v>32</v>
      </c>
      <c r="D20" s="2" t="s">
        <v>8</v>
      </c>
      <c r="E20" s="9">
        <f t="shared" si="0"/>
        <v>0</v>
      </c>
      <c r="F20" s="10">
        <v>0</v>
      </c>
      <c r="G20" s="10">
        <v>0</v>
      </c>
      <c r="H20" s="11">
        <f t="shared" si="1"/>
        <v>0</v>
      </c>
      <c r="I20" s="101">
        <f t="shared" si="2"/>
        <v>0</v>
      </c>
      <c r="J20" s="101">
        <f t="shared" si="3"/>
        <v>0</v>
      </c>
      <c r="K20" s="2"/>
      <c r="L20" s="14">
        <v>0.1586265748721937</v>
      </c>
      <c r="M20" s="14">
        <v>0.84137342512780622</v>
      </c>
      <c r="N20"/>
      <c r="Q20" t="str">
        <f>'2019-20TxInputUpdate'!B16</f>
        <v>Greater Kramer (North of Lugo)</v>
      </c>
      <c r="R20" s="10">
        <f>'2019-20TxInputUpdate'!C16</f>
        <v>600</v>
      </c>
      <c r="S20" s="104">
        <f>R20-'2019-20TxInputUpdate'!W16</f>
        <v>576</v>
      </c>
      <c r="T20" s="107">
        <f>'2019-20TxInputUpdate'!L16</f>
        <v>0</v>
      </c>
      <c r="U20" t="s">
        <v>137</v>
      </c>
      <c r="V20" s="104">
        <f t="shared" si="4"/>
        <v>576</v>
      </c>
      <c r="W20" s="107">
        <f t="shared" si="4"/>
        <v>0</v>
      </c>
    </row>
    <row r="21" spans="1:23" x14ac:dyDescent="0.25">
      <c r="A21" s="2" t="s">
        <v>9</v>
      </c>
      <c r="B21" s="2" t="s">
        <v>140</v>
      </c>
      <c r="C21" s="2" t="s">
        <v>33</v>
      </c>
      <c r="D21" s="2" t="s">
        <v>8</v>
      </c>
      <c r="E21" s="9">
        <f t="shared" si="0"/>
        <v>0</v>
      </c>
      <c r="F21" s="10">
        <v>0</v>
      </c>
      <c r="G21" s="10">
        <v>0</v>
      </c>
      <c r="H21" s="11">
        <f t="shared" si="1"/>
        <v>0</v>
      </c>
      <c r="I21" s="101">
        <f t="shared" si="2"/>
        <v>0</v>
      </c>
      <c r="J21" s="101">
        <f t="shared" si="3"/>
        <v>0</v>
      </c>
      <c r="K21" s="2"/>
      <c r="L21" s="14">
        <v>0.1586265748721937</v>
      </c>
      <c r="M21" s="14">
        <v>0.84137342512780622</v>
      </c>
      <c r="N21"/>
      <c r="Q21" t="str">
        <f>'2019-20TxInputUpdate'!B17</f>
        <v>- North of Victor</v>
      </c>
      <c r="R21" s="10">
        <f>'2019-20TxInputUpdate'!C17</f>
        <v>300</v>
      </c>
      <c r="S21" s="104">
        <f>R21-'2019-20TxInputUpdate'!W17</f>
        <v>300</v>
      </c>
      <c r="T21" s="107">
        <f>'2019-20TxInputUpdate'!L17</f>
        <v>0</v>
      </c>
      <c r="V21" s="104"/>
      <c r="W21" s="107"/>
    </row>
    <row r="22" spans="1:23" x14ac:dyDescent="0.25">
      <c r="A22" s="2" t="s">
        <v>6</v>
      </c>
      <c r="B22" s="2" t="s">
        <v>132</v>
      </c>
      <c r="C22" s="2" t="s">
        <v>34</v>
      </c>
      <c r="D22" s="2" t="s">
        <v>7</v>
      </c>
      <c r="E22" s="9">
        <f t="shared" si="0"/>
        <v>0</v>
      </c>
      <c r="F22" s="10">
        <v>0</v>
      </c>
      <c r="G22" s="10">
        <v>0</v>
      </c>
      <c r="H22" s="11">
        <f t="shared" si="1"/>
        <v>0</v>
      </c>
      <c r="I22" s="101">
        <f t="shared" si="2"/>
        <v>0</v>
      </c>
      <c r="J22" s="101">
        <f t="shared" si="3"/>
        <v>0</v>
      </c>
      <c r="K22" s="2"/>
      <c r="L22" s="2"/>
      <c r="M22" s="2"/>
      <c r="N22"/>
      <c r="Q22" t="str">
        <f>'2019-20TxInputUpdate'!B18</f>
        <v>- Inyokern and North of Kramer</v>
      </c>
      <c r="R22" s="10">
        <f>'2019-20TxInputUpdate'!C18</f>
        <v>100</v>
      </c>
      <c r="S22" s="104">
        <f>R22-'2019-20TxInputUpdate'!W18</f>
        <v>100</v>
      </c>
      <c r="T22" s="107">
        <f>'2019-20TxInputUpdate'!L18</f>
        <v>0</v>
      </c>
      <c r="V22" s="104"/>
      <c r="W22" s="107"/>
    </row>
    <row r="23" spans="1:23" x14ac:dyDescent="0.25">
      <c r="A23" s="2" t="s">
        <v>6</v>
      </c>
      <c r="B23" s="2" t="s">
        <v>133</v>
      </c>
      <c r="C23" s="2" t="s">
        <v>35</v>
      </c>
      <c r="D23" s="2" t="s">
        <v>7</v>
      </c>
      <c r="E23" s="9">
        <f t="shared" si="0"/>
        <v>642.99651279836792</v>
      </c>
      <c r="F23" s="10">
        <v>0</v>
      </c>
      <c r="G23" s="10">
        <v>642.99651279836792</v>
      </c>
      <c r="H23" s="11">
        <f t="shared" si="1"/>
        <v>642.99651279836792</v>
      </c>
      <c r="I23" s="101">
        <f t="shared" si="2"/>
        <v>0</v>
      </c>
      <c r="J23" s="101">
        <f t="shared" si="3"/>
        <v>642.99651279836792</v>
      </c>
      <c r="K23" s="2"/>
      <c r="L23" s="2"/>
      <c r="M23" s="2"/>
      <c r="N23"/>
      <c r="Q23" t="str">
        <f>'2019-20TxInputUpdate'!B19</f>
        <v>- Pisgah</v>
      </c>
      <c r="R23" s="10">
        <f>'2019-20TxInputUpdate'!C19</f>
        <v>400</v>
      </c>
      <c r="S23" s="104">
        <f>R23-'2019-20TxInputUpdate'!W19</f>
        <v>400</v>
      </c>
      <c r="T23" s="107">
        <f>'2019-20TxInputUpdate'!L19</f>
        <v>0</v>
      </c>
      <c r="V23" s="104"/>
      <c r="W23" s="107"/>
    </row>
    <row r="24" spans="1:23" x14ac:dyDescent="0.25">
      <c r="A24" s="2" t="s">
        <v>6</v>
      </c>
      <c r="B24" s="2" t="s">
        <v>134</v>
      </c>
      <c r="C24" s="2" t="s">
        <v>36</v>
      </c>
      <c r="D24" s="2" t="s">
        <v>7</v>
      </c>
      <c r="E24" s="9">
        <f t="shared" si="0"/>
        <v>145.99970852405221</v>
      </c>
      <c r="F24" s="10">
        <v>145.99970852405221</v>
      </c>
      <c r="G24" s="10">
        <v>0</v>
      </c>
      <c r="H24" s="11">
        <f t="shared" si="1"/>
        <v>145.99970852405221</v>
      </c>
      <c r="I24" s="101">
        <f t="shared" si="2"/>
        <v>145.99970852405221</v>
      </c>
      <c r="J24" s="101">
        <f t="shared" si="3"/>
        <v>0</v>
      </c>
      <c r="K24" s="2"/>
      <c r="L24" s="2"/>
      <c r="M24" s="2"/>
      <c r="N24"/>
      <c r="Q24" t="str">
        <f>'2019-20TxInputUpdate'!B20</f>
        <v>Southern CA Desert and Southern NV</v>
      </c>
      <c r="R24" s="10">
        <f>'2019-20TxInputUpdate'!C20</f>
        <v>3000</v>
      </c>
      <c r="S24" s="104">
        <f>R24-'2019-20TxInputUpdate'!W20</f>
        <v>2290</v>
      </c>
      <c r="T24" s="107">
        <f>'2019-20TxInputUpdate'!L20</f>
        <v>6600</v>
      </c>
      <c r="U24" t="s">
        <v>139</v>
      </c>
      <c r="V24" s="104">
        <f>SUM(V25:V28)</f>
        <v>2286.0567445674856</v>
      </c>
      <c r="W24" s="107">
        <f>SUM(W25:W28)</f>
        <v>3858.5158626878751</v>
      </c>
    </row>
    <row r="25" spans="1:23" x14ac:dyDescent="0.25">
      <c r="A25" s="2" t="s">
        <v>6</v>
      </c>
      <c r="B25" s="2" t="s">
        <v>136</v>
      </c>
      <c r="C25" s="2" t="s">
        <v>37</v>
      </c>
      <c r="D25" s="2" t="s">
        <v>7</v>
      </c>
      <c r="E25" s="9">
        <f t="shared" si="0"/>
        <v>160.14912049185486</v>
      </c>
      <c r="F25" s="10">
        <v>0</v>
      </c>
      <c r="G25" s="10">
        <v>160.14912049185486</v>
      </c>
      <c r="H25" s="11">
        <f t="shared" si="1"/>
        <v>160.14912049185486</v>
      </c>
      <c r="I25" s="101">
        <f t="shared" si="2"/>
        <v>0</v>
      </c>
      <c r="J25" s="101">
        <f t="shared" si="3"/>
        <v>160.14912049185486</v>
      </c>
      <c r="K25" s="2"/>
      <c r="L25" s="2"/>
      <c r="M25" s="2"/>
      <c r="N25"/>
      <c r="Q25" t="str">
        <f>'2019-20TxInputUpdate'!B21</f>
        <v>- Southern NV (GridLiance-VEA), El Dorado and Mountain Pass</v>
      </c>
      <c r="R25" s="10">
        <f>'2019-20TxInputUpdate'!C21</f>
        <v>800</v>
      </c>
      <c r="S25" s="104">
        <f>R25-'2019-20TxInputUpdate'!W21</f>
        <v>800</v>
      </c>
      <c r="T25" s="107">
        <f>'2019-20TxInputUpdate'!L21</f>
        <v>2200</v>
      </c>
      <c r="U25" t="s">
        <v>138</v>
      </c>
      <c r="V25" s="104">
        <f>SUMIFS(I:I,$B:$B,$U25)</f>
        <v>801.5812367107111</v>
      </c>
      <c r="W25" s="107">
        <f>SUMIFS(J:J,$B:$B,$U25)</f>
        <v>2204.3484009544554</v>
      </c>
    </row>
    <row r="26" spans="1:23" x14ac:dyDescent="0.25">
      <c r="A26" s="2" t="s">
        <v>6</v>
      </c>
      <c r="B26" s="2" t="s">
        <v>121</v>
      </c>
      <c r="C26" s="2" t="s">
        <v>38</v>
      </c>
      <c r="D26" s="2" t="s">
        <v>7</v>
      </c>
      <c r="E26" s="9">
        <f t="shared" si="0"/>
        <v>153.37143439295977</v>
      </c>
      <c r="F26" s="10">
        <v>153.37143439295977</v>
      </c>
      <c r="G26" s="10">
        <v>0</v>
      </c>
      <c r="H26" s="11">
        <f t="shared" si="1"/>
        <v>153.37143439295977</v>
      </c>
      <c r="I26" s="101">
        <f t="shared" si="2"/>
        <v>153.37143439295977</v>
      </c>
      <c r="J26" s="101">
        <f t="shared" si="3"/>
        <v>0</v>
      </c>
      <c r="K26" s="2"/>
      <c r="L26" s="2"/>
      <c r="M26" s="2"/>
      <c r="N26"/>
      <c r="Q26" t="str">
        <f>'2019-20TxInputUpdate'!B22</f>
        <v>- Southern NV (GridLiance-VEA)</v>
      </c>
      <c r="R26" s="10">
        <f>'2019-20TxInputUpdate'!C22</f>
        <v>700</v>
      </c>
      <c r="S26" s="104">
        <f>R26-'2019-20TxInputUpdate'!W22</f>
        <v>700</v>
      </c>
      <c r="T26" s="107">
        <f>'2019-20TxInputUpdate'!L22</f>
        <v>0</v>
      </c>
      <c r="V26" s="104"/>
      <c r="W26" s="107"/>
    </row>
    <row r="27" spans="1:23" x14ac:dyDescent="0.25">
      <c r="A27" s="2" t="s">
        <v>6</v>
      </c>
      <c r="B27" s="2" t="s">
        <v>137</v>
      </c>
      <c r="C27" s="2" t="s">
        <v>39</v>
      </c>
      <c r="D27" s="2" t="s">
        <v>7</v>
      </c>
      <c r="E27" s="9">
        <f t="shared" si="0"/>
        <v>0</v>
      </c>
      <c r="F27" s="10">
        <v>0</v>
      </c>
      <c r="G27" s="10">
        <v>0</v>
      </c>
      <c r="H27" s="11">
        <f t="shared" si="1"/>
        <v>0</v>
      </c>
      <c r="I27" s="101">
        <f t="shared" si="2"/>
        <v>0</v>
      </c>
      <c r="J27" s="101">
        <f t="shared" si="3"/>
        <v>0</v>
      </c>
      <c r="K27" s="2"/>
      <c r="L27" s="2"/>
      <c r="M27" s="2"/>
      <c r="N27"/>
      <c r="Q27" t="str">
        <f>'2019-20TxInputUpdate'!B23</f>
        <v>- Greater Imperial*</v>
      </c>
      <c r="R27" s="10">
        <f>'2019-20TxInputUpdate'!C23</f>
        <v>1200</v>
      </c>
      <c r="S27" s="104">
        <f>R27-'2019-20TxInputUpdate'!W23</f>
        <v>624</v>
      </c>
      <c r="T27" s="107">
        <f>'2019-20TxInputUpdate'!L23</f>
        <v>1900</v>
      </c>
      <c r="U27" t="s">
        <v>141</v>
      </c>
      <c r="V27" s="104">
        <f>SUMIFS(I:I,$B:$B,$U27)</f>
        <v>624</v>
      </c>
      <c r="W27" s="107">
        <f>SUMIFS(J:J,$B:$B,$U27)</f>
        <v>651.88435564959946</v>
      </c>
    </row>
    <row r="28" spans="1:23" x14ac:dyDescent="0.25">
      <c r="A28" s="2" t="s">
        <v>6</v>
      </c>
      <c r="B28" s="2" t="s">
        <v>139</v>
      </c>
      <c r="C28" s="2" t="s">
        <v>40</v>
      </c>
      <c r="D28" s="2" t="s">
        <v>7</v>
      </c>
      <c r="E28" s="9">
        <f t="shared" si="0"/>
        <v>0</v>
      </c>
      <c r="F28" s="10">
        <v>0</v>
      </c>
      <c r="G28" s="10">
        <v>0</v>
      </c>
      <c r="H28" s="11">
        <f t="shared" si="1"/>
        <v>0</v>
      </c>
      <c r="I28" s="101">
        <f t="shared" si="2"/>
        <v>0</v>
      </c>
      <c r="J28" s="101">
        <f t="shared" si="3"/>
        <v>0</v>
      </c>
      <c r="K28" s="2"/>
      <c r="L28" s="2"/>
      <c r="M28" s="2"/>
      <c r="N28"/>
      <c r="Q28" t="str">
        <f>'2019-20TxInputUpdate'!B24</f>
        <v>- Riverside East &amp; Palm Springs</v>
      </c>
      <c r="R28" s="10">
        <f>'2019-20TxInputUpdate'!C24</f>
        <v>2950</v>
      </c>
      <c r="S28" s="104">
        <f>R28-'2019-20TxInputUpdate'!W24</f>
        <v>2816</v>
      </c>
      <c r="T28" s="107">
        <f>'2019-20TxInputUpdate'!L24</f>
        <v>2550</v>
      </c>
      <c r="U28" t="s">
        <v>140</v>
      </c>
      <c r="V28" s="104">
        <f>SUMIFS(I:I,$B:$B,$U28)</f>
        <v>860.47550785677458</v>
      </c>
      <c r="W28" s="107">
        <f>SUMIFS(J:J,$B:$B,$U28)</f>
        <v>1002.2831060838203</v>
      </c>
    </row>
    <row r="29" spans="1:23" x14ac:dyDescent="0.25">
      <c r="A29" s="2" t="s">
        <v>6</v>
      </c>
      <c r="B29" s="2" t="s">
        <v>140</v>
      </c>
      <c r="C29" s="2" t="s">
        <v>41</v>
      </c>
      <c r="D29" s="2" t="s">
        <v>7</v>
      </c>
      <c r="E29" s="9">
        <f t="shared" si="0"/>
        <v>42.001987742679454</v>
      </c>
      <c r="F29" s="10">
        <v>42.001987742679454</v>
      </c>
      <c r="G29" s="10">
        <v>0</v>
      </c>
      <c r="H29" s="11">
        <f t="shared" si="1"/>
        <v>42.001987742679454</v>
      </c>
      <c r="I29" s="101">
        <f t="shared" si="2"/>
        <v>42.001987742679454</v>
      </c>
      <c r="J29" s="101">
        <f t="shared" si="3"/>
        <v>0</v>
      </c>
      <c r="K29" s="2"/>
      <c r="L29" s="2"/>
      <c r="M29" s="2"/>
      <c r="N29"/>
    </row>
    <row r="30" spans="1:23" x14ac:dyDescent="0.25">
      <c r="A30" s="2" t="s">
        <v>6</v>
      </c>
      <c r="B30" s="2" t="s">
        <v>141</v>
      </c>
      <c r="C30" s="2" t="s">
        <v>42</v>
      </c>
      <c r="D30" s="2" t="s">
        <v>7</v>
      </c>
      <c r="E30" s="9">
        <f t="shared" si="0"/>
        <v>0</v>
      </c>
      <c r="F30" s="10">
        <v>0</v>
      </c>
      <c r="G30" s="10">
        <v>0</v>
      </c>
      <c r="H30" s="11">
        <f t="shared" si="1"/>
        <v>0</v>
      </c>
      <c r="I30" s="101">
        <f t="shared" si="2"/>
        <v>0</v>
      </c>
      <c r="J30" s="101">
        <f t="shared" si="3"/>
        <v>0</v>
      </c>
      <c r="K30" s="2"/>
      <c r="L30" s="2"/>
      <c r="M30" s="2"/>
      <c r="N30"/>
    </row>
    <row r="31" spans="1:23" x14ac:dyDescent="0.25">
      <c r="A31" s="2" t="s">
        <v>6</v>
      </c>
      <c r="B31" s="2" t="s">
        <v>142</v>
      </c>
      <c r="C31" s="2" t="s">
        <v>43</v>
      </c>
      <c r="D31" s="2" t="s">
        <v>7</v>
      </c>
      <c r="E31" s="9">
        <f t="shared" si="0"/>
        <v>0</v>
      </c>
      <c r="F31" s="10">
        <v>0</v>
      </c>
      <c r="G31" s="10">
        <v>0</v>
      </c>
      <c r="H31" s="11">
        <f t="shared" si="1"/>
        <v>0</v>
      </c>
      <c r="I31" s="101">
        <f t="shared" si="2"/>
        <v>0</v>
      </c>
      <c r="J31" s="101">
        <f t="shared" si="3"/>
        <v>0</v>
      </c>
      <c r="K31" s="2"/>
      <c r="L31" s="2"/>
      <c r="M31" s="2"/>
      <c r="N31"/>
    </row>
    <row r="32" spans="1:23" x14ac:dyDescent="0.25">
      <c r="A32" s="2" t="s">
        <v>6</v>
      </c>
      <c r="B32" s="2" t="s">
        <v>141</v>
      </c>
      <c r="C32" s="2" t="s">
        <v>44</v>
      </c>
      <c r="D32" s="2" t="s">
        <v>8</v>
      </c>
      <c r="E32" s="9">
        <f t="shared" si="0"/>
        <v>0</v>
      </c>
      <c r="F32" s="10">
        <v>0</v>
      </c>
      <c r="G32" s="10">
        <v>0</v>
      </c>
      <c r="H32" s="11">
        <f t="shared" si="1"/>
        <v>0</v>
      </c>
      <c r="I32" s="101">
        <f t="shared" si="2"/>
        <v>0</v>
      </c>
      <c r="J32" s="101">
        <f t="shared" si="3"/>
        <v>0</v>
      </c>
      <c r="K32" s="2"/>
      <c r="L32" s="2"/>
      <c r="M32" s="2"/>
      <c r="N32"/>
    </row>
    <row r="33" spans="1:14" x14ac:dyDescent="0.25">
      <c r="A33" s="2" t="s">
        <v>6</v>
      </c>
      <c r="B33" s="2" t="s">
        <v>132</v>
      </c>
      <c r="C33" s="2" t="s">
        <v>45</v>
      </c>
      <c r="D33" s="2" t="s">
        <v>8</v>
      </c>
      <c r="E33" s="9">
        <f t="shared" si="0"/>
        <v>0</v>
      </c>
      <c r="F33" s="10">
        <v>0</v>
      </c>
      <c r="G33" s="10">
        <v>0</v>
      </c>
      <c r="H33" s="11">
        <f t="shared" si="1"/>
        <v>0</v>
      </c>
      <c r="I33" s="101">
        <f t="shared" si="2"/>
        <v>0</v>
      </c>
      <c r="J33" s="101">
        <f t="shared" si="3"/>
        <v>0</v>
      </c>
      <c r="K33" s="2"/>
      <c r="L33" s="2"/>
      <c r="M33" s="2"/>
      <c r="N33"/>
    </row>
    <row r="34" spans="1:14" x14ac:dyDescent="0.25">
      <c r="A34" s="2" t="s">
        <v>6</v>
      </c>
      <c r="B34" s="2" t="s">
        <v>132</v>
      </c>
      <c r="C34" s="2" t="s">
        <v>46</v>
      </c>
      <c r="D34" s="2" t="s">
        <v>8</v>
      </c>
      <c r="E34" s="9">
        <f t="shared" si="0"/>
        <v>601.31526908236697</v>
      </c>
      <c r="F34" s="10">
        <v>320.5714843520679</v>
      </c>
      <c r="G34" s="10">
        <v>280.74378473029913</v>
      </c>
      <c r="H34" s="11">
        <f t="shared" si="1"/>
        <v>601.31526908236697</v>
      </c>
      <c r="I34" s="102">
        <f>F34+G34</f>
        <v>601.31526908236697</v>
      </c>
      <c r="J34" s="102">
        <f>G34-G34</f>
        <v>0</v>
      </c>
      <c r="K34" s="2"/>
      <c r="L34" s="2"/>
      <c r="M34" s="2"/>
      <c r="N34"/>
    </row>
    <row r="35" spans="1:14" x14ac:dyDescent="0.25">
      <c r="A35" s="2" t="s">
        <v>6</v>
      </c>
      <c r="B35" s="2" t="s">
        <v>132</v>
      </c>
      <c r="C35" s="2" t="s">
        <v>47</v>
      </c>
      <c r="D35" s="2" t="s">
        <v>8</v>
      </c>
      <c r="E35" s="9">
        <f t="shared" si="0"/>
        <v>0</v>
      </c>
      <c r="F35" s="10">
        <v>0</v>
      </c>
      <c r="G35" s="10">
        <v>0</v>
      </c>
      <c r="H35" s="11">
        <f t="shared" si="1"/>
        <v>0</v>
      </c>
      <c r="I35" s="101">
        <f t="shared" si="2"/>
        <v>0</v>
      </c>
      <c r="J35" s="101">
        <f t="shared" si="3"/>
        <v>0</v>
      </c>
      <c r="K35" s="2"/>
      <c r="L35" s="2"/>
      <c r="M35" s="2"/>
      <c r="N35"/>
    </row>
    <row r="36" spans="1:14" x14ac:dyDescent="0.25">
      <c r="A36" s="2" t="s">
        <v>6</v>
      </c>
      <c r="B36" s="2" t="s">
        <v>138</v>
      </c>
      <c r="C36" s="2" t="s">
        <v>48</v>
      </c>
      <c r="D36" s="2" t="s">
        <v>8</v>
      </c>
      <c r="E36" s="9">
        <f t="shared" si="0"/>
        <v>0</v>
      </c>
      <c r="F36" s="10">
        <v>0</v>
      </c>
      <c r="G36" s="10">
        <v>0</v>
      </c>
      <c r="H36" s="11">
        <f t="shared" si="1"/>
        <v>0</v>
      </c>
      <c r="I36" s="101">
        <f t="shared" si="2"/>
        <v>0</v>
      </c>
      <c r="J36" s="101">
        <f t="shared" si="3"/>
        <v>0</v>
      </c>
      <c r="K36" s="2"/>
      <c r="L36" s="2"/>
      <c r="M36" s="2"/>
      <c r="N36"/>
    </row>
    <row r="37" spans="1:14" x14ac:dyDescent="0.25">
      <c r="A37" s="2" t="s">
        <v>6</v>
      </c>
      <c r="B37" s="2" t="s">
        <v>138</v>
      </c>
      <c r="C37" s="2" t="s">
        <v>49</v>
      </c>
      <c r="D37" s="2" t="s">
        <v>8</v>
      </c>
      <c r="E37" s="9">
        <f t="shared" si="0"/>
        <v>0</v>
      </c>
      <c r="F37" s="10">
        <v>0</v>
      </c>
      <c r="G37" s="10">
        <v>0</v>
      </c>
      <c r="H37" s="11">
        <f t="shared" si="1"/>
        <v>0</v>
      </c>
      <c r="I37" s="101">
        <f t="shared" si="2"/>
        <v>0</v>
      </c>
      <c r="J37" s="101">
        <f t="shared" si="3"/>
        <v>0</v>
      </c>
      <c r="K37" s="2"/>
      <c r="L37" s="2"/>
      <c r="M37" s="2"/>
      <c r="N37"/>
    </row>
    <row r="38" spans="1:14" x14ac:dyDescent="0.25">
      <c r="A38" s="2" t="s">
        <v>6</v>
      </c>
      <c r="B38" s="2" t="s">
        <v>138</v>
      </c>
      <c r="C38" s="2" t="s">
        <v>50</v>
      </c>
      <c r="D38" s="2" t="s">
        <v>7</v>
      </c>
      <c r="E38" s="9">
        <f t="shared" si="0"/>
        <v>0</v>
      </c>
      <c r="F38" s="10">
        <v>0</v>
      </c>
      <c r="G38" s="10">
        <v>0</v>
      </c>
      <c r="H38" s="11">
        <f t="shared" si="1"/>
        <v>0</v>
      </c>
      <c r="I38" s="101">
        <f t="shared" si="2"/>
        <v>0</v>
      </c>
      <c r="J38" s="101">
        <f t="shared" si="3"/>
        <v>0</v>
      </c>
      <c r="K38" s="2"/>
      <c r="L38" s="2"/>
      <c r="M38" s="2"/>
      <c r="N38"/>
    </row>
    <row r="39" spans="1:14" x14ac:dyDescent="0.25">
      <c r="A39" s="2" t="s">
        <v>6</v>
      </c>
      <c r="B39" s="2" t="s">
        <v>140</v>
      </c>
      <c r="C39" s="2" t="s">
        <v>51</v>
      </c>
      <c r="D39" s="2" t="s">
        <v>8</v>
      </c>
      <c r="E39" s="9">
        <f t="shared" si="0"/>
        <v>0</v>
      </c>
      <c r="F39" s="10">
        <v>0</v>
      </c>
      <c r="G39" s="10">
        <v>0</v>
      </c>
      <c r="H39" s="11">
        <f t="shared" si="1"/>
        <v>0</v>
      </c>
      <c r="I39" s="101">
        <f t="shared" si="2"/>
        <v>0</v>
      </c>
      <c r="J39" s="101">
        <f t="shared" si="3"/>
        <v>0</v>
      </c>
      <c r="K39" s="2"/>
      <c r="L39" s="2"/>
      <c r="M39" s="2"/>
      <c r="N39"/>
    </row>
    <row r="40" spans="1:14" x14ac:dyDescent="0.25">
      <c r="A40" s="2" t="s">
        <v>6</v>
      </c>
      <c r="B40" s="2" t="s">
        <v>140</v>
      </c>
      <c r="C40" s="2" t="s">
        <v>52</v>
      </c>
      <c r="D40" s="2" t="s">
        <v>8</v>
      </c>
      <c r="E40" s="9">
        <f t="shared" si="0"/>
        <v>0</v>
      </c>
      <c r="F40" s="10">
        <v>0</v>
      </c>
      <c r="G40" s="10">
        <v>0</v>
      </c>
      <c r="H40" s="11">
        <f t="shared" si="1"/>
        <v>0</v>
      </c>
      <c r="I40" s="101">
        <f t="shared" si="2"/>
        <v>0</v>
      </c>
      <c r="J40" s="101">
        <f t="shared" si="3"/>
        <v>0</v>
      </c>
      <c r="K40" s="2"/>
      <c r="L40" s="2"/>
      <c r="M40" s="2"/>
      <c r="N40"/>
    </row>
    <row r="41" spans="1:14" x14ac:dyDescent="0.25">
      <c r="A41" s="2" t="s">
        <v>6</v>
      </c>
      <c r="B41" s="2" t="s">
        <v>140</v>
      </c>
      <c r="C41" s="2" t="s">
        <v>53</v>
      </c>
      <c r="D41" s="2" t="s">
        <v>8</v>
      </c>
      <c r="E41" s="9">
        <f t="shared" si="0"/>
        <v>499.99994263759083</v>
      </c>
      <c r="F41" s="10">
        <v>499.99994263759083</v>
      </c>
      <c r="G41" s="10">
        <v>0</v>
      </c>
      <c r="H41" s="11">
        <f t="shared" si="1"/>
        <v>499.99994263759083</v>
      </c>
      <c r="I41" s="101">
        <f t="shared" si="2"/>
        <v>499.99994263759083</v>
      </c>
      <c r="J41" s="101">
        <f t="shared" si="3"/>
        <v>0</v>
      </c>
      <c r="K41" s="2"/>
      <c r="L41" s="2"/>
      <c r="M41" s="2"/>
      <c r="N41"/>
    </row>
    <row r="42" spans="1:14" x14ac:dyDescent="0.25">
      <c r="A42" s="2" t="s">
        <v>4</v>
      </c>
      <c r="B42" s="2" t="s">
        <v>142</v>
      </c>
      <c r="C42" s="2" t="s">
        <v>54</v>
      </c>
      <c r="D42" s="2" t="s">
        <v>7</v>
      </c>
      <c r="E42" s="9">
        <f t="shared" si="0"/>
        <v>0</v>
      </c>
      <c r="F42" s="10">
        <v>0</v>
      </c>
      <c r="G42" s="10">
        <v>0</v>
      </c>
      <c r="H42" s="11">
        <f t="shared" si="1"/>
        <v>0</v>
      </c>
      <c r="I42" s="101">
        <f t="shared" si="2"/>
        <v>0</v>
      </c>
      <c r="J42" s="101">
        <f t="shared" si="3"/>
        <v>0</v>
      </c>
      <c r="K42" s="2"/>
      <c r="L42" s="2"/>
      <c r="M42" s="2"/>
      <c r="N42"/>
    </row>
    <row r="43" spans="1:14" x14ac:dyDescent="0.25">
      <c r="A43" s="2" t="s">
        <v>5</v>
      </c>
      <c r="B43" s="2" t="s">
        <v>141</v>
      </c>
      <c r="C43" s="2" t="s">
        <v>55</v>
      </c>
      <c r="D43" s="2" t="s">
        <v>7</v>
      </c>
      <c r="E43" s="9">
        <f t="shared" si="0"/>
        <v>1275.8843556495995</v>
      </c>
      <c r="F43" s="10">
        <v>707.93668774450714</v>
      </c>
      <c r="G43" s="10">
        <v>567.94766790509243</v>
      </c>
      <c r="H43" s="11">
        <f t="shared" si="1"/>
        <v>1275.8843556495995</v>
      </c>
      <c r="I43" s="102">
        <f>S27</f>
        <v>624</v>
      </c>
      <c r="J43" s="102">
        <f>G43+F43-S27</f>
        <v>651.88435564959946</v>
      </c>
      <c r="K43" s="2"/>
      <c r="L43" s="2"/>
      <c r="M43" s="2"/>
      <c r="N43"/>
    </row>
    <row r="44" spans="1:14" x14ac:dyDescent="0.25">
      <c r="A44" s="2" t="s">
        <v>5</v>
      </c>
      <c r="B44" s="2" t="s">
        <v>132</v>
      </c>
      <c r="C44" s="2" t="s">
        <v>56</v>
      </c>
      <c r="D44" s="2" t="s">
        <v>7</v>
      </c>
      <c r="E44" s="9">
        <f t="shared" si="0"/>
        <v>423.99999999999989</v>
      </c>
      <c r="F44" s="10">
        <v>423.99999999999989</v>
      </c>
      <c r="G44" s="10">
        <v>0</v>
      </c>
      <c r="H44" s="11">
        <f t="shared" si="1"/>
        <v>423.99999999999989</v>
      </c>
      <c r="I44" s="101">
        <f t="shared" si="2"/>
        <v>423.99999999999989</v>
      </c>
      <c r="J44" s="101">
        <f t="shared" si="3"/>
        <v>0</v>
      </c>
      <c r="K44" s="2"/>
      <c r="L44" s="2"/>
      <c r="M44" s="2"/>
      <c r="N44"/>
    </row>
    <row r="45" spans="1:14" x14ac:dyDescent="0.25">
      <c r="A45" s="2" t="s">
        <v>5</v>
      </c>
      <c r="B45" s="2" t="s">
        <v>132</v>
      </c>
      <c r="C45" s="2" t="s">
        <v>57</v>
      </c>
      <c r="D45" s="2" t="s">
        <v>8</v>
      </c>
      <c r="E45" s="9">
        <f t="shared" si="0"/>
        <v>0</v>
      </c>
      <c r="F45" s="10">
        <v>0</v>
      </c>
      <c r="G45" s="10">
        <v>0</v>
      </c>
      <c r="H45" s="11">
        <f t="shared" si="1"/>
        <v>0</v>
      </c>
      <c r="I45" s="101">
        <f t="shared" si="2"/>
        <v>0</v>
      </c>
      <c r="J45" s="101">
        <f t="shared" si="3"/>
        <v>0</v>
      </c>
      <c r="K45" s="2"/>
      <c r="L45" s="2"/>
      <c r="M45" s="2"/>
      <c r="N45"/>
    </row>
    <row r="46" spans="1:14" x14ac:dyDescent="0.25">
      <c r="A46" s="2" t="s">
        <v>5</v>
      </c>
      <c r="B46" s="2" t="s">
        <v>138</v>
      </c>
      <c r="C46" s="2" t="s">
        <v>58</v>
      </c>
      <c r="D46" s="2" t="s">
        <v>7</v>
      </c>
      <c r="E46" s="9">
        <f t="shared" si="0"/>
        <v>0</v>
      </c>
      <c r="F46" s="10">
        <v>0</v>
      </c>
      <c r="G46" s="10">
        <v>0</v>
      </c>
      <c r="H46" s="11">
        <f t="shared" si="1"/>
        <v>0</v>
      </c>
      <c r="I46" s="101">
        <f t="shared" si="2"/>
        <v>0</v>
      </c>
      <c r="J46" s="101">
        <f t="shared" si="3"/>
        <v>0</v>
      </c>
      <c r="K46" s="2"/>
      <c r="L46" s="2"/>
      <c r="M46" s="2"/>
      <c r="N46"/>
    </row>
    <row r="47" spans="1:14" x14ac:dyDescent="0.25">
      <c r="A47" s="2" t="s">
        <v>9</v>
      </c>
      <c r="B47" s="2" t="s">
        <v>142</v>
      </c>
      <c r="C47" s="2" t="s">
        <v>59</v>
      </c>
      <c r="D47" s="2" t="s">
        <v>7</v>
      </c>
      <c r="E47" s="9">
        <f t="shared" si="0"/>
        <v>0</v>
      </c>
      <c r="F47" s="10">
        <v>0</v>
      </c>
      <c r="G47" s="10">
        <v>0</v>
      </c>
      <c r="H47" s="11">
        <f t="shared" si="1"/>
        <v>0</v>
      </c>
      <c r="I47" s="101">
        <f t="shared" si="2"/>
        <v>0</v>
      </c>
      <c r="J47" s="101">
        <f t="shared" si="3"/>
        <v>0</v>
      </c>
      <c r="K47" s="2"/>
      <c r="L47" s="14">
        <v>0.1586265748721937</v>
      </c>
      <c r="M47" s="14">
        <v>0.84137342512780622</v>
      </c>
      <c r="N47"/>
    </row>
    <row r="48" spans="1:14" x14ac:dyDescent="0.25">
      <c r="A48" s="2" t="s">
        <v>6</v>
      </c>
      <c r="B48" s="2" t="s">
        <v>142</v>
      </c>
      <c r="C48" s="2" t="s">
        <v>60</v>
      </c>
      <c r="D48" s="2" t="s">
        <v>7</v>
      </c>
      <c r="E48" s="9">
        <f t="shared" si="0"/>
        <v>0</v>
      </c>
      <c r="F48" s="10">
        <v>0</v>
      </c>
      <c r="G48" s="10">
        <v>0</v>
      </c>
      <c r="H48" s="11">
        <f t="shared" si="1"/>
        <v>0</v>
      </c>
      <c r="I48" s="101">
        <f t="shared" si="2"/>
        <v>0</v>
      </c>
      <c r="J48" s="101">
        <f t="shared" si="3"/>
        <v>0</v>
      </c>
      <c r="K48" s="2"/>
      <c r="L48" s="2"/>
      <c r="M48" s="2"/>
      <c r="N48"/>
    </row>
    <row r="49" spans="1:14" x14ac:dyDescent="0.25">
      <c r="A49" s="2" t="s">
        <v>3</v>
      </c>
      <c r="B49" s="2" t="s">
        <v>142</v>
      </c>
      <c r="C49" s="2" t="s">
        <v>61</v>
      </c>
      <c r="D49" s="2" t="s">
        <v>7</v>
      </c>
      <c r="E49" s="9">
        <f t="shared" si="0"/>
        <v>0</v>
      </c>
      <c r="F49" s="10">
        <v>0</v>
      </c>
      <c r="G49" s="10">
        <v>0</v>
      </c>
      <c r="H49" s="11">
        <f t="shared" si="1"/>
        <v>0</v>
      </c>
      <c r="I49" s="101">
        <f t="shared" si="2"/>
        <v>0</v>
      </c>
      <c r="J49" s="101">
        <f t="shared" si="3"/>
        <v>0</v>
      </c>
      <c r="K49" s="2"/>
      <c r="L49" s="2"/>
      <c r="M49" s="2"/>
      <c r="N49"/>
    </row>
    <row r="50" spans="1:14" x14ac:dyDescent="0.25">
      <c r="C50" s="1" t="s">
        <v>62</v>
      </c>
      <c r="E50" s="15">
        <f>F50+G50</f>
        <v>11965.825290876837</v>
      </c>
      <c r="F50" s="16">
        <v>8109.6398039967689</v>
      </c>
      <c r="G50" s="16">
        <v>3856.1854868800692</v>
      </c>
      <c r="H50" s="15"/>
      <c r="I50" s="16"/>
      <c r="J50" s="16"/>
      <c r="K50"/>
      <c r="N50"/>
    </row>
    <row r="51" spans="1:14" x14ac:dyDescent="0.25">
      <c r="C51" s="1" t="s">
        <v>65</v>
      </c>
      <c r="E51" s="15">
        <f>SUM(E3:E49)</f>
        <v>11965.825290876839</v>
      </c>
      <c r="F51" s="16">
        <f t="shared" ref="F51:J51" si="5">SUM(F3:F49)</f>
        <v>8109.6398039967689</v>
      </c>
      <c r="G51" s="16">
        <f t="shared" si="5"/>
        <v>3856.1854868800692</v>
      </c>
      <c r="H51" s="15">
        <f>SUM(H3:H49)</f>
        <v>11965.825290876839</v>
      </c>
      <c r="I51" s="16">
        <f t="shared" si="5"/>
        <v>7304.1637948987409</v>
      </c>
      <c r="J51" s="16">
        <f t="shared" si="5"/>
        <v>4661.6614959780982</v>
      </c>
      <c r="K51"/>
      <c r="N51"/>
    </row>
    <row r="52" spans="1:14" x14ac:dyDescent="0.25">
      <c r="K52"/>
      <c r="N52"/>
    </row>
    <row r="53" spans="1:14" x14ac:dyDescent="0.25">
      <c r="A53" t="s">
        <v>1</v>
      </c>
      <c r="C53" t="s">
        <v>1</v>
      </c>
      <c r="E53" s="17">
        <f>SUMIFS(E$3:E$49,$C$3:$C$49,$C53)</f>
        <v>2104.1999999999998</v>
      </c>
      <c r="F53" s="10">
        <f t="shared" ref="F53:J53" si="6">SUMIFS(F$3:F$49,$C$3:$C$49,$C53)</f>
        <v>2104.1999999999998</v>
      </c>
      <c r="G53" s="10">
        <f t="shared" si="6"/>
        <v>0</v>
      </c>
      <c r="H53" s="17">
        <f>SUMIFS(H$3:H$49,$C$3:$C$49,$C53)</f>
        <v>2104.1999999999998</v>
      </c>
      <c r="I53" s="10">
        <f t="shared" si="6"/>
        <v>2104.1999999999998</v>
      </c>
      <c r="J53" s="10">
        <f t="shared" si="6"/>
        <v>0</v>
      </c>
      <c r="K53"/>
      <c r="N53"/>
    </row>
    <row r="54" spans="1:14" x14ac:dyDescent="0.25">
      <c r="A54" t="s">
        <v>2</v>
      </c>
      <c r="C54" t="s">
        <v>2</v>
      </c>
      <c r="E54" s="18">
        <f t="shared" ref="E54:J62" si="7">SUMIFS(E$3:E$49,$C$3:$C$49,$C54)</f>
        <v>0</v>
      </c>
      <c r="F54" s="10">
        <f t="shared" si="7"/>
        <v>0</v>
      </c>
      <c r="G54" s="10">
        <f t="shared" si="7"/>
        <v>0</v>
      </c>
      <c r="H54" s="18">
        <f t="shared" si="7"/>
        <v>0</v>
      </c>
      <c r="I54" s="10">
        <f t="shared" si="7"/>
        <v>0</v>
      </c>
      <c r="J54" s="10">
        <f t="shared" si="7"/>
        <v>0</v>
      </c>
      <c r="K54"/>
      <c r="N54"/>
    </row>
    <row r="55" spans="1:14" x14ac:dyDescent="0.25">
      <c r="A55" t="s">
        <v>9</v>
      </c>
      <c r="C55" t="s">
        <v>66</v>
      </c>
      <c r="E55" s="9">
        <f t="shared" si="7"/>
        <v>5915.9069595573674</v>
      </c>
      <c r="F55" s="19">
        <f t="shared" si="7"/>
        <v>3711.5585586029124</v>
      </c>
      <c r="G55" s="20">
        <f t="shared" si="7"/>
        <v>2204.3484009544554</v>
      </c>
      <c r="H55" s="9">
        <f t="shared" si="7"/>
        <v>5915.9069595573674</v>
      </c>
      <c r="I55" s="19">
        <f t="shared" si="7"/>
        <v>2709.2754525190921</v>
      </c>
      <c r="J55" s="20">
        <f t="shared" si="7"/>
        <v>3206.6315070382757</v>
      </c>
      <c r="K55"/>
      <c r="N55"/>
    </row>
    <row r="56" spans="1:14" x14ac:dyDescent="0.25">
      <c r="A56" t="s">
        <v>67</v>
      </c>
      <c r="C56" t="s">
        <v>68</v>
      </c>
      <c r="D56" t="s">
        <v>7</v>
      </c>
      <c r="E56" s="9">
        <f>SUMIFS(E$3:E$49,$C$3:$C$49,$C56,$D$3:$D$49,$D56)</f>
        <v>1144.518763949914</v>
      </c>
      <c r="F56" s="21">
        <f t="shared" ref="F56:J57" si="8">SUMIFS(F$3:F$49,$C$3:$C$49,$C56,$D$3:$D$49,$D56)</f>
        <v>341.37313065969141</v>
      </c>
      <c r="G56" s="22">
        <f t="shared" si="8"/>
        <v>803.1456332902228</v>
      </c>
      <c r="H56" s="9">
        <f>SUMIFS(H$3:H$49,$C$3:$C$49,$C56,$D$3:$D$49,$D56)</f>
        <v>1144.518763949914</v>
      </c>
      <c r="I56" s="21">
        <f t="shared" si="8"/>
        <v>341.37313065969141</v>
      </c>
      <c r="J56" s="22">
        <f t="shared" si="8"/>
        <v>803.1456332902228</v>
      </c>
      <c r="K56"/>
      <c r="N56"/>
    </row>
    <row r="57" spans="1:14" x14ac:dyDescent="0.25">
      <c r="A57" t="s">
        <v>69</v>
      </c>
      <c r="C57" t="s">
        <v>68</v>
      </c>
      <c r="D57" t="s">
        <v>8</v>
      </c>
      <c r="E57" s="9">
        <f>SUMIFS(E$3:E$49,$C$3:$C$49,$C57,$D$3:$D$49,$D57)</f>
        <v>1101.3152117199579</v>
      </c>
      <c r="F57" s="23">
        <f t="shared" si="8"/>
        <v>820.57142698965868</v>
      </c>
      <c r="G57" s="24">
        <f t="shared" si="8"/>
        <v>280.74378473029913</v>
      </c>
      <c r="H57" s="9">
        <f>SUMIFS(H$3:H$49,$C$3:$C$49,$C57,$D$3:$D$49,$D57)</f>
        <v>1101.3152117199579</v>
      </c>
      <c r="I57" s="23">
        <f t="shared" si="8"/>
        <v>1101.3152117199579</v>
      </c>
      <c r="J57" s="24">
        <f t="shared" si="8"/>
        <v>0</v>
      </c>
      <c r="K57"/>
      <c r="N57"/>
    </row>
    <row r="58" spans="1:14" x14ac:dyDescent="0.25">
      <c r="A58" t="s">
        <v>70</v>
      </c>
      <c r="C58" t="s">
        <v>68</v>
      </c>
      <c r="E58" s="9">
        <f t="shared" si="7"/>
        <v>2245.833975669872</v>
      </c>
      <c r="F58" s="10">
        <f t="shared" si="7"/>
        <v>1161.9445576493501</v>
      </c>
      <c r="G58" s="10">
        <f t="shared" si="7"/>
        <v>1083.889418020522</v>
      </c>
      <c r="H58" s="9">
        <f t="shared" si="7"/>
        <v>2245.833975669872</v>
      </c>
      <c r="I58" s="10">
        <f t="shared" si="7"/>
        <v>1442.6883423796494</v>
      </c>
      <c r="J58" s="10">
        <f t="shared" si="7"/>
        <v>803.1456332902228</v>
      </c>
      <c r="K58"/>
      <c r="N58"/>
    </row>
    <row r="59" spans="1:14" x14ac:dyDescent="0.25">
      <c r="A59" t="s">
        <v>5</v>
      </c>
      <c r="C59" t="s">
        <v>71</v>
      </c>
      <c r="E59" s="9">
        <f t="shared" si="7"/>
        <v>1699.8843556495995</v>
      </c>
      <c r="F59" s="19">
        <f t="shared" si="7"/>
        <v>1131.936687744507</v>
      </c>
      <c r="G59" s="20">
        <f t="shared" si="7"/>
        <v>567.94766790509243</v>
      </c>
      <c r="H59" s="9">
        <f t="shared" si="7"/>
        <v>1699.8843556495995</v>
      </c>
      <c r="I59" s="19">
        <f t="shared" si="7"/>
        <v>1048</v>
      </c>
      <c r="J59" s="20">
        <f t="shared" si="7"/>
        <v>651.88435564959946</v>
      </c>
      <c r="K59"/>
      <c r="N59"/>
    </row>
    <row r="60" spans="1:14" x14ac:dyDescent="0.25">
      <c r="A60" t="s">
        <v>72</v>
      </c>
      <c r="C60" t="s">
        <v>72</v>
      </c>
      <c r="E60" s="9">
        <f t="shared" ref="E60:G60" si="9">SUM(E61:E62)</f>
        <v>0</v>
      </c>
      <c r="F60" s="19">
        <f t="shared" si="9"/>
        <v>0</v>
      </c>
      <c r="G60" s="20">
        <f t="shared" si="9"/>
        <v>0</v>
      </c>
      <c r="H60" s="9">
        <f t="shared" ref="H60:J60" si="10">SUM(H61:H62)</f>
        <v>0</v>
      </c>
      <c r="I60" s="19">
        <f t="shared" si="10"/>
        <v>0</v>
      </c>
      <c r="J60" s="20">
        <f t="shared" si="10"/>
        <v>0</v>
      </c>
      <c r="K60"/>
      <c r="N60"/>
    </row>
    <row r="61" spans="1:14" x14ac:dyDescent="0.25">
      <c r="A61" t="s">
        <v>143</v>
      </c>
      <c r="C61" t="s">
        <v>73</v>
      </c>
      <c r="E61" s="9">
        <f t="shared" si="7"/>
        <v>0</v>
      </c>
      <c r="F61" s="10">
        <f t="shared" si="7"/>
        <v>0</v>
      </c>
      <c r="G61" s="10">
        <f t="shared" si="7"/>
        <v>0</v>
      </c>
      <c r="H61" s="9">
        <f t="shared" si="7"/>
        <v>0</v>
      </c>
      <c r="I61" s="10">
        <f t="shared" si="7"/>
        <v>0</v>
      </c>
      <c r="J61" s="10">
        <f t="shared" si="7"/>
        <v>0</v>
      </c>
      <c r="K61"/>
      <c r="N61"/>
    </row>
    <row r="62" spans="1:14" x14ac:dyDescent="0.25">
      <c r="A62" t="s">
        <v>144</v>
      </c>
      <c r="C62" t="s">
        <v>74</v>
      </c>
      <c r="E62" s="9">
        <f t="shared" si="7"/>
        <v>0</v>
      </c>
      <c r="F62" s="10">
        <f t="shared" si="7"/>
        <v>0</v>
      </c>
      <c r="G62" s="10">
        <f t="shared" si="7"/>
        <v>0</v>
      </c>
      <c r="H62" s="9">
        <f t="shared" si="7"/>
        <v>0</v>
      </c>
      <c r="I62" s="10">
        <f t="shared" si="7"/>
        <v>0</v>
      </c>
      <c r="J62" s="10">
        <f t="shared" si="7"/>
        <v>0</v>
      </c>
      <c r="K62"/>
      <c r="N62"/>
    </row>
    <row r="63" spans="1:14" x14ac:dyDescent="0.25">
      <c r="C63" s="1" t="s">
        <v>65</v>
      </c>
      <c r="E63" s="25">
        <f>SUM(E53:E57,E59,E61,E62)</f>
        <v>11965.825290876837</v>
      </c>
      <c r="F63" s="26">
        <f t="shared" ref="F63:G63" si="11">SUM(F53:F57,F59,F61,F62)</f>
        <v>8109.6398039967698</v>
      </c>
      <c r="G63" s="26">
        <f t="shared" si="11"/>
        <v>3856.1854868800692</v>
      </c>
      <c r="H63" s="25">
        <f>SUM(H53:H57,H59,H61,H62)</f>
        <v>11965.825290876837</v>
      </c>
      <c r="I63" s="26">
        <f t="shared" ref="I63:J63" si="12">SUM(I53:I57,I59,I61,I62)</f>
        <v>7304.1637948987409</v>
      </c>
      <c r="J63" s="26">
        <f t="shared" si="12"/>
        <v>4661.6614959780982</v>
      </c>
      <c r="K63"/>
      <c r="N63"/>
    </row>
    <row r="66" spans="4:17" x14ac:dyDescent="0.25">
      <c r="E66" s="27" t="s">
        <v>91</v>
      </c>
      <c r="F66" s="27" t="s">
        <v>92</v>
      </c>
      <c r="G66" s="27" t="s">
        <v>93</v>
      </c>
      <c r="H66" s="27" t="s">
        <v>94</v>
      </c>
      <c r="I66" s="27" t="s">
        <v>95</v>
      </c>
      <c r="J66" s="27" t="s">
        <v>96</v>
      </c>
      <c r="K66" s="27" t="s">
        <v>97</v>
      </c>
      <c r="L66" s="27" t="s">
        <v>98</v>
      </c>
      <c r="M66" s="27" t="s">
        <v>99</v>
      </c>
      <c r="N66" s="27" t="s">
        <v>100</v>
      </c>
    </row>
    <row r="67" spans="4:17" x14ac:dyDescent="0.25">
      <c r="D67" t="s">
        <v>63</v>
      </c>
      <c r="E67" s="28">
        <f>E53</f>
        <v>2104.1999999999998</v>
      </c>
      <c r="F67" s="28">
        <f>H53</f>
        <v>2104.1999999999998</v>
      </c>
      <c r="K67"/>
      <c r="N67"/>
    </row>
    <row r="68" spans="4:17" x14ac:dyDescent="0.25">
      <c r="D68" t="s">
        <v>64</v>
      </c>
      <c r="E68" s="28">
        <f>E54</f>
        <v>0</v>
      </c>
      <c r="F68" s="28">
        <f>H54</f>
        <v>0</v>
      </c>
      <c r="K68"/>
      <c r="N68"/>
      <c r="O68" s="27"/>
      <c r="P68" s="27"/>
      <c r="Q68" s="27"/>
    </row>
    <row r="69" spans="4:17" x14ac:dyDescent="0.25">
      <c r="D69" t="s">
        <v>75</v>
      </c>
      <c r="E69"/>
      <c r="G69" s="28">
        <f>F55</f>
        <v>3711.5585586029124</v>
      </c>
      <c r="H69" s="28">
        <f>I55</f>
        <v>2709.2754525190921</v>
      </c>
      <c r="I69" s="28">
        <f>F56</f>
        <v>341.37313065969141</v>
      </c>
      <c r="J69" s="28">
        <f>I56</f>
        <v>341.37313065969141</v>
      </c>
      <c r="K69" s="28">
        <f>F59</f>
        <v>1131.936687744507</v>
      </c>
      <c r="L69" s="28">
        <f>I59</f>
        <v>1048</v>
      </c>
      <c r="M69" s="28">
        <f>F60</f>
        <v>0</v>
      </c>
      <c r="N69" s="28">
        <f>I60</f>
        <v>0</v>
      </c>
    </row>
    <row r="70" spans="4:17" x14ac:dyDescent="0.25">
      <c r="D70" t="s">
        <v>76</v>
      </c>
      <c r="E70"/>
      <c r="G70" s="28">
        <f>G55</f>
        <v>2204.3484009544554</v>
      </c>
      <c r="H70" s="28">
        <f>J55</f>
        <v>3206.6315070382757</v>
      </c>
      <c r="I70" s="28">
        <f>G56</f>
        <v>803.1456332902228</v>
      </c>
      <c r="J70" s="28">
        <f>J56</f>
        <v>803.1456332902228</v>
      </c>
      <c r="K70" s="28">
        <f>G59</f>
        <v>567.94766790509243</v>
      </c>
      <c r="L70" s="28">
        <f>J59</f>
        <v>651.88435564959946</v>
      </c>
      <c r="M70" s="28">
        <f>G60</f>
        <v>0</v>
      </c>
      <c r="N70" s="28">
        <f>J60</f>
        <v>0</v>
      </c>
    </row>
    <row r="71" spans="4:17" x14ac:dyDescent="0.25">
      <c r="D71" t="s">
        <v>77</v>
      </c>
      <c r="E71"/>
      <c r="I71" s="28">
        <f>F57</f>
        <v>820.57142698965868</v>
      </c>
      <c r="J71" s="28">
        <f>I57</f>
        <v>1101.3152117199579</v>
      </c>
      <c r="K71"/>
      <c r="N71"/>
    </row>
    <row r="72" spans="4:17" x14ac:dyDescent="0.25">
      <c r="D72" t="s">
        <v>78</v>
      </c>
      <c r="E72"/>
      <c r="I72" s="28">
        <f>G57</f>
        <v>280.74378473029913</v>
      </c>
      <c r="J72" s="28">
        <f>J57</f>
        <v>0</v>
      </c>
      <c r="K72"/>
      <c r="N72"/>
    </row>
    <row r="73" spans="4:17" x14ac:dyDescent="0.25">
      <c r="E73"/>
      <c r="K73"/>
    </row>
    <row r="74" spans="4:17" x14ac:dyDescent="0.25">
      <c r="E74"/>
      <c r="K74"/>
    </row>
  </sheetData>
  <pageMargins left="0.7" right="0.7" top="0.75" bottom="0.75" header="0.3" footer="0.3"/>
  <pageSetup orientation="portrait" verticalDpi="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56"/>
  <sheetViews>
    <sheetView zoomScale="80" zoomScaleNormal="80" workbookViewId="0">
      <selection activeCell="A8" sqref="A8"/>
    </sheetView>
  </sheetViews>
  <sheetFormatPr defaultRowHeight="15" x14ac:dyDescent="0.25"/>
  <cols>
    <col min="1" max="1" width="17.140625" customWidth="1"/>
    <col min="2" max="2" width="10" bestFit="1" customWidth="1"/>
    <col min="3" max="3" width="35.42578125" customWidth="1"/>
    <col min="4" max="4" width="23.140625" customWidth="1"/>
    <col min="5" max="8" width="11" customWidth="1"/>
    <col min="9" max="9" width="3.42578125" customWidth="1"/>
    <col min="10" max="13" width="10.85546875" customWidth="1"/>
    <col min="14" max="14" width="7.85546875" customWidth="1"/>
    <col min="15" max="18" width="11" customWidth="1"/>
    <col min="19" max="19" width="3.42578125" customWidth="1"/>
    <col min="20" max="23" width="10.7109375" customWidth="1"/>
    <col min="32" max="32" width="9.28515625" bestFit="1" customWidth="1"/>
    <col min="33" max="34" width="10.140625" bestFit="1" customWidth="1"/>
  </cols>
  <sheetData>
    <row r="1" spans="1:35" x14ac:dyDescent="0.25">
      <c r="N1" s="67"/>
      <c r="X1" s="67"/>
    </row>
    <row r="2" spans="1:35" x14ac:dyDescent="0.25">
      <c r="E2" t="s">
        <v>153</v>
      </c>
      <c r="N2" s="67"/>
      <c r="O2" t="s">
        <v>154</v>
      </c>
      <c r="X2" s="67"/>
      <c r="Y2" t="s">
        <v>158</v>
      </c>
    </row>
    <row r="3" spans="1:35" x14ac:dyDescent="0.25">
      <c r="A3" t="s">
        <v>157</v>
      </c>
      <c r="B3" t="s">
        <v>10</v>
      </c>
      <c r="C3" s="54" t="s">
        <v>150</v>
      </c>
      <c r="E3" s="56">
        <v>2018</v>
      </c>
      <c r="F3" s="56">
        <v>2022</v>
      </c>
      <c r="G3" s="56">
        <v>2026</v>
      </c>
      <c r="H3" s="56">
        <v>2030</v>
      </c>
      <c r="N3" s="67"/>
      <c r="O3" s="56">
        <v>2018</v>
      </c>
      <c r="P3" s="56">
        <v>2022</v>
      </c>
      <c r="Q3" s="56">
        <v>2026</v>
      </c>
      <c r="R3" s="56">
        <v>2030</v>
      </c>
      <c r="X3" s="67"/>
      <c r="Y3" s="72">
        <v>2020</v>
      </c>
      <c r="Z3" s="72">
        <v>2021</v>
      </c>
      <c r="AA3" s="72">
        <v>2022</v>
      </c>
      <c r="AB3" s="72">
        <v>2023</v>
      </c>
      <c r="AC3" s="72">
        <v>2024</v>
      </c>
      <c r="AD3" s="72">
        <v>2025</v>
      </c>
      <c r="AE3" s="72">
        <v>2026</v>
      </c>
      <c r="AF3" s="72">
        <v>2027</v>
      </c>
      <c r="AG3" s="72">
        <v>2028</v>
      </c>
      <c r="AH3" s="72">
        <v>2029</v>
      </c>
      <c r="AI3" s="72">
        <v>2030</v>
      </c>
    </row>
    <row r="4" spans="1:35" x14ac:dyDescent="0.25">
      <c r="A4" t="s">
        <v>79</v>
      </c>
      <c r="B4" t="s">
        <v>7</v>
      </c>
      <c r="C4" t="s">
        <v>155</v>
      </c>
      <c r="E4" s="50">
        <v>0</v>
      </c>
      <c r="F4" s="50">
        <v>0</v>
      </c>
      <c r="G4" s="10">
        <v>187.11</v>
      </c>
      <c r="H4" s="10">
        <v>2104.1999999999998</v>
      </c>
      <c r="N4" s="67"/>
      <c r="O4" s="28">
        <f>E4</f>
        <v>0</v>
      </c>
      <c r="P4" s="28">
        <f t="shared" ref="P4:R5" si="0">F4</f>
        <v>0</v>
      </c>
      <c r="Q4" s="28">
        <f t="shared" si="0"/>
        <v>187.11</v>
      </c>
      <c r="R4" s="28">
        <f t="shared" si="0"/>
        <v>2104.1999999999998</v>
      </c>
      <c r="X4" s="67"/>
      <c r="AE4" s="28">
        <f>Q4</f>
        <v>187.11</v>
      </c>
      <c r="AF4" s="10">
        <f>(AF$3-$AE$3)*($AI4-$AE4)/($AI$3-$AE$3)+$AE4</f>
        <v>666.38249999999994</v>
      </c>
      <c r="AG4" s="10">
        <f t="shared" ref="AG4:AH4" si="1">(AG$3-$AE$3)*($AI4-$AE4)/($AI$3-$AE$3)+$AE4</f>
        <v>1145.6549999999997</v>
      </c>
      <c r="AH4" s="10">
        <f t="shared" si="1"/>
        <v>1624.9274999999998</v>
      </c>
      <c r="AI4" s="28">
        <f>R4</f>
        <v>2104.1999999999998</v>
      </c>
    </row>
    <row r="5" spans="1:35" x14ac:dyDescent="0.25">
      <c r="C5" t="s">
        <v>156</v>
      </c>
      <c r="E5" s="50">
        <v>0</v>
      </c>
      <c r="F5" s="50">
        <v>0</v>
      </c>
      <c r="G5" s="51">
        <v>1</v>
      </c>
      <c r="H5" s="51">
        <v>1.2992206064062353</v>
      </c>
      <c r="N5" s="67"/>
      <c r="O5" s="28">
        <f>E5</f>
        <v>0</v>
      </c>
      <c r="P5" s="28">
        <f t="shared" si="0"/>
        <v>0</v>
      </c>
      <c r="Q5" s="70">
        <f>H5</f>
        <v>1.2992206064062353</v>
      </c>
      <c r="R5" s="69">
        <f t="shared" si="0"/>
        <v>1.2992206064062353</v>
      </c>
      <c r="X5" s="67"/>
      <c r="AE5" s="69">
        <f>Q5</f>
        <v>1.2992206064062353</v>
      </c>
      <c r="AF5" s="69">
        <f>AE5</f>
        <v>1.2992206064062353</v>
      </c>
      <c r="AG5" s="69">
        <f t="shared" ref="AG5:AH5" si="2">AF5</f>
        <v>1.2992206064062353</v>
      </c>
      <c r="AH5" s="69">
        <f t="shared" si="2"/>
        <v>1.2992206064062353</v>
      </c>
      <c r="AI5" s="69">
        <f>R5</f>
        <v>1.2992206064062353</v>
      </c>
    </row>
    <row r="6" spans="1:35" x14ac:dyDescent="0.25">
      <c r="N6" s="67"/>
      <c r="X6" s="67"/>
    </row>
    <row r="7" spans="1:35" x14ac:dyDescent="0.25">
      <c r="E7" t="s">
        <v>153</v>
      </c>
      <c r="N7" s="67"/>
      <c r="O7" t="s">
        <v>154</v>
      </c>
      <c r="X7" s="67"/>
      <c r="Y7" t="s">
        <v>158</v>
      </c>
    </row>
    <row r="8" spans="1:35" x14ac:dyDescent="0.25">
      <c r="D8" s="53"/>
      <c r="E8" s="52" t="s">
        <v>149</v>
      </c>
      <c r="F8" s="53"/>
      <c r="G8" s="53"/>
      <c r="H8" s="53"/>
      <c r="J8" s="52" t="s">
        <v>152</v>
      </c>
      <c r="N8" s="67"/>
      <c r="O8" s="52" t="s">
        <v>149</v>
      </c>
      <c r="P8" s="53"/>
      <c r="Q8" s="53"/>
      <c r="R8" s="53"/>
      <c r="T8" s="52" t="s">
        <v>152</v>
      </c>
      <c r="X8" s="67"/>
      <c r="Y8" s="52" t="s">
        <v>159</v>
      </c>
    </row>
    <row r="9" spans="1:35" x14ac:dyDescent="0.25">
      <c r="A9" t="s">
        <v>157</v>
      </c>
      <c r="B9" t="s">
        <v>10</v>
      </c>
      <c r="C9" s="54" t="s">
        <v>150</v>
      </c>
      <c r="D9" s="55" t="s">
        <v>131</v>
      </c>
      <c r="E9" s="56">
        <v>2018</v>
      </c>
      <c r="F9" s="56">
        <v>2022</v>
      </c>
      <c r="G9" s="56">
        <v>2026</v>
      </c>
      <c r="H9" s="56">
        <v>2030</v>
      </c>
      <c r="J9" s="56">
        <v>2018</v>
      </c>
      <c r="K9" s="56">
        <v>2022</v>
      </c>
      <c r="L9" s="56">
        <v>2026</v>
      </c>
      <c r="M9" s="56">
        <v>2030</v>
      </c>
      <c r="N9" s="67"/>
      <c r="O9" s="56">
        <v>2018</v>
      </c>
      <c r="P9" s="56">
        <v>2022</v>
      </c>
      <c r="Q9" s="56">
        <v>2026</v>
      </c>
      <c r="R9" s="56">
        <v>2030</v>
      </c>
      <c r="T9" s="56">
        <v>2018</v>
      </c>
      <c r="U9" s="56">
        <v>2022</v>
      </c>
      <c r="V9" s="56">
        <v>2026</v>
      </c>
      <c r="W9" s="56">
        <v>2030</v>
      </c>
      <c r="X9" s="67"/>
      <c r="Y9" s="72">
        <v>2020</v>
      </c>
      <c r="Z9" s="72">
        <v>2021</v>
      </c>
      <c r="AA9" s="72">
        <v>2022</v>
      </c>
      <c r="AB9" s="72">
        <v>2023</v>
      </c>
      <c r="AC9" s="72">
        <v>2024</v>
      </c>
      <c r="AD9" s="72">
        <v>2025</v>
      </c>
      <c r="AE9" s="72">
        <v>2026</v>
      </c>
      <c r="AF9" s="72">
        <v>2027</v>
      </c>
      <c r="AG9" s="72">
        <v>2028</v>
      </c>
      <c r="AH9" s="72">
        <v>2029</v>
      </c>
      <c r="AI9" s="72">
        <v>2030</v>
      </c>
    </row>
    <row r="10" spans="1:35" x14ac:dyDescent="0.25">
      <c r="A10" t="s">
        <v>80</v>
      </c>
      <c r="B10" t="str">
        <f>INDEX(AdjustPorts2030!$D:$D,MATCH($C10,AdjustPorts2030!$C:$C,0))</f>
        <v>In-state</v>
      </c>
      <c r="C10" s="57" t="s">
        <v>17</v>
      </c>
      <c r="D10" s="58" t="s">
        <v>132</v>
      </c>
      <c r="E10" s="59">
        <v>0</v>
      </c>
      <c r="F10" s="59">
        <v>0</v>
      </c>
      <c r="G10" s="59">
        <v>0</v>
      </c>
      <c r="H10" s="59">
        <v>0</v>
      </c>
      <c r="J10" s="59">
        <v>0</v>
      </c>
      <c r="K10" s="59">
        <v>0</v>
      </c>
      <c r="L10" s="59">
        <v>0</v>
      </c>
      <c r="M10" s="59">
        <v>0</v>
      </c>
      <c r="N10" s="67"/>
      <c r="O10" s="59">
        <f>E10</f>
        <v>0</v>
      </c>
      <c r="P10" s="59">
        <f t="shared" ref="P10:R10" si="3">F10</f>
        <v>0</v>
      </c>
      <c r="Q10" s="59">
        <f t="shared" si="3"/>
        <v>0</v>
      </c>
      <c r="R10" s="59">
        <f t="shared" si="3"/>
        <v>0</v>
      </c>
      <c r="T10" s="59">
        <f>J10</f>
        <v>0</v>
      </c>
      <c r="U10" s="59">
        <f t="shared" ref="U10:W10" si="4">K10</f>
        <v>0</v>
      </c>
      <c r="V10" s="59">
        <f t="shared" si="4"/>
        <v>0</v>
      </c>
      <c r="W10" s="59">
        <f t="shared" si="4"/>
        <v>0</v>
      </c>
      <c r="X10" s="67"/>
      <c r="Y10" s="10">
        <v>0</v>
      </c>
      <c r="Z10" s="10">
        <v>0</v>
      </c>
      <c r="AA10" s="74">
        <f>P10+U10</f>
        <v>0</v>
      </c>
      <c r="AB10" s="28">
        <f>AA10</f>
        <v>0</v>
      </c>
      <c r="AC10" s="28">
        <f>AB10</f>
        <v>0</v>
      </c>
      <c r="AD10" s="28">
        <f>AC10</f>
        <v>0</v>
      </c>
      <c r="AE10" s="74">
        <f>Q10+V10</f>
        <v>0</v>
      </c>
      <c r="AF10" s="28">
        <f>AE10</f>
        <v>0</v>
      </c>
      <c r="AG10" s="28">
        <f t="shared" ref="AG10:AH10" si="5">AF10</f>
        <v>0</v>
      </c>
      <c r="AH10" s="28">
        <f t="shared" si="5"/>
        <v>0</v>
      </c>
      <c r="AI10" s="74">
        <f>R10+W10</f>
        <v>0</v>
      </c>
    </row>
    <row r="11" spans="1:35" x14ac:dyDescent="0.25">
      <c r="A11" t="s">
        <v>81</v>
      </c>
      <c r="B11" t="str">
        <f>INDEX(AdjustPorts2030!$D:$D,MATCH($C11,AdjustPorts2030!$C:$C,0))</f>
        <v>In-state</v>
      </c>
      <c r="C11" s="57" t="s">
        <v>18</v>
      </c>
      <c r="D11" s="58" t="s">
        <v>133</v>
      </c>
      <c r="E11" s="59">
        <v>0</v>
      </c>
      <c r="F11" s="59">
        <v>0</v>
      </c>
      <c r="G11" s="59">
        <v>0</v>
      </c>
      <c r="H11" s="59">
        <v>0</v>
      </c>
      <c r="J11" s="59">
        <v>0</v>
      </c>
      <c r="K11" s="59">
        <v>0</v>
      </c>
      <c r="L11" s="59">
        <v>0</v>
      </c>
      <c r="M11" s="59">
        <v>0</v>
      </c>
      <c r="N11" s="67"/>
      <c r="O11" s="59">
        <f t="shared" ref="O11:O51" si="6">E11</f>
        <v>0</v>
      </c>
      <c r="P11" s="59">
        <f t="shared" ref="P11:P51" si="7">F11</f>
        <v>0</v>
      </c>
      <c r="Q11" s="59">
        <f t="shared" ref="Q11:Q51" si="8">G11</f>
        <v>0</v>
      </c>
      <c r="R11" s="59">
        <f t="shared" ref="R11:R51" si="9">H11</f>
        <v>0</v>
      </c>
      <c r="T11" s="59">
        <f t="shared" ref="T11:T51" si="10">J11</f>
        <v>0</v>
      </c>
      <c r="U11" s="59">
        <f t="shared" ref="U11:U51" si="11">K11</f>
        <v>0</v>
      </c>
      <c r="V11" s="59">
        <f t="shared" ref="V11:V51" si="12">L11</f>
        <v>0</v>
      </c>
      <c r="W11" s="59">
        <f t="shared" ref="W11:W51" si="13">M11</f>
        <v>0</v>
      </c>
      <c r="X11" s="67"/>
      <c r="Y11" s="10">
        <v>0</v>
      </c>
      <c r="Z11" s="10">
        <v>0</v>
      </c>
      <c r="AA11" s="74">
        <f t="shared" ref="AA11:AA51" si="14">P11+U11</f>
        <v>0</v>
      </c>
      <c r="AB11" s="28">
        <f t="shared" ref="AB11:AC51" si="15">AA11</f>
        <v>0</v>
      </c>
      <c r="AC11" s="28">
        <f t="shared" si="15"/>
        <v>0</v>
      </c>
      <c r="AD11" s="28">
        <f t="shared" ref="AD11:AF11" si="16">AC11</f>
        <v>0</v>
      </c>
      <c r="AE11" s="74">
        <f t="shared" ref="AE11:AE51" si="17">Q11+V11</f>
        <v>0</v>
      </c>
      <c r="AF11" s="28">
        <f t="shared" si="16"/>
        <v>0</v>
      </c>
      <c r="AG11" s="28">
        <f t="shared" ref="AG11:AH11" si="18">AF11</f>
        <v>0</v>
      </c>
      <c r="AH11" s="28">
        <f t="shared" si="18"/>
        <v>0</v>
      </c>
      <c r="AI11" s="74">
        <f t="shared" ref="AI11:AI51" si="19">R11+W11</f>
        <v>0</v>
      </c>
    </row>
    <row r="12" spans="1:35" x14ac:dyDescent="0.25">
      <c r="A12" t="s">
        <v>80</v>
      </c>
      <c r="B12" t="str">
        <f>INDEX(AdjustPorts2030!$D:$D,MATCH($C12,AdjustPorts2030!$C:$C,0))</f>
        <v>In-state</v>
      </c>
      <c r="C12" s="57" t="s">
        <v>19</v>
      </c>
      <c r="D12" s="58" t="s">
        <v>134</v>
      </c>
      <c r="E12" s="59">
        <v>0</v>
      </c>
      <c r="F12" s="59">
        <v>0</v>
      </c>
      <c r="G12" s="59">
        <v>0</v>
      </c>
      <c r="H12" s="59">
        <v>0</v>
      </c>
      <c r="J12" s="59">
        <v>0</v>
      </c>
      <c r="K12" s="59">
        <v>0</v>
      </c>
      <c r="L12" s="59">
        <v>0</v>
      </c>
      <c r="M12" s="59">
        <v>0</v>
      </c>
      <c r="N12" s="67"/>
      <c r="O12" s="59">
        <f t="shared" si="6"/>
        <v>0</v>
      </c>
      <c r="P12" s="59">
        <f t="shared" si="7"/>
        <v>0</v>
      </c>
      <c r="Q12" s="59">
        <f t="shared" si="8"/>
        <v>0</v>
      </c>
      <c r="R12" s="59">
        <f t="shared" si="9"/>
        <v>0</v>
      </c>
      <c r="T12" s="59">
        <f t="shared" si="10"/>
        <v>0</v>
      </c>
      <c r="U12" s="59">
        <f t="shared" si="11"/>
        <v>0</v>
      </c>
      <c r="V12" s="59">
        <f t="shared" si="12"/>
        <v>0</v>
      </c>
      <c r="W12" s="59">
        <f t="shared" si="13"/>
        <v>0</v>
      </c>
      <c r="X12" s="67"/>
      <c r="Y12" s="10">
        <v>0</v>
      </c>
      <c r="Z12" s="10">
        <v>0</v>
      </c>
      <c r="AA12" s="74">
        <f t="shared" si="14"/>
        <v>0</v>
      </c>
      <c r="AB12" s="28">
        <f t="shared" si="15"/>
        <v>0</v>
      </c>
      <c r="AC12" s="28">
        <f t="shared" si="15"/>
        <v>0</v>
      </c>
      <c r="AD12" s="28">
        <f t="shared" ref="AD12:AF12" si="20">AC12</f>
        <v>0</v>
      </c>
      <c r="AE12" s="74">
        <f t="shared" si="17"/>
        <v>0</v>
      </c>
      <c r="AF12" s="28">
        <f t="shared" si="20"/>
        <v>0</v>
      </c>
      <c r="AG12" s="28">
        <f t="shared" ref="AG12:AH12" si="21">AF12</f>
        <v>0</v>
      </c>
      <c r="AH12" s="28">
        <f t="shared" si="21"/>
        <v>0</v>
      </c>
      <c r="AI12" s="74">
        <f t="shared" si="19"/>
        <v>0</v>
      </c>
    </row>
    <row r="13" spans="1:35" x14ac:dyDescent="0.25">
      <c r="A13" t="s">
        <v>80</v>
      </c>
      <c r="B13" t="str">
        <f>INDEX(AdjustPorts2030!$D:$D,MATCH($C13,AdjustPorts2030!$C:$C,0))</f>
        <v>In-state</v>
      </c>
      <c r="C13" s="57" t="s">
        <v>20</v>
      </c>
      <c r="D13" s="58" t="s">
        <v>135</v>
      </c>
      <c r="E13" s="59">
        <v>0</v>
      </c>
      <c r="F13" s="59">
        <v>0</v>
      </c>
      <c r="G13" s="59">
        <v>0</v>
      </c>
      <c r="H13" s="59">
        <v>0</v>
      </c>
      <c r="J13" s="59">
        <v>0</v>
      </c>
      <c r="K13" s="59">
        <v>0</v>
      </c>
      <c r="L13" s="59">
        <v>0</v>
      </c>
      <c r="M13" s="59">
        <v>0</v>
      </c>
      <c r="N13" s="67"/>
      <c r="O13" s="59">
        <f t="shared" si="6"/>
        <v>0</v>
      </c>
      <c r="P13" s="59">
        <f t="shared" si="7"/>
        <v>0</v>
      </c>
      <c r="Q13" s="59">
        <f t="shared" si="8"/>
        <v>0</v>
      </c>
      <c r="R13" s="59">
        <f t="shared" si="9"/>
        <v>0</v>
      </c>
      <c r="T13" s="59">
        <f t="shared" si="10"/>
        <v>0</v>
      </c>
      <c r="U13" s="59">
        <f t="shared" si="11"/>
        <v>0</v>
      </c>
      <c r="V13" s="59">
        <f t="shared" si="12"/>
        <v>0</v>
      </c>
      <c r="W13" s="59">
        <f t="shared" si="13"/>
        <v>0</v>
      </c>
      <c r="X13" s="67"/>
      <c r="Y13" s="10">
        <v>0</v>
      </c>
      <c r="Z13" s="10">
        <v>0</v>
      </c>
      <c r="AA13" s="74">
        <f t="shared" si="14"/>
        <v>0</v>
      </c>
      <c r="AB13" s="28">
        <f t="shared" si="15"/>
        <v>0</v>
      </c>
      <c r="AC13" s="28">
        <f t="shared" si="15"/>
        <v>0</v>
      </c>
      <c r="AD13" s="28">
        <f t="shared" ref="AD13:AF13" si="22">AC13</f>
        <v>0</v>
      </c>
      <c r="AE13" s="74">
        <f t="shared" si="17"/>
        <v>0</v>
      </c>
      <c r="AF13" s="28">
        <f t="shared" si="22"/>
        <v>0</v>
      </c>
      <c r="AG13" s="28">
        <f t="shared" ref="AG13:AH13" si="23">AF13</f>
        <v>0</v>
      </c>
      <c r="AH13" s="28">
        <f t="shared" si="23"/>
        <v>0</v>
      </c>
      <c r="AI13" s="74">
        <f t="shared" si="19"/>
        <v>0</v>
      </c>
    </row>
    <row r="14" spans="1:35" x14ac:dyDescent="0.25">
      <c r="A14" t="e">
        <v>#N/A</v>
      </c>
      <c r="B14" t="str">
        <f>INDEX(AdjustPorts2030!$D:$D,MATCH($C14,AdjustPorts2030!$C:$C,0))</f>
        <v>In-state</v>
      </c>
      <c r="C14" s="57" t="s">
        <v>21</v>
      </c>
      <c r="D14" s="58" t="s">
        <v>136</v>
      </c>
      <c r="E14" s="59">
        <v>0</v>
      </c>
      <c r="F14" s="59">
        <v>0</v>
      </c>
      <c r="G14" s="59">
        <v>0</v>
      </c>
      <c r="H14" s="59">
        <v>0</v>
      </c>
      <c r="J14" s="59">
        <v>0</v>
      </c>
      <c r="K14" s="59">
        <v>0</v>
      </c>
      <c r="L14" s="59">
        <v>0</v>
      </c>
      <c r="M14" s="59">
        <v>0</v>
      </c>
      <c r="N14" s="67"/>
      <c r="O14" s="59">
        <f t="shared" si="6"/>
        <v>0</v>
      </c>
      <c r="P14" s="59">
        <f t="shared" si="7"/>
        <v>0</v>
      </c>
      <c r="Q14" s="59">
        <f t="shared" si="8"/>
        <v>0</v>
      </c>
      <c r="R14" s="59">
        <f t="shared" si="9"/>
        <v>0</v>
      </c>
      <c r="T14" s="59">
        <f t="shared" si="10"/>
        <v>0</v>
      </c>
      <c r="U14" s="59">
        <f t="shared" si="11"/>
        <v>0</v>
      </c>
      <c r="V14" s="59">
        <f t="shared" si="12"/>
        <v>0</v>
      </c>
      <c r="W14" s="59">
        <f t="shared" si="13"/>
        <v>0</v>
      </c>
      <c r="X14" s="67"/>
      <c r="Y14" s="10">
        <v>0</v>
      </c>
      <c r="Z14" s="10">
        <v>0</v>
      </c>
      <c r="AA14" s="74">
        <f t="shared" si="14"/>
        <v>0</v>
      </c>
      <c r="AB14" s="28">
        <f t="shared" si="15"/>
        <v>0</v>
      </c>
      <c r="AC14" s="28">
        <f t="shared" si="15"/>
        <v>0</v>
      </c>
      <c r="AD14" s="28">
        <f t="shared" ref="AD14:AF14" si="24">AC14</f>
        <v>0</v>
      </c>
      <c r="AE14" s="74">
        <f t="shared" si="17"/>
        <v>0</v>
      </c>
      <c r="AF14" s="28">
        <f t="shared" si="24"/>
        <v>0</v>
      </c>
      <c r="AG14" s="28">
        <f t="shared" ref="AG14:AH14" si="25">AF14</f>
        <v>0</v>
      </c>
      <c r="AH14" s="28">
        <f t="shared" si="25"/>
        <v>0</v>
      </c>
      <c r="AI14" s="74">
        <f t="shared" si="19"/>
        <v>0</v>
      </c>
    </row>
    <row r="15" spans="1:35" x14ac:dyDescent="0.25">
      <c r="A15" t="s">
        <v>82</v>
      </c>
      <c r="B15" t="str">
        <f>INDEX(AdjustPorts2030!$D:$D,MATCH($C15,AdjustPorts2030!$C:$C,0))</f>
        <v>In-state</v>
      </c>
      <c r="C15" s="57" t="s">
        <v>22</v>
      </c>
      <c r="D15" s="58" t="s">
        <v>121</v>
      </c>
      <c r="E15" s="59">
        <v>0</v>
      </c>
      <c r="F15" s="59">
        <v>1013.2206383318768</v>
      </c>
      <c r="G15" s="59">
        <v>1013.2206383318768</v>
      </c>
      <c r="H15" s="59">
        <v>1013.2206383318768</v>
      </c>
      <c r="J15" s="59">
        <v>0</v>
      </c>
      <c r="K15" s="59">
        <v>0</v>
      </c>
      <c r="L15" s="59">
        <v>0</v>
      </c>
      <c r="M15" s="59">
        <v>0</v>
      </c>
      <c r="N15" s="67"/>
      <c r="O15" s="59">
        <f t="shared" si="6"/>
        <v>0</v>
      </c>
      <c r="P15" s="59">
        <f t="shared" si="7"/>
        <v>1013.2206383318768</v>
      </c>
      <c r="Q15" s="59">
        <f t="shared" si="8"/>
        <v>1013.2206383318768</v>
      </c>
      <c r="R15" s="59">
        <f t="shared" si="9"/>
        <v>1013.2206383318768</v>
      </c>
      <c r="T15" s="59">
        <f t="shared" si="10"/>
        <v>0</v>
      </c>
      <c r="U15" s="59">
        <f t="shared" si="11"/>
        <v>0</v>
      </c>
      <c r="V15" s="59">
        <f t="shared" si="12"/>
        <v>0</v>
      </c>
      <c r="W15" s="59">
        <f t="shared" si="13"/>
        <v>0</v>
      </c>
      <c r="X15" s="67"/>
      <c r="Y15" s="10">
        <v>0</v>
      </c>
      <c r="Z15" s="10">
        <f t="shared" ref="Z15:Z34" si="26">0.5*AA15</f>
        <v>506.61031916593839</v>
      </c>
      <c r="AA15" s="74">
        <f t="shared" si="14"/>
        <v>1013.2206383318768</v>
      </c>
      <c r="AB15" s="28">
        <f t="shared" si="15"/>
        <v>1013.2206383318768</v>
      </c>
      <c r="AC15" s="28">
        <f t="shared" si="15"/>
        <v>1013.2206383318768</v>
      </c>
      <c r="AD15" s="28">
        <f t="shared" ref="AD15:AF15" si="27">AC15</f>
        <v>1013.2206383318768</v>
      </c>
      <c r="AE15" s="74">
        <f t="shared" si="17"/>
        <v>1013.2206383318768</v>
      </c>
      <c r="AF15" s="28">
        <f t="shared" si="27"/>
        <v>1013.2206383318768</v>
      </c>
      <c r="AG15" s="28">
        <f t="shared" ref="AG15:AH15" si="28">AF15</f>
        <v>1013.2206383318768</v>
      </c>
      <c r="AH15" s="28">
        <f t="shared" si="28"/>
        <v>1013.2206383318768</v>
      </c>
      <c r="AI15" s="74">
        <f t="shared" si="19"/>
        <v>1013.2206383318768</v>
      </c>
    </row>
    <row r="16" spans="1:35" x14ac:dyDescent="0.25">
      <c r="A16" t="s">
        <v>82</v>
      </c>
      <c r="B16" t="str">
        <f>INDEX(AdjustPorts2030!$D:$D,MATCH($C16,AdjustPorts2030!$C:$C,0))</f>
        <v>In-state</v>
      </c>
      <c r="C16" s="57" t="s">
        <v>23</v>
      </c>
      <c r="D16" s="58" t="s">
        <v>137</v>
      </c>
      <c r="E16" s="59">
        <v>0</v>
      </c>
      <c r="F16" s="59">
        <v>978.28310608382026</v>
      </c>
      <c r="G16" s="59">
        <v>978.28310608382026</v>
      </c>
      <c r="H16" s="59">
        <v>978.28310608382026</v>
      </c>
      <c r="J16" s="59">
        <v>0</v>
      </c>
      <c r="K16" s="59">
        <v>0</v>
      </c>
      <c r="L16" s="59">
        <v>0</v>
      </c>
      <c r="M16" s="59">
        <v>0</v>
      </c>
      <c r="N16" s="67"/>
      <c r="O16" s="59">
        <f t="shared" si="6"/>
        <v>0</v>
      </c>
      <c r="P16" s="68">
        <f>AdjustPorts2030!I11</f>
        <v>576</v>
      </c>
      <c r="Q16" s="68">
        <f>AdjustPorts2030!I11</f>
        <v>576</v>
      </c>
      <c r="R16" s="68">
        <f>AdjustPorts2030!I11</f>
        <v>576</v>
      </c>
      <c r="T16" s="59">
        <f t="shared" si="10"/>
        <v>0</v>
      </c>
      <c r="U16" s="59">
        <f t="shared" si="11"/>
        <v>0</v>
      </c>
      <c r="V16" s="59">
        <f t="shared" si="12"/>
        <v>0</v>
      </c>
      <c r="W16" s="59">
        <f t="shared" si="13"/>
        <v>0</v>
      </c>
      <c r="X16" s="67"/>
      <c r="Y16" s="10">
        <v>0</v>
      </c>
      <c r="Z16" s="10">
        <f t="shared" si="26"/>
        <v>288</v>
      </c>
      <c r="AA16" s="74">
        <f t="shared" si="14"/>
        <v>576</v>
      </c>
      <c r="AB16" s="28">
        <f t="shared" si="15"/>
        <v>576</v>
      </c>
      <c r="AC16" s="28">
        <f t="shared" si="15"/>
        <v>576</v>
      </c>
      <c r="AD16" s="28">
        <f t="shared" ref="AD16:AF16" si="29">AC16</f>
        <v>576</v>
      </c>
      <c r="AE16" s="74">
        <f t="shared" si="17"/>
        <v>576</v>
      </c>
      <c r="AF16" s="28">
        <f t="shared" si="29"/>
        <v>576</v>
      </c>
      <c r="AG16" s="28">
        <f t="shared" ref="AG16:AH16" si="30">AF16</f>
        <v>576</v>
      </c>
      <c r="AH16" s="28">
        <f t="shared" si="30"/>
        <v>576</v>
      </c>
      <c r="AI16" s="74">
        <f t="shared" si="19"/>
        <v>576</v>
      </c>
    </row>
    <row r="17" spans="1:35" x14ac:dyDescent="0.25">
      <c r="A17" t="e">
        <v>#N/A</v>
      </c>
      <c r="B17" t="str">
        <f>INDEX(AdjustPorts2030!$D:$D,MATCH($C17,AdjustPorts2030!$C:$C,0))</f>
        <v>In-state</v>
      </c>
      <c r="C17" s="57" t="s">
        <v>24</v>
      </c>
      <c r="D17" s="58" t="s">
        <v>138</v>
      </c>
      <c r="E17" s="59">
        <v>0</v>
      </c>
      <c r="F17" s="59">
        <v>0</v>
      </c>
      <c r="G17" s="59">
        <v>0</v>
      </c>
      <c r="H17" s="59">
        <v>0</v>
      </c>
      <c r="J17" s="59">
        <v>0</v>
      </c>
      <c r="K17" s="59">
        <v>0</v>
      </c>
      <c r="L17" s="59">
        <v>0</v>
      </c>
      <c r="M17" s="59">
        <v>0</v>
      </c>
      <c r="N17" s="67"/>
      <c r="O17" s="59">
        <f t="shared" si="6"/>
        <v>0</v>
      </c>
      <c r="P17" s="59">
        <f t="shared" si="7"/>
        <v>0</v>
      </c>
      <c r="Q17" s="59">
        <f t="shared" si="8"/>
        <v>0</v>
      </c>
      <c r="R17" s="59">
        <f t="shared" si="9"/>
        <v>0</v>
      </c>
      <c r="T17" s="59">
        <f t="shared" si="10"/>
        <v>0</v>
      </c>
      <c r="U17" s="59">
        <f t="shared" si="11"/>
        <v>0</v>
      </c>
      <c r="V17" s="59">
        <f t="shared" si="12"/>
        <v>0</v>
      </c>
      <c r="W17" s="59">
        <f t="shared" si="13"/>
        <v>0</v>
      </c>
      <c r="X17" s="67"/>
      <c r="Y17" s="10">
        <v>0</v>
      </c>
      <c r="Z17" s="10">
        <v>0</v>
      </c>
      <c r="AA17" s="74">
        <f t="shared" si="14"/>
        <v>0</v>
      </c>
      <c r="AB17" s="28">
        <f t="shared" si="15"/>
        <v>0</v>
      </c>
      <c r="AC17" s="28">
        <f t="shared" si="15"/>
        <v>0</v>
      </c>
      <c r="AD17" s="28">
        <f t="shared" ref="AD17:AF17" si="31">AC17</f>
        <v>0</v>
      </c>
      <c r="AE17" s="74">
        <f t="shared" si="17"/>
        <v>0</v>
      </c>
      <c r="AF17" s="28">
        <f t="shared" si="31"/>
        <v>0</v>
      </c>
      <c r="AG17" s="28">
        <f t="shared" ref="AG17:AH17" si="32">AF17</f>
        <v>0</v>
      </c>
      <c r="AH17" s="28">
        <f t="shared" si="32"/>
        <v>0</v>
      </c>
      <c r="AI17" s="74">
        <f t="shared" si="19"/>
        <v>0</v>
      </c>
    </row>
    <row r="18" spans="1:35" x14ac:dyDescent="0.25">
      <c r="A18" t="e">
        <v>#N/A</v>
      </c>
      <c r="B18" t="str">
        <f>INDEX(AdjustPorts2030!$D:$D,MATCH($C18,AdjustPorts2030!$C:$C,0))</f>
        <v>In-state</v>
      </c>
      <c r="C18" s="57" t="s">
        <v>25</v>
      </c>
      <c r="D18" s="58" t="s">
        <v>139</v>
      </c>
      <c r="E18" s="59">
        <v>0</v>
      </c>
      <c r="F18" s="59">
        <v>0</v>
      </c>
      <c r="G18" s="59">
        <v>0</v>
      </c>
      <c r="H18" s="59">
        <v>0</v>
      </c>
      <c r="J18" s="59">
        <v>0</v>
      </c>
      <c r="K18" s="59">
        <v>0</v>
      </c>
      <c r="L18" s="59">
        <v>0</v>
      </c>
      <c r="M18" s="59">
        <v>0</v>
      </c>
      <c r="N18" s="67"/>
      <c r="O18" s="59">
        <f t="shared" si="6"/>
        <v>0</v>
      </c>
      <c r="P18" s="59">
        <f t="shared" si="7"/>
        <v>0</v>
      </c>
      <c r="Q18" s="59">
        <f t="shared" si="8"/>
        <v>0</v>
      </c>
      <c r="R18" s="59">
        <f t="shared" si="9"/>
        <v>0</v>
      </c>
      <c r="T18" s="59">
        <f t="shared" si="10"/>
        <v>0</v>
      </c>
      <c r="U18" s="59">
        <f t="shared" si="11"/>
        <v>0</v>
      </c>
      <c r="V18" s="59">
        <f t="shared" si="12"/>
        <v>0</v>
      </c>
      <c r="W18" s="59">
        <f t="shared" si="13"/>
        <v>0</v>
      </c>
      <c r="X18" s="67"/>
      <c r="Y18" s="10">
        <v>0</v>
      </c>
      <c r="Z18" s="10">
        <v>0</v>
      </c>
      <c r="AA18" s="74">
        <f t="shared" si="14"/>
        <v>0</v>
      </c>
      <c r="AB18" s="28">
        <f t="shared" si="15"/>
        <v>0</v>
      </c>
      <c r="AC18" s="28">
        <f t="shared" si="15"/>
        <v>0</v>
      </c>
      <c r="AD18" s="28">
        <f t="shared" ref="AD18:AF18" si="33">AC18</f>
        <v>0</v>
      </c>
      <c r="AE18" s="74">
        <f t="shared" si="17"/>
        <v>0</v>
      </c>
      <c r="AF18" s="28">
        <f t="shared" si="33"/>
        <v>0</v>
      </c>
      <c r="AG18" s="28">
        <f t="shared" ref="AG18:AH18" si="34">AF18</f>
        <v>0</v>
      </c>
      <c r="AH18" s="28">
        <f t="shared" si="34"/>
        <v>0</v>
      </c>
      <c r="AI18" s="74">
        <f t="shared" si="19"/>
        <v>0</v>
      </c>
    </row>
    <row r="19" spans="1:35" x14ac:dyDescent="0.25">
      <c r="A19" t="s">
        <v>82</v>
      </c>
      <c r="B19" t="str">
        <f>INDEX(AdjustPorts2030!$D:$D,MATCH($C19,AdjustPorts2030!$C:$C,0))</f>
        <v>In-state</v>
      </c>
      <c r="C19" s="57" t="s">
        <v>26</v>
      </c>
      <c r="D19" s="58" t="s">
        <v>140</v>
      </c>
      <c r="E19" s="59">
        <v>0</v>
      </c>
      <c r="F19" s="59">
        <v>854.15627787933283</v>
      </c>
      <c r="G19" s="59">
        <v>854.15627787933283</v>
      </c>
      <c r="H19" s="59">
        <v>918.47357747650437</v>
      </c>
      <c r="J19" s="59">
        <v>0</v>
      </c>
      <c r="K19" s="59">
        <v>0</v>
      </c>
      <c r="L19" s="59">
        <v>0</v>
      </c>
      <c r="M19" s="59">
        <v>0</v>
      </c>
      <c r="N19" s="67"/>
      <c r="O19" s="59">
        <f t="shared" si="6"/>
        <v>0</v>
      </c>
      <c r="P19" s="68">
        <f>F19-600</f>
        <v>254.15627787933283</v>
      </c>
      <c r="Q19" s="68">
        <f>G19-600</f>
        <v>254.15627787933283</v>
      </c>
      <c r="R19" s="68">
        <f>H19-600</f>
        <v>318.47357747650437</v>
      </c>
      <c r="T19" s="59">
        <f t="shared" si="10"/>
        <v>0</v>
      </c>
      <c r="U19" s="68">
        <f>K19+F16-P16+600</f>
        <v>1002.2831060838203</v>
      </c>
      <c r="V19" s="68">
        <f>L19+G16-Q16+600</f>
        <v>1002.2831060838203</v>
      </c>
      <c r="W19" s="68">
        <f>M19+H16-R16+600</f>
        <v>1002.2831060838203</v>
      </c>
      <c r="X19" s="67"/>
      <c r="Y19" s="10">
        <v>0</v>
      </c>
      <c r="Z19" s="10">
        <f t="shared" si="26"/>
        <v>628.21969198157649</v>
      </c>
      <c r="AA19" s="74">
        <f t="shared" si="14"/>
        <v>1256.439383963153</v>
      </c>
      <c r="AB19" s="28">
        <f t="shared" si="15"/>
        <v>1256.439383963153</v>
      </c>
      <c r="AC19" s="28">
        <f t="shared" si="15"/>
        <v>1256.439383963153</v>
      </c>
      <c r="AD19" s="28">
        <f t="shared" ref="AD19:AF19" si="35">AC19</f>
        <v>1256.439383963153</v>
      </c>
      <c r="AE19" s="74">
        <f t="shared" si="17"/>
        <v>1256.439383963153</v>
      </c>
      <c r="AF19" s="28">
        <f t="shared" si="35"/>
        <v>1256.439383963153</v>
      </c>
      <c r="AG19" s="28">
        <f t="shared" ref="AG19:AH19" si="36">AF19</f>
        <v>1256.439383963153</v>
      </c>
      <c r="AH19" s="28">
        <f t="shared" si="36"/>
        <v>1256.439383963153</v>
      </c>
      <c r="AI19" s="74">
        <f t="shared" si="19"/>
        <v>1320.7566835603247</v>
      </c>
    </row>
    <row r="20" spans="1:35" x14ac:dyDescent="0.25">
      <c r="A20" t="s">
        <v>83</v>
      </c>
      <c r="B20" t="str">
        <f>INDEX(AdjustPorts2030!$D:$D,MATCH($C20,AdjustPorts2030!$C:$C,0))</f>
        <v>In-state</v>
      </c>
      <c r="C20" s="57" t="s">
        <v>27</v>
      </c>
      <c r="D20" s="58" t="s">
        <v>141</v>
      </c>
      <c r="E20" s="59">
        <v>0</v>
      </c>
      <c r="F20" s="59">
        <v>0</v>
      </c>
      <c r="G20" s="59">
        <v>0</v>
      </c>
      <c r="H20" s="59">
        <v>0</v>
      </c>
      <c r="J20" s="59">
        <v>0</v>
      </c>
      <c r="K20" s="59">
        <v>0</v>
      </c>
      <c r="L20" s="59">
        <v>0</v>
      </c>
      <c r="M20" s="59">
        <v>0</v>
      </c>
      <c r="N20" s="67"/>
      <c r="O20" s="59">
        <f t="shared" si="6"/>
        <v>0</v>
      </c>
      <c r="P20" s="59">
        <f t="shared" si="7"/>
        <v>0</v>
      </c>
      <c r="Q20" s="59">
        <f t="shared" si="8"/>
        <v>0</v>
      </c>
      <c r="R20" s="59">
        <f t="shared" si="9"/>
        <v>0</v>
      </c>
      <c r="T20" s="59">
        <f t="shared" si="10"/>
        <v>0</v>
      </c>
      <c r="U20" s="59">
        <f t="shared" si="11"/>
        <v>0</v>
      </c>
      <c r="V20" s="59">
        <f t="shared" si="12"/>
        <v>0</v>
      </c>
      <c r="W20" s="59">
        <f t="shared" si="13"/>
        <v>0</v>
      </c>
      <c r="X20" s="67"/>
      <c r="Y20" s="10">
        <v>0</v>
      </c>
      <c r="Z20" s="10">
        <v>0</v>
      </c>
      <c r="AA20" s="74">
        <f t="shared" si="14"/>
        <v>0</v>
      </c>
      <c r="AB20" s="28">
        <f t="shared" si="15"/>
        <v>0</v>
      </c>
      <c r="AC20" s="28">
        <f t="shared" si="15"/>
        <v>0</v>
      </c>
      <c r="AD20" s="28">
        <f t="shared" ref="AD20:AF20" si="37">AC20</f>
        <v>0</v>
      </c>
      <c r="AE20" s="74">
        <f t="shared" si="17"/>
        <v>0</v>
      </c>
      <c r="AF20" s="28">
        <f t="shared" si="37"/>
        <v>0</v>
      </c>
      <c r="AG20" s="28">
        <f t="shared" ref="AG20:AH20" si="38">AF20</f>
        <v>0</v>
      </c>
      <c r="AH20" s="28">
        <f t="shared" si="38"/>
        <v>0</v>
      </c>
      <c r="AI20" s="74">
        <f t="shared" si="19"/>
        <v>0</v>
      </c>
    </row>
    <row r="21" spans="1:35" x14ac:dyDescent="0.25">
      <c r="A21" t="s">
        <v>81</v>
      </c>
      <c r="B21" t="str">
        <f>INDEX(AdjustPorts2030!$D:$D,MATCH($C21,AdjustPorts2030!$C:$C,0))</f>
        <v>In-state</v>
      </c>
      <c r="C21" s="57" t="s">
        <v>28</v>
      </c>
      <c r="D21" s="58" t="s">
        <v>142</v>
      </c>
      <c r="E21" s="59">
        <v>0</v>
      </c>
      <c r="F21" s="59">
        <v>0</v>
      </c>
      <c r="G21" s="59">
        <v>0</v>
      </c>
      <c r="H21" s="59">
        <v>0</v>
      </c>
      <c r="J21" s="59">
        <v>0</v>
      </c>
      <c r="K21" s="59">
        <v>0</v>
      </c>
      <c r="L21" s="59">
        <v>0</v>
      </c>
      <c r="M21" s="59">
        <v>0</v>
      </c>
      <c r="N21" s="67"/>
      <c r="O21" s="59">
        <f t="shared" si="6"/>
        <v>0</v>
      </c>
      <c r="P21" s="59">
        <f t="shared" si="7"/>
        <v>0</v>
      </c>
      <c r="Q21" s="59">
        <f t="shared" si="8"/>
        <v>0</v>
      </c>
      <c r="R21" s="59">
        <f t="shared" si="9"/>
        <v>0</v>
      </c>
      <c r="T21" s="59">
        <f t="shared" si="10"/>
        <v>0</v>
      </c>
      <c r="U21" s="59">
        <f t="shared" si="11"/>
        <v>0</v>
      </c>
      <c r="V21" s="59">
        <f t="shared" si="12"/>
        <v>0</v>
      </c>
      <c r="W21" s="59">
        <f t="shared" si="13"/>
        <v>0</v>
      </c>
      <c r="X21" s="67"/>
      <c r="Y21" s="10">
        <v>0</v>
      </c>
      <c r="Z21" s="10">
        <v>0</v>
      </c>
      <c r="AA21" s="74">
        <f t="shared" si="14"/>
        <v>0</v>
      </c>
      <c r="AB21" s="28">
        <f t="shared" si="15"/>
        <v>0</v>
      </c>
      <c r="AC21" s="28">
        <f t="shared" si="15"/>
        <v>0</v>
      </c>
      <c r="AD21" s="28">
        <f t="shared" ref="AD21:AF21" si="39">AC21</f>
        <v>0</v>
      </c>
      <c r="AE21" s="74">
        <f t="shared" si="17"/>
        <v>0</v>
      </c>
      <c r="AF21" s="28">
        <f t="shared" si="39"/>
        <v>0</v>
      </c>
      <c r="AG21" s="28">
        <f t="shared" ref="AG21:AH21" si="40">AF21</f>
        <v>0</v>
      </c>
      <c r="AH21" s="28">
        <f t="shared" si="40"/>
        <v>0</v>
      </c>
      <c r="AI21" s="74">
        <f t="shared" si="19"/>
        <v>0</v>
      </c>
    </row>
    <row r="22" spans="1:35" x14ac:dyDescent="0.25">
      <c r="A22" t="e">
        <v>#N/A</v>
      </c>
      <c r="B22" t="str">
        <f>INDEX(AdjustPorts2030!$D:$D,MATCH($C22,AdjustPorts2030!$C:$C,0))</f>
        <v>OOS</v>
      </c>
      <c r="C22" s="57" t="s">
        <v>29</v>
      </c>
      <c r="D22" s="58" t="e">
        <v>#N/A</v>
      </c>
      <c r="E22" s="59">
        <v>0</v>
      </c>
      <c r="F22" s="59">
        <v>0</v>
      </c>
      <c r="G22" s="59">
        <v>0</v>
      </c>
      <c r="H22" s="59">
        <v>0</v>
      </c>
      <c r="J22" s="59">
        <v>0</v>
      </c>
      <c r="K22" s="59">
        <v>0</v>
      </c>
      <c r="L22" s="59">
        <v>0</v>
      </c>
      <c r="M22" s="59">
        <v>0</v>
      </c>
      <c r="N22" s="67"/>
      <c r="O22" s="59">
        <f t="shared" si="6"/>
        <v>0</v>
      </c>
      <c r="P22" s="59">
        <f t="shared" si="7"/>
        <v>0</v>
      </c>
      <c r="Q22" s="59">
        <f t="shared" si="8"/>
        <v>0</v>
      </c>
      <c r="R22" s="59">
        <f t="shared" si="9"/>
        <v>0</v>
      </c>
      <c r="T22" s="59">
        <f t="shared" si="10"/>
        <v>0</v>
      </c>
      <c r="U22" s="59">
        <f t="shared" si="11"/>
        <v>0</v>
      </c>
      <c r="V22" s="59">
        <f t="shared" si="12"/>
        <v>0</v>
      </c>
      <c r="W22" s="59">
        <f t="shared" si="13"/>
        <v>0</v>
      </c>
      <c r="X22" s="67"/>
      <c r="Y22" s="10">
        <v>0</v>
      </c>
      <c r="Z22" s="10">
        <v>0</v>
      </c>
      <c r="AA22" s="74">
        <f t="shared" si="14"/>
        <v>0</v>
      </c>
      <c r="AB22" s="28">
        <f t="shared" si="15"/>
        <v>0</v>
      </c>
      <c r="AC22" s="28">
        <f t="shared" si="15"/>
        <v>0</v>
      </c>
      <c r="AD22" s="28">
        <f t="shared" ref="AD22:AF22" si="41">AC22</f>
        <v>0</v>
      </c>
      <c r="AE22" s="74">
        <f t="shared" si="17"/>
        <v>0</v>
      </c>
      <c r="AF22" s="28">
        <f t="shared" si="41"/>
        <v>0</v>
      </c>
      <c r="AG22" s="28">
        <f t="shared" ref="AG22:AH22" si="42">AF22</f>
        <v>0</v>
      </c>
      <c r="AH22" s="28">
        <f t="shared" si="42"/>
        <v>0</v>
      </c>
      <c r="AI22" s="74">
        <f t="shared" si="19"/>
        <v>0</v>
      </c>
    </row>
    <row r="23" spans="1:35" x14ac:dyDescent="0.25">
      <c r="A23" t="e">
        <v>#N/A</v>
      </c>
      <c r="B23" t="str">
        <f>INDEX(AdjustPorts2030!$D:$D,MATCH($C23,AdjustPorts2030!$C:$C,0))</f>
        <v>OOS</v>
      </c>
      <c r="C23" s="57" t="s">
        <v>30</v>
      </c>
      <c r="D23" s="58" t="e">
        <v>#N/A</v>
      </c>
      <c r="E23" s="59">
        <v>0</v>
      </c>
      <c r="F23" s="59">
        <v>0</v>
      </c>
      <c r="G23" s="59">
        <v>0</v>
      </c>
      <c r="H23" s="59">
        <v>0</v>
      </c>
      <c r="J23" s="59">
        <v>0</v>
      </c>
      <c r="K23" s="59">
        <v>0</v>
      </c>
      <c r="L23" s="59">
        <v>0</v>
      </c>
      <c r="M23" s="59">
        <v>0</v>
      </c>
      <c r="N23" s="67"/>
      <c r="O23" s="59">
        <f t="shared" si="6"/>
        <v>0</v>
      </c>
      <c r="P23" s="59">
        <f t="shared" si="7"/>
        <v>0</v>
      </c>
      <c r="Q23" s="59">
        <f t="shared" si="8"/>
        <v>0</v>
      </c>
      <c r="R23" s="59">
        <f t="shared" si="9"/>
        <v>0</v>
      </c>
      <c r="T23" s="59">
        <f t="shared" si="10"/>
        <v>0</v>
      </c>
      <c r="U23" s="59">
        <f t="shared" si="11"/>
        <v>0</v>
      </c>
      <c r="V23" s="59">
        <f t="shared" si="12"/>
        <v>0</v>
      </c>
      <c r="W23" s="59">
        <f t="shared" si="13"/>
        <v>0</v>
      </c>
      <c r="X23" s="67"/>
      <c r="Y23" s="10">
        <v>0</v>
      </c>
      <c r="Z23" s="10">
        <v>0</v>
      </c>
      <c r="AA23" s="74">
        <f t="shared" si="14"/>
        <v>0</v>
      </c>
      <c r="AB23" s="28">
        <f t="shared" si="15"/>
        <v>0</v>
      </c>
      <c r="AC23" s="28">
        <f t="shared" si="15"/>
        <v>0</v>
      </c>
      <c r="AD23" s="28">
        <f t="shared" ref="AD23:AF23" si="43">AC23</f>
        <v>0</v>
      </c>
      <c r="AE23" s="74">
        <f t="shared" si="17"/>
        <v>0</v>
      </c>
      <c r="AF23" s="28">
        <f t="shared" si="43"/>
        <v>0</v>
      </c>
      <c r="AG23" s="28">
        <f t="shared" ref="AG23:AH23" si="44">AF23</f>
        <v>0</v>
      </c>
      <c r="AH23" s="28">
        <f t="shared" si="44"/>
        <v>0</v>
      </c>
      <c r="AI23" s="74">
        <f t="shared" si="19"/>
        <v>0</v>
      </c>
    </row>
    <row r="24" spans="1:35" x14ac:dyDescent="0.25">
      <c r="A24" t="s">
        <v>82</v>
      </c>
      <c r="B24" t="str">
        <f>INDEX(AdjustPorts2030!$D:$D,MATCH($C24,AdjustPorts2030!$C:$C,0))</f>
        <v>In-state</v>
      </c>
      <c r="C24" s="57" t="s">
        <v>31</v>
      </c>
      <c r="D24" s="58" t="s">
        <v>138</v>
      </c>
      <c r="E24" s="59">
        <v>0</v>
      </c>
      <c r="F24" s="59">
        <v>801.5812367107111</v>
      </c>
      <c r="G24" s="59">
        <v>801.5812367107111</v>
      </c>
      <c r="H24" s="59">
        <v>801.5812367107111</v>
      </c>
      <c r="J24" s="59">
        <v>0</v>
      </c>
      <c r="K24" s="59">
        <v>2204.3484009544554</v>
      </c>
      <c r="L24" s="59">
        <v>2204.3484009544554</v>
      </c>
      <c r="M24" s="59">
        <v>2204.3484009544554</v>
      </c>
      <c r="N24" s="67"/>
      <c r="O24" s="59">
        <f t="shared" si="6"/>
        <v>0</v>
      </c>
      <c r="P24" s="59">
        <f t="shared" si="7"/>
        <v>801.5812367107111</v>
      </c>
      <c r="Q24" s="59">
        <f t="shared" si="8"/>
        <v>801.5812367107111</v>
      </c>
      <c r="R24" s="59">
        <f t="shared" si="9"/>
        <v>801.5812367107111</v>
      </c>
      <c r="T24" s="59">
        <f t="shared" si="10"/>
        <v>0</v>
      </c>
      <c r="U24" s="59">
        <f t="shared" si="11"/>
        <v>2204.3484009544554</v>
      </c>
      <c r="V24" s="59">
        <f t="shared" si="12"/>
        <v>2204.3484009544554</v>
      </c>
      <c r="W24" s="59">
        <f t="shared" si="13"/>
        <v>2204.3484009544554</v>
      </c>
      <c r="X24" s="67"/>
      <c r="Y24" s="10">
        <v>0</v>
      </c>
      <c r="Z24" s="10">
        <f t="shared" si="26"/>
        <v>1502.9648188325832</v>
      </c>
      <c r="AA24" s="74">
        <f t="shared" si="14"/>
        <v>3005.9296376651664</v>
      </c>
      <c r="AB24" s="28">
        <f t="shared" si="15"/>
        <v>3005.9296376651664</v>
      </c>
      <c r="AC24" s="28">
        <f t="shared" si="15"/>
        <v>3005.9296376651664</v>
      </c>
      <c r="AD24" s="28">
        <f t="shared" ref="AD24:AF24" si="45">AC24</f>
        <v>3005.9296376651664</v>
      </c>
      <c r="AE24" s="74">
        <f t="shared" si="17"/>
        <v>3005.9296376651664</v>
      </c>
      <c r="AF24" s="28">
        <f t="shared" si="45"/>
        <v>3005.9296376651664</v>
      </c>
      <c r="AG24" s="28">
        <f t="shared" ref="AG24:AH24" si="46">AF24</f>
        <v>3005.9296376651664</v>
      </c>
      <c r="AH24" s="28">
        <f t="shared" si="46"/>
        <v>3005.9296376651664</v>
      </c>
      <c r="AI24" s="74">
        <f t="shared" si="19"/>
        <v>3005.9296376651664</v>
      </c>
    </row>
    <row r="25" spans="1:35" x14ac:dyDescent="0.25">
      <c r="A25" t="e">
        <v>#N/A</v>
      </c>
      <c r="B25" t="str">
        <f>INDEX(AdjustPorts2030!$D:$D,MATCH($C25,AdjustPorts2030!$C:$C,0))</f>
        <v>OOS</v>
      </c>
      <c r="C25" s="57" t="s">
        <v>32</v>
      </c>
      <c r="D25" s="58" t="e">
        <v>#N/A</v>
      </c>
      <c r="E25" s="59">
        <v>0</v>
      </c>
      <c r="F25" s="59">
        <v>0</v>
      </c>
      <c r="G25" s="59">
        <v>0</v>
      </c>
      <c r="H25" s="59">
        <v>0</v>
      </c>
      <c r="J25" s="59">
        <v>0</v>
      </c>
      <c r="K25" s="59">
        <v>0</v>
      </c>
      <c r="L25" s="59">
        <v>0</v>
      </c>
      <c r="M25" s="59">
        <v>0</v>
      </c>
      <c r="N25" s="67"/>
      <c r="O25" s="59">
        <f t="shared" si="6"/>
        <v>0</v>
      </c>
      <c r="P25" s="59">
        <f t="shared" si="7"/>
        <v>0</v>
      </c>
      <c r="Q25" s="59">
        <f t="shared" si="8"/>
        <v>0</v>
      </c>
      <c r="R25" s="59">
        <f t="shared" si="9"/>
        <v>0</v>
      </c>
      <c r="T25" s="59">
        <f t="shared" si="10"/>
        <v>0</v>
      </c>
      <c r="U25" s="59">
        <f t="shared" si="11"/>
        <v>0</v>
      </c>
      <c r="V25" s="59">
        <f t="shared" si="12"/>
        <v>0</v>
      </c>
      <c r="W25" s="59">
        <f t="shared" si="13"/>
        <v>0</v>
      </c>
      <c r="X25" s="67"/>
      <c r="Y25" s="10">
        <v>0</v>
      </c>
      <c r="Z25" s="10">
        <v>0</v>
      </c>
      <c r="AA25" s="74">
        <f t="shared" si="14"/>
        <v>0</v>
      </c>
      <c r="AB25" s="28">
        <f t="shared" si="15"/>
        <v>0</v>
      </c>
      <c r="AC25" s="28">
        <f t="shared" si="15"/>
        <v>0</v>
      </c>
      <c r="AD25" s="28">
        <f t="shared" ref="AD25:AF25" si="47">AC25</f>
        <v>0</v>
      </c>
      <c r="AE25" s="74">
        <f t="shared" si="17"/>
        <v>0</v>
      </c>
      <c r="AF25" s="28">
        <f t="shared" si="47"/>
        <v>0</v>
      </c>
      <c r="AG25" s="28">
        <f t="shared" ref="AG25:AH25" si="48">AF25</f>
        <v>0</v>
      </c>
      <c r="AH25" s="28">
        <f t="shared" si="48"/>
        <v>0</v>
      </c>
      <c r="AI25" s="74">
        <f t="shared" si="19"/>
        <v>0</v>
      </c>
    </row>
    <row r="26" spans="1:35" x14ac:dyDescent="0.25">
      <c r="A26" t="e">
        <v>#N/A</v>
      </c>
      <c r="B26" t="str">
        <f>INDEX(AdjustPorts2030!$D:$D,MATCH($C26,AdjustPorts2030!$C:$C,0))</f>
        <v>OOS</v>
      </c>
      <c r="C26" s="57" t="s">
        <v>33</v>
      </c>
      <c r="D26" s="58" t="e">
        <v>#N/A</v>
      </c>
      <c r="E26" s="59">
        <v>0</v>
      </c>
      <c r="F26" s="59">
        <v>0</v>
      </c>
      <c r="G26" s="59">
        <v>0</v>
      </c>
      <c r="H26" s="59">
        <v>0</v>
      </c>
      <c r="J26" s="59">
        <v>0</v>
      </c>
      <c r="K26" s="59">
        <v>0</v>
      </c>
      <c r="L26" s="59">
        <v>0</v>
      </c>
      <c r="M26" s="59">
        <v>0</v>
      </c>
      <c r="N26" s="67"/>
      <c r="O26" s="59">
        <f t="shared" si="6"/>
        <v>0</v>
      </c>
      <c r="P26" s="59">
        <f t="shared" si="7"/>
        <v>0</v>
      </c>
      <c r="Q26" s="59">
        <f t="shared" si="8"/>
        <v>0</v>
      </c>
      <c r="R26" s="59">
        <f t="shared" si="9"/>
        <v>0</v>
      </c>
      <c r="T26" s="59">
        <f t="shared" si="10"/>
        <v>0</v>
      </c>
      <c r="U26" s="59">
        <f t="shared" si="11"/>
        <v>0</v>
      </c>
      <c r="V26" s="59">
        <f t="shared" si="12"/>
        <v>0</v>
      </c>
      <c r="W26" s="59">
        <f t="shared" si="13"/>
        <v>0</v>
      </c>
      <c r="X26" s="67"/>
      <c r="Y26" s="10">
        <v>0</v>
      </c>
      <c r="Z26" s="10">
        <v>0</v>
      </c>
      <c r="AA26" s="74">
        <f t="shared" si="14"/>
        <v>0</v>
      </c>
      <c r="AB26" s="28">
        <f t="shared" si="15"/>
        <v>0</v>
      </c>
      <c r="AC26" s="28">
        <f t="shared" si="15"/>
        <v>0</v>
      </c>
      <c r="AD26" s="28">
        <f t="shared" ref="AD26:AF26" si="49">AC26</f>
        <v>0</v>
      </c>
      <c r="AE26" s="74">
        <f t="shared" si="17"/>
        <v>0</v>
      </c>
      <c r="AF26" s="28">
        <f t="shared" si="49"/>
        <v>0</v>
      </c>
      <c r="AG26" s="28">
        <f t="shared" ref="AG26:AH26" si="50">AF26</f>
        <v>0</v>
      </c>
      <c r="AH26" s="28">
        <f t="shared" si="50"/>
        <v>0</v>
      </c>
      <c r="AI26" s="74">
        <f t="shared" si="19"/>
        <v>0</v>
      </c>
    </row>
    <row r="27" spans="1:35" x14ac:dyDescent="0.25">
      <c r="A27" t="s">
        <v>80</v>
      </c>
      <c r="B27" t="str">
        <f>INDEX(AdjustPorts2030!$D:$D,MATCH($C27,AdjustPorts2030!$C:$C,0))</f>
        <v>In-state</v>
      </c>
      <c r="C27" s="57" t="s">
        <v>34</v>
      </c>
      <c r="D27" s="58" t="e">
        <v>#N/A</v>
      </c>
      <c r="E27" s="59">
        <v>0</v>
      </c>
      <c r="F27" s="59">
        <v>0</v>
      </c>
      <c r="G27" s="59">
        <v>0</v>
      </c>
      <c r="H27" s="59">
        <v>0</v>
      </c>
      <c r="J27" s="59">
        <v>0</v>
      </c>
      <c r="K27" s="59">
        <v>0</v>
      </c>
      <c r="L27" s="59">
        <v>0</v>
      </c>
      <c r="M27" s="59">
        <v>0</v>
      </c>
      <c r="N27" s="67"/>
      <c r="O27" s="59">
        <f t="shared" si="6"/>
        <v>0</v>
      </c>
      <c r="P27" s="59">
        <f t="shared" si="7"/>
        <v>0</v>
      </c>
      <c r="Q27" s="59">
        <f t="shared" si="8"/>
        <v>0</v>
      </c>
      <c r="R27" s="59">
        <f t="shared" si="9"/>
        <v>0</v>
      </c>
      <c r="T27" s="59">
        <f t="shared" si="10"/>
        <v>0</v>
      </c>
      <c r="U27" s="59">
        <f t="shared" si="11"/>
        <v>0</v>
      </c>
      <c r="V27" s="59">
        <f t="shared" si="12"/>
        <v>0</v>
      </c>
      <c r="W27" s="59">
        <f t="shared" si="13"/>
        <v>0</v>
      </c>
      <c r="X27" s="67"/>
      <c r="Y27" s="10">
        <v>0</v>
      </c>
      <c r="Z27" s="10">
        <v>0</v>
      </c>
      <c r="AA27" s="74">
        <f t="shared" si="14"/>
        <v>0</v>
      </c>
      <c r="AB27" s="28">
        <f t="shared" si="15"/>
        <v>0</v>
      </c>
      <c r="AC27" s="28">
        <f t="shared" si="15"/>
        <v>0</v>
      </c>
      <c r="AD27" s="28">
        <f t="shared" ref="AD27:AF27" si="51">AC27</f>
        <v>0</v>
      </c>
      <c r="AE27" s="74">
        <f t="shared" si="17"/>
        <v>0</v>
      </c>
      <c r="AF27" s="28">
        <f t="shared" si="51"/>
        <v>0</v>
      </c>
      <c r="AG27" s="28">
        <f t="shared" ref="AG27:AH27" si="52">AF27</f>
        <v>0</v>
      </c>
      <c r="AH27" s="28">
        <f t="shared" si="52"/>
        <v>0</v>
      </c>
      <c r="AI27" s="74">
        <f t="shared" si="19"/>
        <v>0</v>
      </c>
    </row>
    <row r="28" spans="1:35" x14ac:dyDescent="0.25">
      <c r="A28" t="s">
        <v>81</v>
      </c>
      <c r="B28" t="str">
        <f>INDEX(AdjustPorts2030!$D:$D,MATCH($C28,AdjustPorts2030!$C:$C,0))</f>
        <v>In-state</v>
      </c>
      <c r="C28" s="57" t="s">
        <v>35</v>
      </c>
      <c r="D28" s="58" t="s">
        <v>133</v>
      </c>
      <c r="E28" s="59">
        <v>0</v>
      </c>
      <c r="F28" s="59">
        <v>0</v>
      </c>
      <c r="G28" s="59">
        <v>0</v>
      </c>
      <c r="H28" s="59">
        <v>0</v>
      </c>
      <c r="J28" s="59">
        <v>642.99651279836792</v>
      </c>
      <c r="K28" s="59">
        <v>642.99651279836792</v>
      </c>
      <c r="L28" s="59">
        <v>642.99651279836792</v>
      </c>
      <c r="M28" s="59">
        <v>642.99651279836792</v>
      </c>
      <c r="N28" s="67"/>
      <c r="O28" s="59">
        <f t="shared" si="6"/>
        <v>0</v>
      </c>
      <c r="P28" s="59">
        <f t="shared" si="7"/>
        <v>0</v>
      </c>
      <c r="Q28" s="59">
        <f t="shared" si="8"/>
        <v>0</v>
      </c>
      <c r="R28" s="59">
        <f t="shared" si="9"/>
        <v>0</v>
      </c>
      <c r="T28" s="59">
        <f t="shared" si="10"/>
        <v>642.99651279836792</v>
      </c>
      <c r="U28" s="59">
        <f t="shared" si="11"/>
        <v>642.99651279836792</v>
      </c>
      <c r="V28" s="59">
        <f t="shared" si="12"/>
        <v>642.99651279836792</v>
      </c>
      <c r="W28" s="59">
        <f t="shared" si="13"/>
        <v>642.99651279836792</v>
      </c>
      <c r="X28" s="67"/>
      <c r="Y28" s="10">
        <v>0</v>
      </c>
      <c r="Z28" s="10">
        <f t="shared" si="26"/>
        <v>321.49825639918396</v>
      </c>
      <c r="AA28" s="74">
        <f t="shared" si="14"/>
        <v>642.99651279836792</v>
      </c>
      <c r="AB28" s="28">
        <f t="shared" si="15"/>
        <v>642.99651279836792</v>
      </c>
      <c r="AC28" s="28">
        <f t="shared" si="15"/>
        <v>642.99651279836792</v>
      </c>
      <c r="AD28" s="28">
        <f t="shared" ref="AD28:AF28" si="53">AC28</f>
        <v>642.99651279836792</v>
      </c>
      <c r="AE28" s="74">
        <f t="shared" si="17"/>
        <v>642.99651279836792</v>
      </c>
      <c r="AF28" s="28">
        <f t="shared" si="53"/>
        <v>642.99651279836792</v>
      </c>
      <c r="AG28" s="28">
        <f t="shared" ref="AG28:AH28" si="54">AF28</f>
        <v>642.99651279836792</v>
      </c>
      <c r="AH28" s="28">
        <f t="shared" si="54"/>
        <v>642.99651279836792</v>
      </c>
      <c r="AI28" s="74">
        <f t="shared" si="19"/>
        <v>642.99651279836792</v>
      </c>
    </row>
    <row r="29" spans="1:35" x14ac:dyDescent="0.25">
      <c r="A29" t="s">
        <v>80</v>
      </c>
      <c r="B29" t="str">
        <f>INDEX(AdjustPorts2030!$D:$D,MATCH($C29,AdjustPorts2030!$C:$C,0))</f>
        <v>In-state</v>
      </c>
      <c r="C29" s="57" t="s">
        <v>36</v>
      </c>
      <c r="D29" s="58" t="s">
        <v>134</v>
      </c>
      <c r="E29" s="59">
        <v>145.99970852405221</v>
      </c>
      <c r="F29" s="59">
        <v>145.99970852405221</v>
      </c>
      <c r="G29" s="59">
        <v>145.99970852405221</v>
      </c>
      <c r="H29" s="59">
        <v>145.99970852405221</v>
      </c>
      <c r="J29" s="59">
        <v>0</v>
      </c>
      <c r="K29" s="59">
        <v>0</v>
      </c>
      <c r="L29" s="59">
        <v>0</v>
      </c>
      <c r="M29" s="59">
        <v>0</v>
      </c>
      <c r="N29" s="67"/>
      <c r="O29" s="59">
        <f t="shared" si="6"/>
        <v>145.99970852405221</v>
      </c>
      <c r="P29" s="59">
        <f t="shared" si="7"/>
        <v>145.99970852405221</v>
      </c>
      <c r="Q29" s="59">
        <f t="shared" si="8"/>
        <v>145.99970852405221</v>
      </c>
      <c r="R29" s="59">
        <f t="shared" si="9"/>
        <v>145.99970852405221</v>
      </c>
      <c r="T29" s="59">
        <f t="shared" si="10"/>
        <v>0</v>
      </c>
      <c r="U29" s="59">
        <f t="shared" si="11"/>
        <v>0</v>
      </c>
      <c r="V29" s="59">
        <f t="shared" si="12"/>
        <v>0</v>
      </c>
      <c r="W29" s="59">
        <f t="shared" si="13"/>
        <v>0</v>
      </c>
      <c r="X29" s="67"/>
      <c r="Y29" s="10">
        <v>0</v>
      </c>
      <c r="Z29" s="10">
        <f t="shared" si="26"/>
        <v>72.999854262026105</v>
      </c>
      <c r="AA29" s="74">
        <f t="shared" si="14"/>
        <v>145.99970852405221</v>
      </c>
      <c r="AB29" s="28">
        <f t="shared" si="15"/>
        <v>145.99970852405221</v>
      </c>
      <c r="AC29" s="28">
        <f t="shared" si="15"/>
        <v>145.99970852405221</v>
      </c>
      <c r="AD29" s="28">
        <f t="shared" ref="AD29:AF29" si="55">AC29</f>
        <v>145.99970852405221</v>
      </c>
      <c r="AE29" s="74">
        <f t="shared" si="17"/>
        <v>145.99970852405221</v>
      </c>
      <c r="AF29" s="28">
        <f t="shared" si="55"/>
        <v>145.99970852405221</v>
      </c>
      <c r="AG29" s="28">
        <f t="shared" ref="AG29:AH29" si="56">AF29</f>
        <v>145.99970852405221</v>
      </c>
      <c r="AH29" s="28">
        <f t="shared" si="56"/>
        <v>145.99970852405221</v>
      </c>
      <c r="AI29" s="74">
        <f t="shared" si="19"/>
        <v>145.99970852405221</v>
      </c>
    </row>
    <row r="30" spans="1:35" x14ac:dyDescent="0.25">
      <c r="A30" t="s">
        <v>80</v>
      </c>
      <c r="B30" t="str">
        <f>INDEX(AdjustPorts2030!$D:$D,MATCH($C30,AdjustPorts2030!$C:$C,0))</f>
        <v>In-state</v>
      </c>
      <c r="C30" s="57" t="s">
        <v>37</v>
      </c>
      <c r="D30" s="58" t="s">
        <v>136</v>
      </c>
      <c r="E30" s="59">
        <v>0</v>
      </c>
      <c r="F30" s="59">
        <v>0</v>
      </c>
      <c r="G30" s="59">
        <v>0</v>
      </c>
      <c r="H30" s="59">
        <v>0</v>
      </c>
      <c r="J30" s="59">
        <v>160.14912049185486</v>
      </c>
      <c r="K30" s="59">
        <v>160.14912049185486</v>
      </c>
      <c r="L30" s="59">
        <v>160.14912049185486</v>
      </c>
      <c r="M30" s="59">
        <v>160.14912049185486</v>
      </c>
      <c r="N30" s="67"/>
      <c r="O30" s="59">
        <f t="shared" si="6"/>
        <v>0</v>
      </c>
      <c r="P30" s="59">
        <f t="shared" si="7"/>
        <v>0</v>
      </c>
      <c r="Q30" s="59">
        <f t="shared" si="8"/>
        <v>0</v>
      </c>
      <c r="R30" s="59">
        <f t="shared" si="9"/>
        <v>0</v>
      </c>
      <c r="T30" s="59">
        <f t="shared" si="10"/>
        <v>160.14912049185486</v>
      </c>
      <c r="U30" s="59">
        <f t="shared" si="11"/>
        <v>160.14912049185486</v>
      </c>
      <c r="V30" s="59">
        <f t="shared" si="12"/>
        <v>160.14912049185486</v>
      </c>
      <c r="W30" s="59">
        <f t="shared" si="13"/>
        <v>160.14912049185486</v>
      </c>
      <c r="X30" s="67"/>
      <c r="Y30" s="10">
        <v>0</v>
      </c>
      <c r="Z30" s="10">
        <f t="shared" si="26"/>
        <v>80.074560245927429</v>
      </c>
      <c r="AA30" s="74">
        <f t="shared" si="14"/>
        <v>160.14912049185486</v>
      </c>
      <c r="AB30" s="28">
        <f t="shared" si="15"/>
        <v>160.14912049185486</v>
      </c>
      <c r="AC30" s="28">
        <f t="shared" si="15"/>
        <v>160.14912049185486</v>
      </c>
      <c r="AD30" s="28">
        <f t="shared" ref="AD30:AF30" si="57">AC30</f>
        <v>160.14912049185486</v>
      </c>
      <c r="AE30" s="74">
        <f t="shared" si="17"/>
        <v>160.14912049185486</v>
      </c>
      <c r="AF30" s="28">
        <f t="shared" si="57"/>
        <v>160.14912049185486</v>
      </c>
      <c r="AG30" s="28">
        <f t="shared" ref="AG30:AH30" si="58">AF30</f>
        <v>160.14912049185486</v>
      </c>
      <c r="AH30" s="28">
        <f t="shared" si="58"/>
        <v>160.14912049185486</v>
      </c>
      <c r="AI30" s="74">
        <f t="shared" si="19"/>
        <v>160.14912049185486</v>
      </c>
    </row>
    <row r="31" spans="1:35" x14ac:dyDescent="0.25">
      <c r="A31" t="s">
        <v>82</v>
      </c>
      <c r="B31" t="str">
        <f>INDEX(AdjustPorts2030!$D:$D,MATCH($C31,AdjustPorts2030!$C:$C,0))</f>
        <v>In-state</v>
      </c>
      <c r="C31" s="57" t="s">
        <v>38</v>
      </c>
      <c r="D31" s="58" t="s">
        <v>121</v>
      </c>
      <c r="E31" s="59">
        <v>153.37143439295977</v>
      </c>
      <c r="F31" s="59">
        <v>153.37143439295977</v>
      </c>
      <c r="G31" s="59">
        <v>153.37143439295977</v>
      </c>
      <c r="H31" s="59">
        <v>153.37143439295977</v>
      </c>
      <c r="J31" s="59">
        <v>0</v>
      </c>
      <c r="K31" s="59">
        <v>0</v>
      </c>
      <c r="L31" s="59">
        <v>0</v>
      </c>
      <c r="M31" s="59">
        <v>0</v>
      </c>
      <c r="N31" s="67"/>
      <c r="O31" s="59">
        <f t="shared" si="6"/>
        <v>153.37143439295977</v>
      </c>
      <c r="P31" s="59">
        <f t="shared" si="7"/>
        <v>153.37143439295977</v>
      </c>
      <c r="Q31" s="59">
        <f t="shared" si="8"/>
        <v>153.37143439295977</v>
      </c>
      <c r="R31" s="59">
        <f t="shared" si="9"/>
        <v>153.37143439295977</v>
      </c>
      <c r="T31" s="59">
        <f t="shared" si="10"/>
        <v>0</v>
      </c>
      <c r="U31" s="59">
        <f t="shared" si="11"/>
        <v>0</v>
      </c>
      <c r="V31" s="59">
        <f t="shared" si="12"/>
        <v>0</v>
      </c>
      <c r="W31" s="59">
        <f t="shared" si="13"/>
        <v>0</v>
      </c>
      <c r="X31" s="67"/>
      <c r="Y31" s="10">
        <v>0</v>
      </c>
      <c r="Z31" s="10">
        <f t="shared" si="26"/>
        <v>76.685717196479885</v>
      </c>
      <c r="AA31" s="74">
        <f t="shared" si="14"/>
        <v>153.37143439295977</v>
      </c>
      <c r="AB31" s="28">
        <f t="shared" si="15"/>
        <v>153.37143439295977</v>
      </c>
      <c r="AC31" s="28">
        <f t="shared" si="15"/>
        <v>153.37143439295977</v>
      </c>
      <c r="AD31" s="28">
        <f t="shared" ref="AD31:AF31" si="59">AC31</f>
        <v>153.37143439295977</v>
      </c>
      <c r="AE31" s="74">
        <f t="shared" si="17"/>
        <v>153.37143439295977</v>
      </c>
      <c r="AF31" s="28">
        <f t="shared" si="59"/>
        <v>153.37143439295977</v>
      </c>
      <c r="AG31" s="28">
        <f t="shared" ref="AG31:AH31" si="60">AF31</f>
        <v>153.37143439295977</v>
      </c>
      <c r="AH31" s="28">
        <f t="shared" si="60"/>
        <v>153.37143439295977</v>
      </c>
      <c r="AI31" s="74">
        <f t="shared" si="19"/>
        <v>153.37143439295977</v>
      </c>
    </row>
    <row r="32" spans="1:35" x14ac:dyDescent="0.25">
      <c r="A32" t="e">
        <v>#N/A</v>
      </c>
      <c r="B32" t="str">
        <f>INDEX(AdjustPorts2030!$D:$D,MATCH($C32,AdjustPorts2030!$C:$C,0))</f>
        <v>In-state</v>
      </c>
      <c r="C32" s="57" t="s">
        <v>39</v>
      </c>
      <c r="D32" s="58" t="e">
        <v>#N/A</v>
      </c>
      <c r="E32" s="59">
        <v>0</v>
      </c>
      <c r="F32" s="59">
        <v>0</v>
      </c>
      <c r="G32" s="59">
        <v>0</v>
      </c>
      <c r="H32" s="59">
        <v>0</v>
      </c>
      <c r="J32" s="59">
        <v>0</v>
      </c>
      <c r="K32" s="59">
        <v>0</v>
      </c>
      <c r="L32" s="59">
        <v>0</v>
      </c>
      <c r="M32" s="59">
        <v>0</v>
      </c>
      <c r="N32" s="67"/>
      <c r="O32" s="59">
        <f t="shared" si="6"/>
        <v>0</v>
      </c>
      <c r="P32" s="59">
        <f t="shared" si="7"/>
        <v>0</v>
      </c>
      <c r="Q32" s="59">
        <f t="shared" si="8"/>
        <v>0</v>
      </c>
      <c r="R32" s="59">
        <f t="shared" si="9"/>
        <v>0</v>
      </c>
      <c r="T32" s="59">
        <f t="shared" si="10"/>
        <v>0</v>
      </c>
      <c r="U32" s="59">
        <f t="shared" si="11"/>
        <v>0</v>
      </c>
      <c r="V32" s="59">
        <f t="shared" si="12"/>
        <v>0</v>
      </c>
      <c r="W32" s="59">
        <f t="shared" si="13"/>
        <v>0</v>
      </c>
      <c r="X32" s="67"/>
      <c r="Y32" s="10">
        <v>0</v>
      </c>
      <c r="Z32" s="10">
        <v>0</v>
      </c>
      <c r="AA32" s="74">
        <f t="shared" si="14"/>
        <v>0</v>
      </c>
      <c r="AB32" s="28">
        <f t="shared" si="15"/>
        <v>0</v>
      </c>
      <c r="AC32" s="28">
        <f t="shared" si="15"/>
        <v>0</v>
      </c>
      <c r="AD32" s="28">
        <f t="shared" ref="AD32:AF32" si="61">AC32</f>
        <v>0</v>
      </c>
      <c r="AE32" s="74">
        <f t="shared" si="17"/>
        <v>0</v>
      </c>
      <c r="AF32" s="28">
        <f t="shared" si="61"/>
        <v>0</v>
      </c>
      <c r="AG32" s="28">
        <f t="shared" ref="AG32:AH32" si="62">AF32</f>
        <v>0</v>
      </c>
      <c r="AH32" s="28">
        <f t="shared" si="62"/>
        <v>0</v>
      </c>
      <c r="AI32" s="74">
        <f t="shared" si="19"/>
        <v>0</v>
      </c>
    </row>
    <row r="33" spans="1:35" x14ac:dyDescent="0.25">
      <c r="A33" t="e">
        <v>#N/A</v>
      </c>
      <c r="B33" t="str">
        <f>INDEX(AdjustPorts2030!$D:$D,MATCH($C33,AdjustPorts2030!$C:$C,0))</f>
        <v>In-state</v>
      </c>
      <c r="C33" s="57" t="s">
        <v>40</v>
      </c>
      <c r="D33" s="58" t="e">
        <v>#N/A</v>
      </c>
      <c r="E33" s="59">
        <v>0</v>
      </c>
      <c r="F33" s="59">
        <v>0</v>
      </c>
      <c r="G33" s="59">
        <v>0</v>
      </c>
      <c r="H33" s="59">
        <v>0</v>
      </c>
      <c r="J33" s="59">
        <v>0</v>
      </c>
      <c r="K33" s="59">
        <v>0</v>
      </c>
      <c r="L33" s="59">
        <v>0</v>
      </c>
      <c r="M33" s="59">
        <v>0</v>
      </c>
      <c r="N33" s="67"/>
      <c r="O33" s="59">
        <f t="shared" si="6"/>
        <v>0</v>
      </c>
      <c r="P33" s="59">
        <f t="shared" si="7"/>
        <v>0</v>
      </c>
      <c r="Q33" s="59">
        <f t="shared" si="8"/>
        <v>0</v>
      </c>
      <c r="R33" s="59">
        <f t="shared" si="9"/>
        <v>0</v>
      </c>
      <c r="T33" s="59">
        <f t="shared" si="10"/>
        <v>0</v>
      </c>
      <c r="U33" s="59">
        <f t="shared" si="11"/>
        <v>0</v>
      </c>
      <c r="V33" s="59">
        <f t="shared" si="12"/>
        <v>0</v>
      </c>
      <c r="W33" s="59">
        <f t="shared" si="13"/>
        <v>0</v>
      </c>
      <c r="X33" s="67"/>
      <c r="Y33" s="10">
        <v>0</v>
      </c>
      <c r="Z33" s="10">
        <v>0</v>
      </c>
      <c r="AA33" s="74">
        <f t="shared" si="14"/>
        <v>0</v>
      </c>
      <c r="AB33" s="28">
        <f t="shared" si="15"/>
        <v>0</v>
      </c>
      <c r="AC33" s="28">
        <f t="shared" si="15"/>
        <v>0</v>
      </c>
      <c r="AD33" s="28">
        <f t="shared" ref="AD33:AF33" si="63">AC33</f>
        <v>0</v>
      </c>
      <c r="AE33" s="74">
        <f t="shared" si="17"/>
        <v>0</v>
      </c>
      <c r="AF33" s="28">
        <f t="shared" si="63"/>
        <v>0</v>
      </c>
      <c r="AG33" s="28">
        <f t="shared" ref="AG33:AH33" si="64">AF33</f>
        <v>0</v>
      </c>
      <c r="AH33" s="28">
        <f t="shared" si="64"/>
        <v>0</v>
      </c>
      <c r="AI33" s="74">
        <f t="shared" si="19"/>
        <v>0</v>
      </c>
    </row>
    <row r="34" spans="1:35" x14ac:dyDescent="0.25">
      <c r="A34" t="s">
        <v>82</v>
      </c>
      <c r="B34" t="str">
        <f>INDEX(AdjustPorts2030!$D:$D,MATCH($C34,AdjustPorts2030!$C:$C,0))</f>
        <v>In-state</v>
      </c>
      <c r="C34" s="57" t="s">
        <v>41</v>
      </c>
      <c r="D34" s="58" t="s">
        <v>140</v>
      </c>
      <c r="E34" s="59">
        <v>42.001987742679454</v>
      </c>
      <c r="F34" s="59">
        <v>42.001987742679454</v>
      </c>
      <c r="G34" s="59">
        <v>42.001987742679454</v>
      </c>
      <c r="H34" s="59">
        <v>42.001987742679454</v>
      </c>
      <c r="J34" s="59">
        <v>0</v>
      </c>
      <c r="K34" s="59">
        <v>0</v>
      </c>
      <c r="L34" s="59">
        <v>0</v>
      </c>
      <c r="M34" s="59">
        <v>0</v>
      </c>
      <c r="N34" s="67"/>
      <c r="O34" s="59">
        <f t="shared" si="6"/>
        <v>42.001987742679454</v>
      </c>
      <c r="P34" s="59">
        <f t="shared" si="7"/>
        <v>42.001987742679454</v>
      </c>
      <c r="Q34" s="59">
        <f t="shared" si="8"/>
        <v>42.001987742679454</v>
      </c>
      <c r="R34" s="59">
        <f t="shared" si="9"/>
        <v>42.001987742679454</v>
      </c>
      <c r="T34" s="59">
        <f t="shared" si="10"/>
        <v>0</v>
      </c>
      <c r="U34" s="59">
        <f t="shared" si="11"/>
        <v>0</v>
      </c>
      <c r="V34" s="59">
        <f t="shared" si="12"/>
        <v>0</v>
      </c>
      <c r="W34" s="59">
        <f t="shared" si="13"/>
        <v>0</v>
      </c>
      <c r="X34" s="67"/>
      <c r="Y34" s="10">
        <v>0</v>
      </c>
      <c r="Z34" s="10">
        <f t="shared" si="26"/>
        <v>21.000993871339727</v>
      </c>
      <c r="AA34" s="74">
        <f t="shared" si="14"/>
        <v>42.001987742679454</v>
      </c>
      <c r="AB34" s="28">
        <f t="shared" si="15"/>
        <v>42.001987742679454</v>
      </c>
      <c r="AC34" s="28">
        <f t="shared" si="15"/>
        <v>42.001987742679454</v>
      </c>
      <c r="AD34" s="28">
        <f t="shared" ref="AD34:AF34" si="65">AC34</f>
        <v>42.001987742679454</v>
      </c>
      <c r="AE34" s="74">
        <f t="shared" si="17"/>
        <v>42.001987742679454</v>
      </c>
      <c r="AF34" s="28">
        <f t="shared" si="65"/>
        <v>42.001987742679454</v>
      </c>
      <c r="AG34" s="28">
        <f t="shared" ref="AG34:AH34" si="66">AF34</f>
        <v>42.001987742679454</v>
      </c>
      <c r="AH34" s="28">
        <f t="shared" si="66"/>
        <v>42.001987742679454</v>
      </c>
      <c r="AI34" s="74">
        <f t="shared" si="19"/>
        <v>42.001987742679454</v>
      </c>
    </row>
    <row r="35" spans="1:35" x14ac:dyDescent="0.25">
      <c r="A35" t="e">
        <v>#N/A</v>
      </c>
      <c r="B35" t="str">
        <f>INDEX(AdjustPorts2030!$D:$D,MATCH($C35,AdjustPorts2030!$C:$C,0))</f>
        <v>In-state</v>
      </c>
      <c r="C35" s="57" t="s">
        <v>42</v>
      </c>
      <c r="D35" s="58" t="e">
        <v>#N/A</v>
      </c>
      <c r="E35" s="59">
        <v>0</v>
      </c>
      <c r="F35" s="59">
        <v>0</v>
      </c>
      <c r="G35" s="59">
        <v>0</v>
      </c>
      <c r="H35" s="59">
        <v>0</v>
      </c>
      <c r="J35" s="59">
        <v>0</v>
      </c>
      <c r="K35" s="59">
        <v>0</v>
      </c>
      <c r="L35" s="59">
        <v>0</v>
      </c>
      <c r="M35" s="59">
        <v>0</v>
      </c>
      <c r="N35" s="67"/>
      <c r="O35" s="59">
        <f t="shared" si="6"/>
        <v>0</v>
      </c>
      <c r="P35" s="59">
        <f t="shared" si="7"/>
        <v>0</v>
      </c>
      <c r="Q35" s="59">
        <f t="shared" si="8"/>
        <v>0</v>
      </c>
      <c r="R35" s="59">
        <f t="shared" si="9"/>
        <v>0</v>
      </c>
      <c r="T35" s="59">
        <f t="shared" si="10"/>
        <v>0</v>
      </c>
      <c r="U35" s="59">
        <f t="shared" si="11"/>
        <v>0</v>
      </c>
      <c r="V35" s="59">
        <f t="shared" si="12"/>
        <v>0</v>
      </c>
      <c r="W35" s="59">
        <f t="shared" si="13"/>
        <v>0</v>
      </c>
      <c r="X35" s="67"/>
      <c r="Y35" s="10">
        <v>0</v>
      </c>
      <c r="Z35" s="10">
        <v>0</v>
      </c>
      <c r="AA35" s="74">
        <f t="shared" si="14"/>
        <v>0</v>
      </c>
      <c r="AB35" s="28">
        <f t="shared" si="15"/>
        <v>0</v>
      </c>
      <c r="AC35" s="28">
        <f t="shared" si="15"/>
        <v>0</v>
      </c>
      <c r="AD35" s="28">
        <f t="shared" ref="AD35:AF35" si="67">AC35</f>
        <v>0</v>
      </c>
      <c r="AE35" s="74">
        <f t="shared" si="17"/>
        <v>0</v>
      </c>
      <c r="AF35" s="28">
        <f t="shared" si="67"/>
        <v>0</v>
      </c>
      <c r="AG35" s="28">
        <f t="shared" ref="AG35:AH35" si="68">AF35</f>
        <v>0</v>
      </c>
      <c r="AH35" s="28">
        <f t="shared" si="68"/>
        <v>0</v>
      </c>
      <c r="AI35" s="74">
        <f t="shared" si="19"/>
        <v>0</v>
      </c>
    </row>
    <row r="36" spans="1:35" x14ac:dyDescent="0.25">
      <c r="A36" t="e">
        <v>#N/A</v>
      </c>
      <c r="B36" t="str">
        <f>INDEX(AdjustPorts2030!$D:$D,MATCH($C36,AdjustPorts2030!$C:$C,0))</f>
        <v>In-state</v>
      </c>
      <c r="C36" s="57" t="s">
        <v>43</v>
      </c>
      <c r="D36" s="58" t="s">
        <v>142</v>
      </c>
      <c r="E36" s="59">
        <v>0</v>
      </c>
      <c r="F36" s="59">
        <v>0</v>
      </c>
      <c r="G36" s="59">
        <v>0</v>
      </c>
      <c r="H36" s="59">
        <v>0</v>
      </c>
      <c r="J36" s="59">
        <v>0</v>
      </c>
      <c r="K36" s="59">
        <v>0</v>
      </c>
      <c r="L36" s="59">
        <v>0</v>
      </c>
      <c r="M36" s="59">
        <v>0</v>
      </c>
      <c r="N36" s="67"/>
      <c r="O36" s="59">
        <f t="shared" si="6"/>
        <v>0</v>
      </c>
      <c r="P36" s="59">
        <f t="shared" si="7"/>
        <v>0</v>
      </c>
      <c r="Q36" s="59">
        <f t="shared" si="8"/>
        <v>0</v>
      </c>
      <c r="R36" s="59">
        <f t="shared" si="9"/>
        <v>0</v>
      </c>
      <c r="T36" s="59">
        <f t="shared" si="10"/>
        <v>0</v>
      </c>
      <c r="U36" s="59">
        <f t="shared" si="11"/>
        <v>0</v>
      </c>
      <c r="V36" s="59">
        <f t="shared" si="12"/>
        <v>0</v>
      </c>
      <c r="W36" s="59">
        <f t="shared" si="13"/>
        <v>0</v>
      </c>
      <c r="X36" s="67"/>
      <c r="Y36" s="10">
        <v>0</v>
      </c>
      <c r="Z36" s="10">
        <v>0</v>
      </c>
      <c r="AA36" s="74">
        <f t="shared" si="14"/>
        <v>0</v>
      </c>
      <c r="AB36" s="28">
        <f t="shared" si="15"/>
        <v>0</v>
      </c>
      <c r="AC36" s="28">
        <f t="shared" si="15"/>
        <v>0</v>
      </c>
      <c r="AD36" s="28">
        <f t="shared" ref="AD36:AF36" si="69">AC36</f>
        <v>0</v>
      </c>
      <c r="AE36" s="74">
        <f t="shared" si="17"/>
        <v>0</v>
      </c>
      <c r="AF36" s="28">
        <f t="shared" si="69"/>
        <v>0</v>
      </c>
      <c r="AG36" s="28">
        <f t="shared" ref="AG36:AH36" si="70">AF36</f>
        <v>0</v>
      </c>
      <c r="AH36" s="28">
        <f t="shared" si="70"/>
        <v>0</v>
      </c>
      <c r="AI36" s="74">
        <f t="shared" si="19"/>
        <v>0</v>
      </c>
    </row>
    <row r="37" spans="1:35" x14ac:dyDescent="0.25">
      <c r="A37" t="e">
        <v>#N/A</v>
      </c>
      <c r="B37" t="str">
        <f>INDEX(AdjustPorts2030!$D:$D,MATCH($C37,AdjustPorts2030!$C:$C,0))</f>
        <v>OOS</v>
      </c>
      <c r="C37" s="57" t="s">
        <v>44</v>
      </c>
      <c r="D37" s="58" t="e">
        <v>#N/A</v>
      </c>
      <c r="E37" s="59">
        <v>0</v>
      </c>
      <c r="F37" s="59">
        <v>0</v>
      </c>
      <c r="G37" s="59">
        <v>0</v>
      </c>
      <c r="H37" s="59">
        <v>0</v>
      </c>
      <c r="J37" s="59">
        <v>0</v>
      </c>
      <c r="K37" s="59">
        <v>0</v>
      </c>
      <c r="L37" s="59">
        <v>0</v>
      </c>
      <c r="M37" s="59">
        <v>0</v>
      </c>
      <c r="N37" s="67"/>
      <c r="O37" s="59">
        <f t="shared" si="6"/>
        <v>0</v>
      </c>
      <c r="P37" s="59">
        <f t="shared" si="7"/>
        <v>0</v>
      </c>
      <c r="Q37" s="59">
        <f t="shared" si="8"/>
        <v>0</v>
      </c>
      <c r="R37" s="59">
        <f t="shared" si="9"/>
        <v>0</v>
      </c>
      <c r="T37" s="59">
        <f t="shared" si="10"/>
        <v>0</v>
      </c>
      <c r="U37" s="59">
        <f t="shared" si="11"/>
        <v>0</v>
      </c>
      <c r="V37" s="59">
        <f t="shared" si="12"/>
        <v>0</v>
      </c>
      <c r="W37" s="59">
        <f t="shared" si="13"/>
        <v>0</v>
      </c>
      <c r="X37" s="67"/>
      <c r="Y37" s="10">
        <v>0</v>
      </c>
      <c r="Z37" s="10">
        <v>0</v>
      </c>
      <c r="AA37" s="74">
        <f t="shared" si="14"/>
        <v>0</v>
      </c>
      <c r="AB37" s="28">
        <f t="shared" si="15"/>
        <v>0</v>
      </c>
      <c r="AC37" s="28">
        <f t="shared" si="15"/>
        <v>0</v>
      </c>
      <c r="AD37" s="28">
        <f t="shared" ref="AD37:AF37" si="71">AC37</f>
        <v>0</v>
      </c>
      <c r="AE37" s="74">
        <f t="shared" si="17"/>
        <v>0</v>
      </c>
      <c r="AF37" s="28">
        <f t="shared" si="71"/>
        <v>0</v>
      </c>
      <c r="AG37" s="28">
        <f t="shared" ref="AG37:AH37" si="72">AF37</f>
        <v>0</v>
      </c>
      <c r="AH37" s="28">
        <f t="shared" si="72"/>
        <v>0</v>
      </c>
      <c r="AI37" s="74">
        <f t="shared" si="19"/>
        <v>0</v>
      </c>
    </row>
    <row r="38" spans="1:35" x14ac:dyDescent="0.25">
      <c r="A38" t="s">
        <v>84</v>
      </c>
      <c r="B38" t="str">
        <f>INDEX(AdjustPorts2030!$D:$D,MATCH($C38,AdjustPorts2030!$C:$C,0))</f>
        <v>OOS</v>
      </c>
      <c r="C38" s="57" t="s">
        <v>45</v>
      </c>
      <c r="D38" s="58" t="e">
        <v>#N/A</v>
      </c>
      <c r="E38" s="59">
        <v>0</v>
      </c>
      <c r="F38" s="59">
        <v>0</v>
      </c>
      <c r="G38" s="59">
        <v>0</v>
      </c>
      <c r="H38" s="59">
        <v>0</v>
      </c>
      <c r="J38" s="59">
        <v>0</v>
      </c>
      <c r="K38" s="59">
        <v>0</v>
      </c>
      <c r="L38" s="59">
        <v>0</v>
      </c>
      <c r="M38" s="59">
        <v>0</v>
      </c>
      <c r="N38" s="67"/>
      <c r="O38" s="59">
        <f t="shared" si="6"/>
        <v>0</v>
      </c>
      <c r="P38" s="59">
        <f t="shared" si="7"/>
        <v>0</v>
      </c>
      <c r="Q38" s="59">
        <f t="shared" si="8"/>
        <v>0</v>
      </c>
      <c r="R38" s="59">
        <f t="shared" si="9"/>
        <v>0</v>
      </c>
      <c r="T38" s="59">
        <f t="shared" si="10"/>
        <v>0</v>
      </c>
      <c r="U38" s="59">
        <f t="shared" si="11"/>
        <v>0</v>
      </c>
      <c r="V38" s="59">
        <f t="shared" si="12"/>
        <v>0</v>
      </c>
      <c r="W38" s="59">
        <f t="shared" si="13"/>
        <v>0</v>
      </c>
      <c r="X38" s="67"/>
      <c r="Y38" s="10">
        <v>0</v>
      </c>
      <c r="Z38" s="10">
        <v>0</v>
      </c>
      <c r="AA38" s="74">
        <f t="shared" si="14"/>
        <v>0</v>
      </c>
      <c r="AB38" s="28">
        <f t="shared" si="15"/>
        <v>0</v>
      </c>
      <c r="AC38" s="28">
        <f t="shared" si="15"/>
        <v>0</v>
      </c>
      <c r="AD38" s="28">
        <f t="shared" ref="AD38:AF38" si="73">AC38</f>
        <v>0</v>
      </c>
      <c r="AE38" s="74">
        <f t="shared" si="17"/>
        <v>0</v>
      </c>
      <c r="AF38" s="28">
        <f t="shared" si="73"/>
        <v>0</v>
      </c>
      <c r="AG38" s="28">
        <f t="shared" ref="AG38:AH38" si="74">AF38</f>
        <v>0</v>
      </c>
      <c r="AH38" s="28">
        <f t="shared" si="74"/>
        <v>0</v>
      </c>
      <c r="AI38" s="74">
        <f t="shared" si="19"/>
        <v>0</v>
      </c>
    </row>
    <row r="39" spans="1:35" x14ac:dyDescent="0.25">
      <c r="A39" t="s">
        <v>84</v>
      </c>
      <c r="B39" t="str">
        <f>INDEX(AdjustPorts2030!$D:$D,MATCH($C39,AdjustPorts2030!$C:$C,0))</f>
        <v>OOS</v>
      </c>
      <c r="C39" s="57" t="s">
        <v>151</v>
      </c>
      <c r="D39" s="58" t="s">
        <v>132</v>
      </c>
      <c r="E39" s="59">
        <v>0</v>
      </c>
      <c r="F39" s="59">
        <v>0</v>
      </c>
      <c r="G39" s="59">
        <v>0</v>
      </c>
      <c r="H39" s="59">
        <v>320.5714843520679</v>
      </c>
      <c r="J39" s="59">
        <v>0</v>
      </c>
      <c r="K39" s="59">
        <v>0</v>
      </c>
      <c r="L39" s="59">
        <v>0</v>
      </c>
      <c r="M39" s="59">
        <v>280.74378473029913</v>
      </c>
      <c r="N39" s="67"/>
      <c r="O39" s="59">
        <f t="shared" si="6"/>
        <v>0</v>
      </c>
      <c r="P39" s="59">
        <f t="shared" si="7"/>
        <v>0</v>
      </c>
      <c r="Q39" s="59">
        <f t="shared" si="8"/>
        <v>0</v>
      </c>
      <c r="R39" s="68">
        <f>H39+M39</f>
        <v>601.31526908236697</v>
      </c>
      <c r="T39" s="59">
        <f t="shared" si="10"/>
        <v>0</v>
      </c>
      <c r="U39" s="59">
        <f t="shared" si="11"/>
        <v>0</v>
      </c>
      <c r="V39" s="59">
        <f t="shared" si="12"/>
        <v>0</v>
      </c>
      <c r="W39" s="68">
        <f>M39-M39</f>
        <v>0</v>
      </c>
      <c r="X39" s="67"/>
      <c r="Y39" s="10">
        <v>0</v>
      </c>
      <c r="Z39" s="10">
        <v>0</v>
      </c>
      <c r="AA39" s="74">
        <f t="shared" si="14"/>
        <v>0</v>
      </c>
      <c r="AB39" s="28">
        <f t="shared" si="15"/>
        <v>0</v>
      </c>
      <c r="AC39" s="28">
        <f t="shared" si="15"/>
        <v>0</v>
      </c>
      <c r="AD39" s="28">
        <f t="shared" ref="AD39:AF39" si="75">AC39</f>
        <v>0</v>
      </c>
      <c r="AE39" s="74">
        <f t="shared" si="17"/>
        <v>0</v>
      </c>
      <c r="AF39" s="28">
        <f t="shared" si="75"/>
        <v>0</v>
      </c>
      <c r="AG39" s="28">
        <f t="shared" ref="AG39" si="76">AF39</f>
        <v>0</v>
      </c>
      <c r="AH39" s="28">
        <f>0.5*AI39</f>
        <v>300.65763454118348</v>
      </c>
      <c r="AI39" s="74">
        <f t="shared" si="19"/>
        <v>601.31526908236697</v>
      </c>
    </row>
    <row r="40" spans="1:35" x14ac:dyDescent="0.25">
      <c r="A40" t="e">
        <v>#N/A</v>
      </c>
      <c r="B40" t="str">
        <f>INDEX(AdjustPorts2030!$D:$D,MATCH($C40,AdjustPorts2030!$C:$C,0))</f>
        <v>OOS</v>
      </c>
      <c r="C40" s="57" t="s">
        <v>47</v>
      </c>
      <c r="D40" s="58" t="e">
        <v>#N/A</v>
      </c>
      <c r="E40" s="59">
        <v>0</v>
      </c>
      <c r="F40" s="59">
        <v>0</v>
      </c>
      <c r="G40" s="59">
        <v>0</v>
      </c>
      <c r="H40" s="59">
        <v>0</v>
      </c>
      <c r="J40" s="59">
        <v>0</v>
      </c>
      <c r="K40" s="59">
        <v>0</v>
      </c>
      <c r="L40" s="59">
        <v>0</v>
      </c>
      <c r="M40" s="59">
        <v>0</v>
      </c>
      <c r="N40" s="67"/>
      <c r="O40" s="59">
        <f t="shared" si="6"/>
        <v>0</v>
      </c>
      <c r="P40" s="59">
        <f t="shared" si="7"/>
        <v>0</v>
      </c>
      <c r="Q40" s="59">
        <f t="shared" si="8"/>
        <v>0</v>
      </c>
      <c r="R40" s="59">
        <f t="shared" si="9"/>
        <v>0</v>
      </c>
      <c r="T40" s="59">
        <f t="shared" si="10"/>
        <v>0</v>
      </c>
      <c r="U40" s="59">
        <f t="shared" si="11"/>
        <v>0</v>
      </c>
      <c r="V40" s="59">
        <f t="shared" si="12"/>
        <v>0</v>
      </c>
      <c r="W40" s="59">
        <f t="shared" si="13"/>
        <v>0</v>
      </c>
      <c r="X40" s="67"/>
      <c r="Y40" s="10">
        <v>0</v>
      </c>
      <c r="Z40" s="10">
        <v>0</v>
      </c>
      <c r="AA40" s="74">
        <f t="shared" si="14"/>
        <v>0</v>
      </c>
      <c r="AB40" s="28">
        <f t="shared" si="15"/>
        <v>0</v>
      </c>
      <c r="AC40" s="28">
        <f t="shared" si="15"/>
        <v>0</v>
      </c>
      <c r="AD40" s="28">
        <f t="shared" ref="AD40:AF40" si="77">AC40</f>
        <v>0</v>
      </c>
      <c r="AE40" s="74">
        <f t="shared" si="17"/>
        <v>0</v>
      </c>
      <c r="AF40" s="28">
        <f t="shared" si="77"/>
        <v>0</v>
      </c>
      <c r="AG40" s="28">
        <f t="shared" ref="AG40:AH40" si="78">AF40</f>
        <v>0</v>
      </c>
      <c r="AH40" s="28">
        <f t="shared" si="78"/>
        <v>0</v>
      </c>
      <c r="AI40" s="74">
        <f t="shared" si="19"/>
        <v>0</v>
      </c>
    </row>
    <row r="41" spans="1:35" x14ac:dyDescent="0.25">
      <c r="A41" t="e">
        <v>#N/A</v>
      </c>
      <c r="B41" t="str">
        <f>INDEX(AdjustPorts2030!$D:$D,MATCH($C41,AdjustPorts2030!$C:$C,0))</f>
        <v>OOS</v>
      </c>
      <c r="C41" s="57" t="s">
        <v>48</v>
      </c>
      <c r="D41" s="58" t="e">
        <v>#N/A</v>
      </c>
      <c r="E41" s="59">
        <v>0</v>
      </c>
      <c r="F41" s="59">
        <v>0</v>
      </c>
      <c r="G41" s="59">
        <v>0</v>
      </c>
      <c r="H41" s="59">
        <v>0</v>
      </c>
      <c r="J41" s="59">
        <v>0</v>
      </c>
      <c r="K41" s="59">
        <v>0</v>
      </c>
      <c r="L41" s="59">
        <v>0</v>
      </c>
      <c r="M41" s="59">
        <v>0</v>
      </c>
      <c r="N41" s="67"/>
      <c r="O41" s="59">
        <f t="shared" si="6"/>
        <v>0</v>
      </c>
      <c r="P41" s="59">
        <f t="shared" si="7"/>
        <v>0</v>
      </c>
      <c r="Q41" s="59">
        <f t="shared" si="8"/>
        <v>0</v>
      </c>
      <c r="R41" s="59">
        <f t="shared" si="9"/>
        <v>0</v>
      </c>
      <c r="T41" s="59">
        <f t="shared" si="10"/>
        <v>0</v>
      </c>
      <c r="U41" s="59">
        <f t="shared" si="11"/>
        <v>0</v>
      </c>
      <c r="V41" s="59">
        <f t="shared" si="12"/>
        <v>0</v>
      </c>
      <c r="W41" s="59">
        <f t="shared" si="13"/>
        <v>0</v>
      </c>
      <c r="X41" s="67"/>
      <c r="Y41" s="10">
        <v>0</v>
      </c>
      <c r="Z41" s="10">
        <v>0</v>
      </c>
      <c r="AA41" s="74">
        <f t="shared" si="14"/>
        <v>0</v>
      </c>
      <c r="AB41" s="28">
        <f t="shared" si="15"/>
        <v>0</v>
      </c>
      <c r="AC41" s="28">
        <f t="shared" si="15"/>
        <v>0</v>
      </c>
      <c r="AD41" s="28">
        <f t="shared" ref="AD41:AF41" si="79">AC41</f>
        <v>0</v>
      </c>
      <c r="AE41" s="74">
        <f t="shared" si="17"/>
        <v>0</v>
      </c>
      <c r="AF41" s="28">
        <f t="shared" si="79"/>
        <v>0</v>
      </c>
      <c r="AG41" s="28">
        <f t="shared" ref="AG41:AH41" si="80">AF41</f>
        <v>0</v>
      </c>
      <c r="AH41" s="28">
        <f t="shared" si="80"/>
        <v>0</v>
      </c>
      <c r="AI41" s="74">
        <f t="shared" si="19"/>
        <v>0</v>
      </c>
    </row>
    <row r="42" spans="1:35" x14ac:dyDescent="0.25">
      <c r="A42" t="s">
        <v>85</v>
      </c>
      <c r="B42" t="str">
        <f>INDEX(AdjustPorts2030!$D:$D,MATCH($C42,AdjustPorts2030!$C:$C,0))</f>
        <v>OOS</v>
      </c>
      <c r="C42" s="57" t="s">
        <v>49</v>
      </c>
      <c r="D42" s="58" t="e">
        <v>#N/A</v>
      </c>
      <c r="E42" s="59">
        <v>0</v>
      </c>
      <c r="F42" s="59">
        <v>0</v>
      </c>
      <c r="G42" s="59">
        <v>0</v>
      </c>
      <c r="H42" s="59">
        <v>0</v>
      </c>
      <c r="J42" s="59">
        <v>0</v>
      </c>
      <c r="K42" s="59">
        <v>0</v>
      </c>
      <c r="L42" s="59">
        <v>0</v>
      </c>
      <c r="M42" s="59">
        <v>0</v>
      </c>
      <c r="N42" s="67"/>
      <c r="O42" s="59">
        <f t="shared" si="6"/>
        <v>0</v>
      </c>
      <c r="P42" s="59">
        <f t="shared" si="7"/>
        <v>0</v>
      </c>
      <c r="Q42" s="59">
        <f t="shared" si="8"/>
        <v>0</v>
      </c>
      <c r="R42" s="59">
        <f t="shared" si="9"/>
        <v>0</v>
      </c>
      <c r="T42" s="59">
        <f t="shared" si="10"/>
        <v>0</v>
      </c>
      <c r="U42" s="59">
        <f t="shared" si="11"/>
        <v>0</v>
      </c>
      <c r="V42" s="59">
        <f t="shared" si="12"/>
        <v>0</v>
      </c>
      <c r="W42" s="59">
        <f t="shared" si="13"/>
        <v>0</v>
      </c>
      <c r="X42" s="67"/>
      <c r="Y42" s="10">
        <v>0</v>
      </c>
      <c r="Z42" s="10">
        <v>0</v>
      </c>
      <c r="AA42" s="74">
        <f t="shared" si="14"/>
        <v>0</v>
      </c>
      <c r="AB42" s="28">
        <f t="shared" si="15"/>
        <v>0</v>
      </c>
      <c r="AC42" s="28">
        <f t="shared" si="15"/>
        <v>0</v>
      </c>
      <c r="AD42" s="28">
        <f t="shared" ref="AD42:AF42" si="81">AC42</f>
        <v>0</v>
      </c>
      <c r="AE42" s="74">
        <f t="shared" si="17"/>
        <v>0</v>
      </c>
      <c r="AF42" s="28">
        <f t="shared" si="81"/>
        <v>0</v>
      </c>
      <c r="AG42" s="28">
        <f t="shared" ref="AG42:AH42" si="82">AF42</f>
        <v>0</v>
      </c>
      <c r="AH42" s="28">
        <f t="shared" si="82"/>
        <v>0</v>
      </c>
      <c r="AI42" s="74">
        <f t="shared" si="19"/>
        <v>0</v>
      </c>
    </row>
    <row r="43" spans="1:35" x14ac:dyDescent="0.25">
      <c r="A43" t="e">
        <v>#N/A</v>
      </c>
      <c r="B43" t="str">
        <f>INDEX(AdjustPorts2030!$D:$D,MATCH($C43,AdjustPorts2030!$C:$C,0))</f>
        <v>In-state</v>
      </c>
      <c r="C43" s="57" t="s">
        <v>50</v>
      </c>
      <c r="D43" s="58" t="s">
        <v>138</v>
      </c>
      <c r="E43" s="59">
        <v>0</v>
      </c>
      <c r="F43" s="59">
        <v>0</v>
      </c>
      <c r="G43" s="59">
        <v>0</v>
      </c>
      <c r="H43" s="59">
        <v>0</v>
      </c>
      <c r="J43" s="59">
        <v>0</v>
      </c>
      <c r="K43" s="59">
        <v>0</v>
      </c>
      <c r="L43" s="59">
        <v>0</v>
      </c>
      <c r="M43" s="59">
        <v>0</v>
      </c>
      <c r="N43" s="67"/>
      <c r="O43" s="59">
        <f t="shared" si="6"/>
        <v>0</v>
      </c>
      <c r="P43" s="59">
        <f t="shared" si="7"/>
        <v>0</v>
      </c>
      <c r="Q43" s="59">
        <f t="shared" si="8"/>
        <v>0</v>
      </c>
      <c r="R43" s="59">
        <f t="shared" si="9"/>
        <v>0</v>
      </c>
      <c r="T43" s="59">
        <f t="shared" si="10"/>
        <v>0</v>
      </c>
      <c r="U43" s="59">
        <f t="shared" si="11"/>
        <v>0</v>
      </c>
      <c r="V43" s="59">
        <f t="shared" si="12"/>
        <v>0</v>
      </c>
      <c r="W43" s="59">
        <f t="shared" si="13"/>
        <v>0</v>
      </c>
      <c r="X43" s="67"/>
      <c r="Y43" s="10">
        <v>0</v>
      </c>
      <c r="Z43" s="10">
        <v>0</v>
      </c>
      <c r="AA43" s="74">
        <f t="shared" si="14"/>
        <v>0</v>
      </c>
      <c r="AB43" s="28">
        <f t="shared" si="15"/>
        <v>0</v>
      </c>
      <c r="AC43" s="28">
        <f t="shared" si="15"/>
        <v>0</v>
      </c>
      <c r="AD43" s="28">
        <f t="shared" ref="AD43:AF43" si="83">AC43</f>
        <v>0</v>
      </c>
      <c r="AE43" s="74">
        <f t="shared" si="17"/>
        <v>0</v>
      </c>
      <c r="AF43" s="28">
        <f t="shared" si="83"/>
        <v>0</v>
      </c>
      <c r="AG43" s="28">
        <f t="shared" ref="AG43:AH43" si="84">AF43</f>
        <v>0</v>
      </c>
      <c r="AH43" s="28">
        <f t="shared" si="84"/>
        <v>0</v>
      </c>
      <c r="AI43" s="74">
        <f t="shared" si="19"/>
        <v>0</v>
      </c>
    </row>
    <row r="44" spans="1:35" x14ac:dyDescent="0.25">
      <c r="A44" t="s">
        <v>86</v>
      </c>
      <c r="B44" t="str">
        <f>INDEX(AdjustPorts2030!$D:$D,MATCH($C44,AdjustPorts2030!$C:$C,0))</f>
        <v>OOS</v>
      </c>
      <c r="C44" s="57" t="s">
        <v>51</v>
      </c>
      <c r="D44" s="58" t="e">
        <v>#N/A</v>
      </c>
      <c r="E44" s="59">
        <v>0</v>
      </c>
      <c r="F44" s="59">
        <v>0</v>
      </c>
      <c r="G44" s="59">
        <v>0</v>
      </c>
      <c r="H44" s="59">
        <v>0</v>
      </c>
      <c r="J44" s="59">
        <v>0</v>
      </c>
      <c r="K44" s="59">
        <v>0</v>
      </c>
      <c r="L44" s="59">
        <v>0</v>
      </c>
      <c r="M44" s="59">
        <v>0</v>
      </c>
      <c r="N44" s="67"/>
      <c r="O44" s="59">
        <f t="shared" si="6"/>
        <v>0</v>
      </c>
      <c r="P44" s="59">
        <f t="shared" si="7"/>
        <v>0</v>
      </c>
      <c r="Q44" s="59">
        <f t="shared" si="8"/>
        <v>0</v>
      </c>
      <c r="R44" s="59">
        <f t="shared" si="9"/>
        <v>0</v>
      </c>
      <c r="T44" s="59">
        <f t="shared" si="10"/>
        <v>0</v>
      </c>
      <c r="U44" s="59">
        <f t="shared" si="11"/>
        <v>0</v>
      </c>
      <c r="V44" s="59">
        <f t="shared" si="12"/>
        <v>0</v>
      </c>
      <c r="W44" s="59">
        <f t="shared" si="13"/>
        <v>0</v>
      </c>
      <c r="X44" s="67"/>
      <c r="Y44" s="10">
        <v>0</v>
      </c>
      <c r="Z44" s="10">
        <v>0</v>
      </c>
      <c r="AA44" s="74">
        <f t="shared" si="14"/>
        <v>0</v>
      </c>
      <c r="AB44" s="28">
        <f t="shared" si="15"/>
        <v>0</v>
      </c>
      <c r="AC44" s="28">
        <f t="shared" si="15"/>
        <v>0</v>
      </c>
      <c r="AD44" s="28">
        <f t="shared" ref="AD44:AF44" si="85">AC44</f>
        <v>0</v>
      </c>
      <c r="AE44" s="74">
        <f t="shared" si="17"/>
        <v>0</v>
      </c>
      <c r="AF44" s="28">
        <f t="shared" si="85"/>
        <v>0</v>
      </c>
      <c r="AG44" s="28">
        <f t="shared" ref="AG44:AH44" si="86">AF44</f>
        <v>0</v>
      </c>
      <c r="AH44" s="28">
        <f t="shared" si="86"/>
        <v>0</v>
      </c>
      <c r="AI44" s="74">
        <f t="shared" si="19"/>
        <v>0</v>
      </c>
    </row>
    <row r="45" spans="1:35" x14ac:dyDescent="0.25">
      <c r="A45" t="s">
        <v>87</v>
      </c>
      <c r="B45" t="str">
        <f>INDEX(AdjustPorts2030!$D:$D,MATCH($C45,AdjustPorts2030!$C:$C,0))</f>
        <v>OOS</v>
      </c>
      <c r="C45" s="57" t="s">
        <v>52</v>
      </c>
      <c r="D45" s="58" t="e">
        <v>#N/A</v>
      </c>
      <c r="E45" s="59">
        <v>0</v>
      </c>
      <c r="F45" s="59">
        <v>0</v>
      </c>
      <c r="G45" s="59">
        <v>0</v>
      </c>
      <c r="H45" s="59">
        <v>0</v>
      </c>
      <c r="J45" s="59">
        <v>0</v>
      </c>
      <c r="K45" s="59">
        <v>0</v>
      </c>
      <c r="L45" s="59">
        <v>0</v>
      </c>
      <c r="M45" s="59">
        <v>0</v>
      </c>
      <c r="N45" s="67"/>
      <c r="O45" s="59">
        <f t="shared" si="6"/>
        <v>0</v>
      </c>
      <c r="P45" s="59">
        <f t="shared" si="7"/>
        <v>0</v>
      </c>
      <c r="Q45" s="59">
        <f t="shared" si="8"/>
        <v>0</v>
      </c>
      <c r="R45" s="59">
        <f t="shared" si="9"/>
        <v>0</v>
      </c>
      <c r="T45" s="59">
        <f t="shared" si="10"/>
        <v>0</v>
      </c>
      <c r="U45" s="59">
        <f t="shared" si="11"/>
        <v>0</v>
      </c>
      <c r="V45" s="59">
        <f t="shared" si="12"/>
        <v>0</v>
      </c>
      <c r="W45" s="59">
        <f t="shared" si="13"/>
        <v>0</v>
      </c>
      <c r="X45" s="67"/>
      <c r="Y45" s="10">
        <v>0</v>
      </c>
      <c r="Z45" s="10">
        <v>0</v>
      </c>
      <c r="AA45" s="74">
        <f t="shared" si="14"/>
        <v>0</v>
      </c>
      <c r="AB45" s="28">
        <f t="shared" si="15"/>
        <v>0</v>
      </c>
      <c r="AC45" s="28">
        <f t="shared" si="15"/>
        <v>0</v>
      </c>
      <c r="AD45" s="28">
        <f t="shared" ref="AD45:AF45" si="87">AC45</f>
        <v>0</v>
      </c>
      <c r="AE45" s="74">
        <f t="shared" si="17"/>
        <v>0</v>
      </c>
      <c r="AF45" s="28">
        <f t="shared" si="87"/>
        <v>0</v>
      </c>
      <c r="AG45" s="28">
        <f t="shared" ref="AG45:AH45" si="88">AF45</f>
        <v>0</v>
      </c>
      <c r="AH45" s="28">
        <f t="shared" si="88"/>
        <v>0</v>
      </c>
      <c r="AI45" s="74">
        <f t="shared" si="19"/>
        <v>0</v>
      </c>
    </row>
    <row r="46" spans="1:35" x14ac:dyDescent="0.25">
      <c r="A46" t="s">
        <v>86</v>
      </c>
      <c r="B46" t="str">
        <f>INDEX(AdjustPorts2030!$D:$D,MATCH($C46,AdjustPorts2030!$C:$C,0))</f>
        <v>OOS</v>
      </c>
      <c r="C46" s="57" t="s">
        <v>53</v>
      </c>
      <c r="D46" s="58" t="s">
        <v>140</v>
      </c>
      <c r="E46" s="59">
        <v>0</v>
      </c>
      <c r="F46" s="59">
        <v>0</v>
      </c>
      <c r="G46" s="59">
        <v>0</v>
      </c>
      <c r="H46" s="59">
        <v>499.99994263759083</v>
      </c>
      <c r="J46" s="59">
        <v>0</v>
      </c>
      <c r="K46" s="59">
        <v>0</v>
      </c>
      <c r="L46" s="59">
        <v>0</v>
      </c>
      <c r="M46" s="59">
        <v>0</v>
      </c>
      <c r="N46" s="67"/>
      <c r="O46" s="59">
        <f t="shared" si="6"/>
        <v>0</v>
      </c>
      <c r="P46" s="59">
        <f t="shared" si="7"/>
        <v>0</v>
      </c>
      <c r="Q46" s="59">
        <f t="shared" si="8"/>
        <v>0</v>
      </c>
      <c r="R46" s="59">
        <f t="shared" si="9"/>
        <v>499.99994263759083</v>
      </c>
      <c r="T46" s="59">
        <f t="shared" si="10"/>
        <v>0</v>
      </c>
      <c r="U46" s="59">
        <f t="shared" si="11"/>
        <v>0</v>
      </c>
      <c r="V46" s="59">
        <f t="shared" si="12"/>
        <v>0</v>
      </c>
      <c r="W46" s="59">
        <f t="shared" si="13"/>
        <v>0</v>
      </c>
      <c r="X46" s="67"/>
      <c r="Y46" s="10">
        <v>0</v>
      </c>
      <c r="Z46" s="10">
        <v>0</v>
      </c>
      <c r="AA46" s="74">
        <f t="shared" si="14"/>
        <v>0</v>
      </c>
      <c r="AB46" s="28">
        <f t="shared" si="15"/>
        <v>0</v>
      </c>
      <c r="AC46" s="28">
        <f t="shared" si="15"/>
        <v>0</v>
      </c>
      <c r="AD46" s="28">
        <f t="shared" ref="AD46:AF46" si="89">AC46</f>
        <v>0</v>
      </c>
      <c r="AE46" s="74">
        <f t="shared" si="17"/>
        <v>0</v>
      </c>
      <c r="AF46" s="28">
        <f t="shared" si="89"/>
        <v>0</v>
      </c>
      <c r="AG46" s="28">
        <f t="shared" ref="AG46" si="90">AF46</f>
        <v>0</v>
      </c>
      <c r="AH46" s="28">
        <f>0.5*AI46</f>
        <v>249.99997131879542</v>
      </c>
      <c r="AI46" s="74">
        <f t="shared" si="19"/>
        <v>499.99994263759083</v>
      </c>
    </row>
    <row r="47" spans="1:35" x14ac:dyDescent="0.25">
      <c r="A47" t="s">
        <v>80</v>
      </c>
      <c r="B47" t="str">
        <f>INDEX(AdjustPorts2030!$D:$D,MATCH($C47,AdjustPorts2030!$C:$C,0))</f>
        <v>In-state</v>
      </c>
      <c r="C47" s="57" t="s">
        <v>54</v>
      </c>
      <c r="D47" s="58" t="s">
        <v>142</v>
      </c>
      <c r="E47" s="59">
        <v>0</v>
      </c>
      <c r="F47" s="59">
        <v>0</v>
      </c>
      <c r="G47" s="59">
        <v>0</v>
      </c>
      <c r="H47" s="59">
        <v>0</v>
      </c>
      <c r="J47" s="59">
        <v>0</v>
      </c>
      <c r="K47" s="59">
        <v>0</v>
      </c>
      <c r="L47" s="59">
        <v>0</v>
      </c>
      <c r="M47" s="59">
        <v>0</v>
      </c>
      <c r="N47" s="67"/>
      <c r="O47" s="59">
        <f t="shared" si="6"/>
        <v>0</v>
      </c>
      <c r="P47" s="59">
        <f t="shared" si="7"/>
        <v>0</v>
      </c>
      <c r="Q47" s="59">
        <f t="shared" si="8"/>
        <v>0</v>
      </c>
      <c r="R47" s="59">
        <f t="shared" si="9"/>
        <v>0</v>
      </c>
      <c r="T47" s="59">
        <f t="shared" si="10"/>
        <v>0</v>
      </c>
      <c r="U47" s="59">
        <f t="shared" si="11"/>
        <v>0</v>
      </c>
      <c r="V47" s="59">
        <f t="shared" si="12"/>
        <v>0</v>
      </c>
      <c r="W47" s="59">
        <f t="shared" si="13"/>
        <v>0</v>
      </c>
      <c r="X47" s="67"/>
      <c r="Y47" s="10">
        <v>0</v>
      </c>
      <c r="Z47" s="10">
        <v>0</v>
      </c>
      <c r="AA47" s="74">
        <f t="shared" si="14"/>
        <v>0</v>
      </c>
      <c r="AB47" s="28">
        <f t="shared" si="15"/>
        <v>0</v>
      </c>
      <c r="AC47" s="28">
        <f t="shared" si="15"/>
        <v>0</v>
      </c>
      <c r="AD47" s="28">
        <f t="shared" ref="AD47:AF47" si="91">AC47</f>
        <v>0</v>
      </c>
      <c r="AE47" s="74">
        <f t="shared" si="17"/>
        <v>0</v>
      </c>
      <c r="AF47" s="28">
        <f t="shared" si="91"/>
        <v>0</v>
      </c>
      <c r="AG47" s="28">
        <f t="shared" ref="AG47:AH47" si="92">AF47</f>
        <v>0</v>
      </c>
      <c r="AH47" s="28">
        <f t="shared" si="92"/>
        <v>0</v>
      </c>
      <c r="AI47" s="74">
        <f t="shared" si="19"/>
        <v>0</v>
      </c>
    </row>
    <row r="48" spans="1:35" x14ac:dyDescent="0.25">
      <c r="A48" t="s">
        <v>83</v>
      </c>
      <c r="B48" t="str">
        <f>INDEX(AdjustPorts2030!$D:$D,MATCH($C48,AdjustPorts2030!$C:$C,0))</f>
        <v>In-state</v>
      </c>
      <c r="C48" s="57" t="s">
        <v>55</v>
      </c>
      <c r="D48" s="58" t="s">
        <v>141</v>
      </c>
      <c r="E48" s="59">
        <v>0</v>
      </c>
      <c r="F48" s="59">
        <v>0</v>
      </c>
      <c r="G48" s="59">
        <v>0</v>
      </c>
      <c r="H48" s="59">
        <v>707.93668774450714</v>
      </c>
      <c r="J48" s="59">
        <v>0</v>
      </c>
      <c r="K48" s="59">
        <v>0</v>
      </c>
      <c r="L48" s="59">
        <v>0</v>
      </c>
      <c r="M48" s="59">
        <v>567.94766790509243</v>
      </c>
      <c r="N48" s="67"/>
      <c r="O48" s="59">
        <f t="shared" si="6"/>
        <v>0</v>
      </c>
      <c r="P48" s="59">
        <f t="shared" si="7"/>
        <v>0</v>
      </c>
      <c r="Q48" s="59">
        <f t="shared" si="8"/>
        <v>0</v>
      </c>
      <c r="R48" s="68">
        <f>AdjustPorts2030!I43</f>
        <v>624</v>
      </c>
      <c r="T48" s="59">
        <f t="shared" si="10"/>
        <v>0</v>
      </c>
      <c r="U48" s="59">
        <f t="shared" si="11"/>
        <v>0</v>
      </c>
      <c r="V48" s="59">
        <f t="shared" si="12"/>
        <v>0</v>
      </c>
      <c r="W48" s="68">
        <f>M48+H48-R48</f>
        <v>651.88435564959946</v>
      </c>
      <c r="X48" s="67"/>
      <c r="Y48" s="10">
        <v>0</v>
      </c>
      <c r="Z48" s="10">
        <v>0</v>
      </c>
      <c r="AA48" s="74">
        <f t="shared" si="14"/>
        <v>0</v>
      </c>
      <c r="AB48" s="28">
        <f t="shared" si="15"/>
        <v>0</v>
      </c>
      <c r="AC48" s="28">
        <f t="shared" si="15"/>
        <v>0</v>
      </c>
      <c r="AD48" s="28">
        <f t="shared" ref="AD48:AF48" si="93">AC48</f>
        <v>0</v>
      </c>
      <c r="AE48" s="74">
        <f t="shared" si="17"/>
        <v>0</v>
      </c>
      <c r="AF48" s="28">
        <f t="shared" si="93"/>
        <v>0</v>
      </c>
      <c r="AG48" s="28">
        <f t="shared" ref="AG48" si="94">AF48</f>
        <v>0</v>
      </c>
      <c r="AH48" s="28">
        <f>0.5*AI48</f>
        <v>637.94217782479973</v>
      </c>
      <c r="AI48" s="74">
        <f t="shared" si="19"/>
        <v>1275.8843556495995</v>
      </c>
    </row>
    <row r="49" spans="1:35" x14ac:dyDescent="0.25">
      <c r="A49" t="s">
        <v>80</v>
      </c>
      <c r="B49" t="str">
        <f>INDEX(AdjustPorts2030!$D:$D,MATCH($C49,AdjustPorts2030!$C:$C,0))</f>
        <v>In-state</v>
      </c>
      <c r="C49" s="57" t="s">
        <v>56</v>
      </c>
      <c r="D49" s="58" t="s">
        <v>132</v>
      </c>
      <c r="E49" s="59">
        <v>0</v>
      </c>
      <c r="F49" s="59">
        <v>0</v>
      </c>
      <c r="G49" s="59">
        <v>0</v>
      </c>
      <c r="H49" s="59">
        <v>423.99999999999989</v>
      </c>
      <c r="J49" s="59">
        <v>0</v>
      </c>
      <c r="K49" s="59">
        <v>0</v>
      </c>
      <c r="L49" s="59">
        <v>0</v>
      </c>
      <c r="M49" s="59">
        <v>0</v>
      </c>
      <c r="N49" s="67"/>
      <c r="O49" s="59">
        <f t="shared" si="6"/>
        <v>0</v>
      </c>
      <c r="P49" s="59">
        <f t="shared" si="7"/>
        <v>0</v>
      </c>
      <c r="Q49" s="59">
        <f t="shared" si="8"/>
        <v>0</v>
      </c>
      <c r="R49" s="59">
        <f t="shared" si="9"/>
        <v>423.99999999999989</v>
      </c>
      <c r="T49" s="59">
        <f t="shared" si="10"/>
        <v>0</v>
      </c>
      <c r="U49" s="59">
        <f t="shared" si="11"/>
        <v>0</v>
      </c>
      <c r="V49" s="59">
        <f t="shared" si="12"/>
        <v>0</v>
      </c>
      <c r="W49" s="59">
        <f t="shared" si="13"/>
        <v>0</v>
      </c>
      <c r="X49" s="67"/>
      <c r="Y49" s="10">
        <v>0</v>
      </c>
      <c r="Z49" s="10">
        <v>0</v>
      </c>
      <c r="AA49" s="74">
        <f t="shared" si="14"/>
        <v>0</v>
      </c>
      <c r="AB49" s="28">
        <f t="shared" si="15"/>
        <v>0</v>
      </c>
      <c r="AC49" s="28">
        <f t="shared" si="15"/>
        <v>0</v>
      </c>
      <c r="AD49" s="28">
        <f t="shared" ref="AD49:AF49" si="95">AC49</f>
        <v>0</v>
      </c>
      <c r="AE49" s="74">
        <f t="shared" si="17"/>
        <v>0</v>
      </c>
      <c r="AF49" s="28">
        <f t="shared" si="95"/>
        <v>0</v>
      </c>
      <c r="AG49" s="28">
        <f t="shared" ref="AG49" si="96">AF49</f>
        <v>0</v>
      </c>
      <c r="AH49" s="28">
        <f>0.5*AI49</f>
        <v>211.99999999999994</v>
      </c>
      <c r="AI49" s="74">
        <f t="shared" si="19"/>
        <v>423.99999999999989</v>
      </c>
    </row>
    <row r="50" spans="1:35" x14ac:dyDescent="0.25">
      <c r="A50" t="e">
        <v>#N/A</v>
      </c>
      <c r="B50" t="str">
        <f>INDEX(AdjustPorts2030!$D:$D,MATCH($C50,AdjustPorts2030!$C:$C,0))</f>
        <v>OOS</v>
      </c>
      <c r="C50" s="57" t="s">
        <v>57</v>
      </c>
      <c r="D50" s="58" t="e">
        <v>#N/A</v>
      </c>
      <c r="E50" s="59">
        <v>0</v>
      </c>
      <c r="F50" s="59">
        <v>0</v>
      </c>
      <c r="G50" s="59">
        <v>0</v>
      </c>
      <c r="H50" s="59">
        <v>0</v>
      </c>
      <c r="J50" s="59">
        <v>0</v>
      </c>
      <c r="K50" s="59">
        <v>0</v>
      </c>
      <c r="L50" s="59">
        <v>0</v>
      </c>
      <c r="M50" s="59">
        <v>0</v>
      </c>
      <c r="N50" s="67"/>
      <c r="O50" s="59">
        <f t="shared" si="6"/>
        <v>0</v>
      </c>
      <c r="P50" s="59">
        <f t="shared" si="7"/>
        <v>0</v>
      </c>
      <c r="Q50" s="59">
        <f t="shared" si="8"/>
        <v>0</v>
      </c>
      <c r="R50" s="59">
        <f t="shared" si="9"/>
        <v>0</v>
      </c>
      <c r="T50" s="59">
        <f t="shared" si="10"/>
        <v>0</v>
      </c>
      <c r="U50" s="59">
        <f t="shared" si="11"/>
        <v>0</v>
      </c>
      <c r="V50" s="59">
        <f t="shared" si="12"/>
        <v>0</v>
      </c>
      <c r="W50" s="59">
        <f t="shared" si="13"/>
        <v>0</v>
      </c>
      <c r="X50" s="67"/>
      <c r="Y50" s="10">
        <v>0</v>
      </c>
      <c r="Z50" s="10">
        <v>0</v>
      </c>
      <c r="AA50" s="74">
        <f t="shared" si="14"/>
        <v>0</v>
      </c>
      <c r="AB50" s="28">
        <f t="shared" si="15"/>
        <v>0</v>
      </c>
      <c r="AC50" s="28">
        <f t="shared" si="15"/>
        <v>0</v>
      </c>
      <c r="AD50" s="28">
        <f t="shared" ref="AD50:AF50" si="97">AC50</f>
        <v>0</v>
      </c>
      <c r="AE50" s="74">
        <f t="shared" si="17"/>
        <v>0</v>
      </c>
      <c r="AF50" s="28">
        <f t="shared" si="97"/>
        <v>0</v>
      </c>
      <c r="AG50" s="28">
        <f t="shared" ref="AG50:AH50" si="98">AF50</f>
        <v>0</v>
      </c>
      <c r="AH50" s="28">
        <f t="shared" si="98"/>
        <v>0</v>
      </c>
      <c r="AI50" s="74">
        <f t="shared" si="19"/>
        <v>0</v>
      </c>
    </row>
    <row r="51" spans="1:35" x14ac:dyDescent="0.25">
      <c r="A51" t="s">
        <v>82</v>
      </c>
      <c r="B51" t="str">
        <f>INDEX(AdjustPorts2030!$D:$D,MATCH($C51,AdjustPorts2030!$C:$C,0))</f>
        <v>In-state</v>
      </c>
      <c r="C51" s="57" t="s">
        <v>58</v>
      </c>
      <c r="D51" s="58" t="s">
        <v>138</v>
      </c>
      <c r="E51" s="59">
        <v>0</v>
      </c>
      <c r="F51" s="59">
        <v>0</v>
      </c>
      <c r="G51" s="59">
        <v>0</v>
      </c>
      <c r="H51" s="59">
        <v>0</v>
      </c>
      <c r="J51" s="59">
        <v>0</v>
      </c>
      <c r="K51" s="59">
        <v>0</v>
      </c>
      <c r="L51" s="59">
        <v>0</v>
      </c>
      <c r="M51" s="59">
        <v>0</v>
      </c>
      <c r="N51" s="67"/>
      <c r="O51" s="59">
        <f t="shared" si="6"/>
        <v>0</v>
      </c>
      <c r="P51" s="59">
        <f t="shared" si="7"/>
        <v>0</v>
      </c>
      <c r="Q51" s="59">
        <f t="shared" si="8"/>
        <v>0</v>
      </c>
      <c r="R51" s="59">
        <f t="shared" si="9"/>
        <v>0</v>
      </c>
      <c r="T51" s="59">
        <f t="shared" si="10"/>
        <v>0</v>
      </c>
      <c r="U51" s="59">
        <f t="shared" si="11"/>
        <v>0</v>
      </c>
      <c r="V51" s="59">
        <f t="shared" si="12"/>
        <v>0</v>
      </c>
      <c r="W51" s="59">
        <f t="shared" si="13"/>
        <v>0</v>
      </c>
      <c r="X51" s="67"/>
      <c r="Y51" s="10">
        <v>0</v>
      </c>
      <c r="Z51" s="10">
        <v>0</v>
      </c>
      <c r="AA51" s="74">
        <f t="shared" si="14"/>
        <v>0</v>
      </c>
      <c r="AB51" s="28">
        <f t="shared" si="15"/>
        <v>0</v>
      </c>
      <c r="AC51" s="28">
        <f t="shared" si="15"/>
        <v>0</v>
      </c>
      <c r="AD51" s="28">
        <f t="shared" ref="AD51:AF51" si="99">AC51</f>
        <v>0</v>
      </c>
      <c r="AE51" s="74">
        <f t="shared" si="17"/>
        <v>0</v>
      </c>
      <c r="AF51" s="28">
        <f t="shared" si="99"/>
        <v>0</v>
      </c>
      <c r="AG51" s="28">
        <f t="shared" ref="AG51:AH51" si="100">AF51</f>
        <v>0</v>
      </c>
      <c r="AH51" s="28">
        <f t="shared" si="100"/>
        <v>0</v>
      </c>
      <c r="AI51" s="74">
        <f t="shared" si="19"/>
        <v>0</v>
      </c>
    </row>
    <row r="52" spans="1:35" x14ac:dyDescent="0.25">
      <c r="C52" s="60"/>
      <c r="D52" s="61"/>
      <c r="E52" s="62"/>
      <c r="F52" s="62"/>
      <c r="G52" s="62"/>
      <c r="H52" s="62"/>
      <c r="J52" s="62"/>
      <c r="K52" s="62"/>
      <c r="L52" s="62"/>
      <c r="M52" s="62"/>
      <c r="N52" s="67"/>
      <c r="X52" s="67"/>
      <c r="AA52" s="73"/>
      <c r="AE52" s="73"/>
      <c r="AI52" s="73"/>
    </row>
    <row r="53" spans="1:35" x14ac:dyDescent="0.25">
      <c r="C53" s="63"/>
      <c r="D53" s="64"/>
      <c r="E53" s="65"/>
      <c r="F53" s="65"/>
      <c r="G53" s="65"/>
      <c r="H53" s="65"/>
      <c r="J53" s="65"/>
      <c r="K53" s="65"/>
      <c r="L53" s="65"/>
      <c r="M53" s="65"/>
      <c r="N53" s="67"/>
      <c r="X53" s="67"/>
      <c r="AA53" s="73"/>
      <c r="AE53" s="73"/>
      <c r="AI53" s="73"/>
    </row>
    <row r="54" spans="1:35" x14ac:dyDescent="0.25">
      <c r="C54" s="66" t="s">
        <v>194</v>
      </c>
      <c r="D54" s="53"/>
      <c r="E54" s="53"/>
      <c r="F54" s="53"/>
      <c r="G54" s="53"/>
      <c r="H54" s="53"/>
      <c r="N54" s="67"/>
      <c r="X54" s="67"/>
      <c r="AA54" s="73"/>
      <c r="AE54" s="73"/>
      <c r="AI54" s="73"/>
    </row>
    <row r="55" spans="1:35" x14ac:dyDescent="0.25">
      <c r="C55" s="71" t="s">
        <v>7</v>
      </c>
      <c r="E55" s="10">
        <f>SUMIFS(E:E,$B:$B,$C55)</f>
        <v>341.37313065969141</v>
      </c>
      <c r="F55" s="10">
        <f t="shared" ref="F55:H56" si="101">SUMIFS(F:F,$B:$B,$C55)</f>
        <v>3988.6143896654316</v>
      </c>
      <c r="G55" s="10">
        <f t="shared" si="101"/>
        <v>4175.7243896654318</v>
      </c>
      <c r="H55" s="10">
        <f t="shared" si="101"/>
        <v>7289.06837700711</v>
      </c>
      <c r="J55" s="10">
        <f>SUMIFS(J:J,$B:$B,$C55)</f>
        <v>803.1456332902228</v>
      </c>
      <c r="K55" s="10">
        <f t="shared" ref="K55:M56" si="102">SUMIFS(K:K,$B:$B,$C55)</f>
        <v>3007.494034244678</v>
      </c>
      <c r="L55" s="10">
        <f t="shared" si="102"/>
        <v>3007.494034244678</v>
      </c>
      <c r="M55" s="10">
        <f t="shared" si="102"/>
        <v>3575.4417021497702</v>
      </c>
      <c r="N55" s="67"/>
      <c r="O55" s="10">
        <f>SUMIFS(O:O,$B:$B,$C55)</f>
        <v>341.37313065969141</v>
      </c>
      <c r="P55" s="10">
        <f t="shared" ref="P55:R56" si="103">SUMIFS(P:P,$B:$B,$C55)</f>
        <v>2986.3312835816114</v>
      </c>
      <c r="Q55" s="10">
        <f t="shared" si="103"/>
        <v>3173.4412835816115</v>
      </c>
      <c r="R55" s="10">
        <f t="shared" si="103"/>
        <v>6202.848583178783</v>
      </c>
      <c r="T55" s="10">
        <f>SUMIFS(T:T,$B:$B,$C55)</f>
        <v>803.1456332902228</v>
      </c>
      <c r="U55" s="10">
        <f t="shared" ref="U55:AI56" si="104">SUMIFS(U:U,$B:$B,$C55)</f>
        <v>4009.7771403284983</v>
      </c>
      <c r="V55" s="10">
        <f t="shared" si="104"/>
        <v>4009.7771403284983</v>
      </c>
      <c r="W55" s="10">
        <f t="shared" si="104"/>
        <v>4661.6614959780982</v>
      </c>
      <c r="X55" s="67"/>
      <c r="Y55" s="10">
        <f t="shared" si="104"/>
        <v>0</v>
      </c>
      <c r="Z55" s="10">
        <f t="shared" si="104"/>
        <v>3498.0542119550551</v>
      </c>
      <c r="AA55" s="75">
        <f t="shared" si="104"/>
        <v>6996.1084239101101</v>
      </c>
      <c r="AB55" s="10">
        <f t="shared" si="104"/>
        <v>6996.1084239101101</v>
      </c>
      <c r="AC55" s="10">
        <f t="shared" si="104"/>
        <v>6996.1084239101101</v>
      </c>
      <c r="AD55" s="10">
        <f t="shared" si="104"/>
        <v>6996.1084239101101</v>
      </c>
      <c r="AE55" s="75">
        <f t="shared" si="104"/>
        <v>7183.2184239101098</v>
      </c>
      <c r="AF55" s="10">
        <f t="shared" si="104"/>
        <v>7662.4909239101098</v>
      </c>
      <c r="AG55" s="10">
        <f t="shared" si="104"/>
        <v>8141.7634239101089</v>
      </c>
      <c r="AH55" s="10">
        <f t="shared" si="104"/>
        <v>9470.9781017349105</v>
      </c>
      <c r="AI55" s="75">
        <f t="shared" si="104"/>
        <v>10864.510079156882</v>
      </c>
    </row>
    <row r="56" spans="1:35" x14ac:dyDescent="0.25">
      <c r="C56" s="71" t="s">
        <v>8</v>
      </c>
      <c r="E56" s="10">
        <f>SUMIFS(E:E,$B:$B,$C56)</f>
        <v>0</v>
      </c>
      <c r="F56" s="10">
        <f t="shared" si="101"/>
        <v>0</v>
      </c>
      <c r="G56" s="10">
        <f t="shared" si="101"/>
        <v>0</v>
      </c>
      <c r="H56" s="10">
        <f t="shared" si="101"/>
        <v>820.57142698965868</v>
      </c>
      <c r="J56" s="10">
        <f>SUMIFS(J:J,$B:$B,$C56)</f>
        <v>0</v>
      </c>
      <c r="K56" s="10">
        <f t="shared" si="102"/>
        <v>0</v>
      </c>
      <c r="L56" s="10">
        <f t="shared" si="102"/>
        <v>0</v>
      </c>
      <c r="M56" s="10">
        <f t="shared" si="102"/>
        <v>280.74378473029913</v>
      </c>
      <c r="N56" s="67"/>
      <c r="O56" s="10">
        <f>SUMIFS(O:O,$B:$B,$C56)</f>
        <v>0</v>
      </c>
      <c r="P56" s="10">
        <f t="shared" si="103"/>
        <v>0</v>
      </c>
      <c r="Q56" s="10">
        <f t="shared" si="103"/>
        <v>0</v>
      </c>
      <c r="R56" s="10">
        <f t="shared" si="103"/>
        <v>1101.3152117199579</v>
      </c>
      <c r="T56" s="10">
        <f>SUMIFS(T:T,$B:$B,$C56)</f>
        <v>0</v>
      </c>
      <c r="U56" s="10">
        <f t="shared" si="104"/>
        <v>0</v>
      </c>
      <c r="V56" s="10">
        <f t="shared" si="104"/>
        <v>0</v>
      </c>
      <c r="W56" s="10">
        <f t="shared" si="104"/>
        <v>0</v>
      </c>
      <c r="X56" s="67"/>
      <c r="Y56" s="10">
        <f t="shared" si="104"/>
        <v>0</v>
      </c>
      <c r="Z56" s="10">
        <f t="shared" si="104"/>
        <v>0</v>
      </c>
      <c r="AA56" s="75">
        <f t="shared" si="104"/>
        <v>0</v>
      </c>
      <c r="AB56" s="10">
        <f t="shared" si="104"/>
        <v>0</v>
      </c>
      <c r="AC56" s="10">
        <f t="shared" si="104"/>
        <v>0</v>
      </c>
      <c r="AD56" s="10">
        <f t="shared" si="104"/>
        <v>0</v>
      </c>
      <c r="AE56" s="75">
        <f t="shared" si="104"/>
        <v>0</v>
      </c>
      <c r="AF56" s="10">
        <f t="shared" si="104"/>
        <v>0</v>
      </c>
      <c r="AG56" s="10">
        <f t="shared" si="104"/>
        <v>0</v>
      </c>
      <c r="AH56" s="10">
        <f t="shared" si="104"/>
        <v>550.65760585997896</v>
      </c>
      <c r="AI56" s="75">
        <f t="shared" si="104"/>
        <v>1101.3152117199579</v>
      </c>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25"/>
  <sheetViews>
    <sheetView showGridLines="0" zoomScale="70" zoomScaleNormal="70" workbookViewId="0">
      <selection activeCell="K2" sqref="K2"/>
    </sheetView>
  </sheetViews>
  <sheetFormatPr defaultRowHeight="15" x14ac:dyDescent="0.25"/>
  <cols>
    <col min="2" max="2" width="62.140625" customWidth="1"/>
    <col min="3" max="10" width="11.85546875" customWidth="1"/>
    <col min="11" max="11" width="18" customWidth="1"/>
    <col min="12" max="12" width="12.5703125" customWidth="1"/>
    <col min="13" max="13" width="5.28515625" customWidth="1"/>
    <col min="14" max="15" width="11.7109375" customWidth="1"/>
    <col min="16" max="16" width="4.5703125" customWidth="1"/>
    <col min="17" max="18" width="17.42578125" customWidth="1"/>
    <col min="19" max="20" width="32.140625" customWidth="1"/>
    <col min="22" max="22" width="43.85546875" customWidth="1"/>
    <col min="23" max="23" width="14.28515625" customWidth="1"/>
    <col min="24" max="24" width="15" customWidth="1"/>
  </cols>
  <sheetData>
    <row r="1" spans="1:25" ht="23.25" x14ac:dyDescent="0.25">
      <c r="A1" s="30" t="s">
        <v>101</v>
      </c>
      <c r="B1" s="31"/>
      <c r="C1" s="31"/>
      <c r="D1" s="31"/>
      <c r="E1" s="31"/>
      <c r="F1" s="31"/>
      <c r="G1" s="31"/>
      <c r="H1" s="31"/>
      <c r="I1" s="31"/>
      <c r="J1" s="31"/>
      <c r="K1" s="32"/>
      <c r="N1">
        <v>0.11269999999999999</v>
      </c>
      <c r="O1" t="s">
        <v>163</v>
      </c>
    </row>
    <row r="2" spans="1:25" ht="15.75" thickBot="1" x14ac:dyDescent="0.3">
      <c r="A2" s="31"/>
      <c r="B2" s="31"/>
      <c r="C2" s="31"/>
      <c r="D2" s="31"/>
      <c r="E2" s="31"/>
      <c r="F2" s="31"/>
      <c r="G2" s="31"/>
      <c r="H2" s="31"/>
      <c r="I2" s="31"/>
      <c r="J2" s="31"/>
      <c r="K2" s="32"/>
      <c r="N2">
        <v>1.175</v>
      </c>
      <c r="O2" t="s">
        <v>164</v>
      </c>
    </row>
    <row r="3" spans="1:25" ht="15.75" x14ac:dyDescent="0.25">
      <c r="A3" s="31"/>
      <c r="B3" s="33"/>
      <c r="C3" s="109" t="s">
        <v>102</v>
      </c>
      <c r="D3" s="109"/>
      <c r="E3" s="109"/>
      <c r="F3" s="109"/>
      <c r="G3" s="109"/>
      <c r="H3" s="109"/>
      <c r="I3" s="109"/>
      <c r="J3" s="109"/>
      <c r="K3" s="109"/>
      <c r="U3" s="76"/>
      <c r="V3" s="77"/>
      <c r="W3" s="77"/>
      <c r="X3" s="77"/>
      <c r="Y3" s="78"/>
    </row>
    <row r="4" spans="1:25" ht="75" x14ac:dyDescent="0.25">
      <c r="A4" s="31"/>
      <c r="B4" s="34"/>
      <c r="C4" s="110" t="s">
        <v>103</v>
      </c>
      <c r="D4" s="111"/>
      <c r="E4" s="111"/>
      <c r="F4" s="112"/>
      <c r="G4" s="110" t="s">
        <v>104</v>
      </c>
      <c r="H4" s="111"/>
      <c r="I4" s="111"/>
      <c r="J4" s="112"/>
      <c r="K4" s="35" t="s">
        <v>105</v>
      </c>
      <c r="L4" s="79" t="s">
        <v>111</v>
      </c>
      <c r="N4" s="79" t="s">
        <v>165</v>
      </c>
      <c r="O4" s="79" t="s">
        <v>166</v>
      </c>
      <c r="U4" s="80"/>
      <c r="V4" s="7" t="s">
        <v>193</v>
      </c>
      <c r="W4" s="82"/>
      <c r="X4" s="82"/>
      <c r="Y4" s="83"/>
    </row>
    <row r="5" spans="1:25" ht="45" x14ac:dyDescent="0.25">
      <c r="A5" s="31"/>
      <c r="B5" s="36" t="s">
        <v>106</v>
      </c>
      <c r="C5" s="37" t="s">
        <v>107</v>
      </c>
      <c r="D5" s="37" t="s">
        <v>108</v>
      </c>
      <c r="E5" s="37" t="s">
        <v>109</v>
      </c>
      <c r="F5" s="37" t="s">
        <v>110</v>
      </c>
      <c r="G5" s="37" t="s">
        <v>107</v>
      </c>
      <c r="H5" s="37" t="s">
        <v>108</v>
      </c>
      <c r="I5" s="37" t="s">
        <v>109</v>
      </c>
      <c r="J5" s="37" t="s">
        <v>110</v>
      </c>
      <c r="K5" s="37" t="s">
        <v>107</v>
      </c>
      <c r="L5" s="38" t="s">
        <v>107</v>
      </c>
      <c r="N5" s="38" t="s">
        <v>167</v>
      </c>
      <c r="O5" s="38" t="s">
        <v>167</v>
      </c>
      <c r="Q5" s="7" t="s">
        <v>168</v>
      </c>
      <c r="R5" s="7" t="s">
        <v>169</v>
      </c>
      <c r="S5" s="7" t="s">
        <v>170</v>
      </c>
      <c r="T5" s="84" t="s">
        <v>171</v>
      </c>
      <c r="U5" s="80"/>
      <c r="V5" s="82" t="s">
        <v>131</v>
      </c>
      <c r="W5" s="81" t="s">
        <v>172</v>
      </c>
      <c r="X5" s="81" t="s">
        <v>173</v>
      </c>
      <c r="Y5" s="83"/>
    </row>
    <row r="6" spans="1:25" x14ac:dyDescent="0.25">
      <c r="A6" s="39"/>
      <c r="B6" s="40" t="s">
        <v>112</v>
      </c>
      <c r="C6" s="41">
        <v>2000</v>
      </c>
      <c r="D6" s="41"/>
      <c r="E6" s="41">
        <v>2000</v>
      </c>
      <c r="F6" s="41"/>
      <c r="G6" s="42"/>
      <c r="H6" s="42"/>
      <c r="I6" s="42">
        <v>285</v>
      </c>
      <c r="J6" s="42"/>
      <c r="K6" s="43">
        <v>3900</v>
      </c>
      <c r="L6" s="28">
        <f>K6-C6</f>
        <v>1900</v>
      </c>
      <c r="N6" s="85">
        <f>($I6/$E6)*1000*$N$1*$N$2</f>
        <v>18.870206249999999</v>
      </c>
      <c r="O6" s="51">
        <f>(SUM(I7:I10)/SUM(E7:E10))*1000*$N$1*$N$2</f>
        <v>21.3200225</v>
      </c>
      <c r="Q6" s="86">
        <f>C6-C10</f>
        <v>1400</v>
      </c>
      <c r="R6" s="86">
        <f>L6-L10</f>
        <v>1200</v>
      </c>
      <c r="S6" s="87" t="s">
        <v>174</v>
      </c>
      <c r="U6" s="80"/>
      <c r="V6" s="88" t="s">
        <v>132</v>
      </c>
      <c r="W6" s="89">
        <v>8</v>
      </c>
      <c r="X6" s="90">
        <f>Q6-W6</f>
        <v>1392</v>
      </c>
      <c r="Y6" s="83"/>
    </row>
    <row r="7" spans="1:25" x14ac:dyDescent="0.25">
      <c r="A7" s="39"/>
      <c r="B7" s="44" t="s">
        <v>113</v>
      </c>
      <c r="C7" s="45">
        <v>500</v>
      </c>
      <c r="D7" s="45"/>
      <c r="E7" s="45"/>
      <c r="F7" s="45"/>
      <c r="G7" s="46"/>
      <c r="H7" s="46"/>
      <c r="I7" s="46"/>
      <c r="J7" s="46"/>
      <c r="K7" s="47">
        <v>2100</v>
      </c>
      <c r="L7" s="28">
        <f t="shared" ref="L7:L24" si="0">K7-C7</f>
        <v>1600</v>
      </c>
      <c r="N7" s="51"/>
      <c r="U7" s="80"/>
      <c r="V7" s="88"/>
      <c r="W7" s="89"/>
      <c r="X7" s="88"/>
      <c r="Y7" s="83"/>
    </row>
    <row r="8" spans="1:25" x14ac:dyDescent="0.25">
      <c r="A8" s="39"/>
      <c r="B8" s="44" t="s">
        <v>114</v>
      </c>
      <c r="C8" s="48">
        <v>0</v>
      </c>
      <c r="D8" s="45"/>
      <c r="E8" s="45"/>
      <c r="F8" s="45"/>
      <c r="G8" s="46"/>
      <c r="H8" s="46"/>
      <c r="I8" s="46"/>
      <c r="J8" s="46"/>
      <c r="K8" s="47">
        <v>100</v>
      </c>
      <c r="L8" s="28">
        <f t="shared" si="0"/>
        <v>100</v>
      </c>
      <c r="N8" s="51"/>
      <c r="U8" s="80"/>
      <c r="V8" s="88"/>
      <c r="W8" s="89"/>
      <c r="X8" s="88"/>
      <c r="Y8" s="83"/>
    </row>
    <row r="9" spans="1:25" x14ac:dyDescent="0.25">
      <c r="A9" s="39"/>
      <c r="B9" s="44" t="s">
        <v>115</v>
      </c>
      <c r="C9" s="45">
        <v>2000</v>
      </c>
      <c r="D9" s="45"/>
      <c r="E9" s="45"/>
      <c r="F9" s="45"/>
      <c r="G9" s="46"/>
      <c r="H9" s="46"/>
      <c r="I9" s="46"/>
      <c r="J9" s="46"/>
      <c r="K9" s="47">
        <v>4600</v>
      </c>
      <c r="L9" s="28">
        <f t="shared" si="0"/>
        <v>2600</v>
      </c>
      <c r="N9" s="51"/>
      <c r="U9" s="80"/>
      <c r="V9" s="88"/>
      <c r="W9" s="89"/>
      <c r="X9" s="88"/>
      <c r="Y9" s="83"/>
    </row>
    <row r="10" spans="1:25" x14ac:dyDescent="0.25">
      <c r="A10" s="39"/>
      <c r="B10" s="44" t="s">
        <v>116</v>
      </c>
      <c r="C10" s="45">
        <v>600</v>
      </c>
      <c r="D10" s="45"/>
      <c r="E10" s="45">
        <v>2000</v>
      </c>
      <c r="F10" s="45"/>
      <c r="G10" s="46"/>
      <c r="H10" s="46"/>
      <c r="I10" s="46">
        <v>322</v>
      </c>
      <c r="J10" s="46"/>
      <c r="K10" s="47">
        <v>1300</v>
      </c>
      <c r="L10" s="28">
        <f t="shared" si="0"/>
        <v>700</v>
      </c>
      <c r="N10" s="85">
        <f>($I10/$E10)*1000*$N$1*$N$2</f>
        <v>21.3200225</v>
      </c>
      <c r="Q10" s="86">
        <f>C10</f>
        <v>600</v>
      </c>
      <c r="R10" s="86">
        <f>L10</f>
        <v>700</v>
      </c>
      <c r="S10" s="87" t="s">
        <v>133</v>
      </c>
      <c r="U10" s="80"/>
      <c r="V10" s="88" t="s">
        <v>133</v>
      </c>
      <c r="W10" s="89">
        <v>19</v>
      </c>
      <c r="X10" s="90">
        <f t="shared" ref="X10:X16" si="1">Q10-W10</f>
        <v>581</v>
      </c>
      <c r="Y10" s="83"/>
    </row>
    <row r="11" spans="1:25" x14ac:dyDescent="0.25">
      <c r="A11" s="39"/>
      <c r="B11" s="40" t="s">
        <v>117</v>
      </c>
      <c r="C11" s="41">
        <v>1100</v>
      </c>
      <c r="D11" s="41"/>
      <c r="E11" s="41">
        <v>2000</v>
      </c>
      <c r="F11" s="41"/>
      <c r="G11" s="42"/>
      <c r="H11" s="42"/>
      <c r="I11" s="42">
        <v>55</v>
      </c>
      <c r="J11" s="42"/>
      <c r="K11" s="43">
        <v>2000</v>
      </c>
      <c r="L11" s="28">
        <f t="shared" si="0"/>
        <v>900</v>
      </c>
      <c r="N11" s="51">
        <f>($I11/$E11)*1000*$N$1*$N$2</f>
        <v>3.6416187500000001</v>
      </c>
      <c r="O11" s="51">
        <f>(SUM(I12:I14)/SUM(E12:E14))*1000*$N$1*$N$2</f>
        <v>16.773516666666666</v>
      </c>
      <c r="Q11" s="10">
        <f>SUM(Q12:Q14)</f>
        <v>1100</v>
      </c>
      <c r="R11" s="10">
        <f>SUM(R12:R14)</f>
        <v>900</v>
      </c>
      <c r="T11" s="1" t="s">
        <v>117</v>
      </c>
      <c r="U11" s="80"/>
      <c r="V11" s="88"/>
      <c r="W11" s="89">
        <f>SUM(W12:W14)</f>
        <v>285</v>
      </c>
      <c r="X11" s="90">
        <f t="shared" si="1"/>
        <v>815</v>
      </c>
      <c r="Y11" s="83"/>
    </row>
    <row r="12" spans="1:25" x14ac:dyDescent="0.25">
      <c r="A12" s="31"/>
      <c r="B12" s="44" t="s">
        <v>118</v>
      </c>
      <c r="C12" s="45">
        <v>1100</v>
      </c>
      <c r="D12" s="45"/>
      <c r="E12" s="45">
        <v>2000</v>
      </c>
      <c r="F12" s="45"/>
      <c r="G12" s="46"/>
      <c r="H12" s="46"/>
      <c r="I12" s="46">
        <v>55</v>
      </c>
      <c r="J12" s="46"/>
      <c r="K12" s="47">
        <v>1800</v>
      </c>
      <c r="L12" s="28">
        <f t="shared" si="0"/>
        <v>700</v>
      </c>
      <c r="N12" s="85">
        <f>($I12/$E12)*1000*$N$1*$N$2</f>
        <v>3.6416187500000001</v>
      </c>
      <c r="Q12" s="91">
        <v>540</v>
      </c>
      <c r="R12" s="92">
        <f>L12</f>
        <v>700</v>
      </c>
      <c r="S12" s="87" t="s">
        <v>135</v>
      </c>
      <c r="U12" s="80"/>
      <c r="V12" s="88" t="s">
        <v>135</v>
      </c>
      <c r="W12" s="89">
        <v>122</v>
      </c>
      <c r="X12" s="90">
        <f t="shared" si="1"/>
        <v>418</v>
      </c>
      <c r="Y12" s="83"/>
    </row>
    <row r="13" spans="1:25" x14ac:dyDescent="0.25">
      <c r="A13" s="31"/>
      <c r="B13" s="44" t="s">
        <v>119</v>
      </c>
      <c r="C13" s="45">
        <v>1000</v>
      </c>
      <c r="D13" s="45"/>
      <c r="E13" s="45">
        <v>1500</v>
      </c>
      <c r="F13" s="45"/>
      <c r="G13" s="46"/>
      <c r="H13" s="46"/>
      <c r="I13" s="46">
        <v>241</v>
      </c>
      <c r="J13" s="46"/>
      <c r="K13" s="47">
        <v>1200</v>
      </c>
      <c r="L13" s="28">
        <f t="shared" si="0"/>
        <v>200</v>
      </c>
      <c r="N13" s="85">
        <f>($I13/$E13)*1000*$N$1*$N$2</f>
        <v>21.275881666666667</v>
      </c>
      <c r="Q13" s="91">
        <v>400</v>
      </c>
      <c r="R13" s="92">
        <f t="shared" ref="R13:R14" si="2">L13</f>
        <v>200</v>
      </c>
      <c r="S13" s="87" t="s">
        <v>175</v>
      </c>
      <c r="U13" s="80"/>
      <c r="V13" s="88" t="s">
        <v>136</v>
      </c>
      <c r="W13" s="89">
        <v>160</v>
      </c>
      <c r="X13" s="90">
        <f t="shared" si="1"/>
        <v>240</v>
      </c>
      <c r="Y13" s="83"/>
    </row>
    <row r="14" spans="1:25" x14ac:dyDescent="0.25">
      <c r="A14" s="31"/>
      <c r="B14" s="44" t="s">
        <v>120</v>
      </c>
      <c r="C14" s="45">
        <v>1000</v>
      </c>
      <c r="D14" s="45"/>
      <c r="E14" s="45">
        <v>1000</v>
      </c>
      <c r="F14" s="45"/>
      <c r="G14" s="46"/>
      <c r="H14" s="46"/>
      <c r="I14" s="46">
        <v>274</v>
      </c>
      <c r="J14" s="46"/>
      <c r="K14" s="47">
        <v>1000</v>
      </c>
      <c r="L14" s="28">
        <f t="shared" si="0"/>
        <v>0</v>
      </c>
      <c r="N14" s="85">
        <f>($I14/$E14)*1000*$N$1*$N$2</f>
        <v>36.283765000000002</v>
      </c>
      <c r="Q14" s="91">
        <v>160</v>
      </c>
      <c r="R14" s="92">
        <f t="shared" si="2"/>
        <v>0</v>
      </c>
      <c r="S14" s="87" t="s">
        <v>176</v>
      </c>
      <c r="U14" s="80"/>
      <c r="V14" s="88" t="s">
        <v>134</v>
      </c>
      <c r="W14" s="89">
        <v>3</v>
      </c>
      <c r="X14" s="90">
        <f t="shared" si="1"/>
        <v>157</v>
      </c>
      <c r="Y14" s="83"/>
    </row>
    <row r="15" spans="1:25" x14ac:dyDescent="0.25">
      <c r="A15" s="39"/>
      <c r="B15" s="36" t="s">
        <v>121</v>
      </c>
      <c r="C15" s="41">
        <v>4300</v>
      </c>
      <c r="D15" s="41">
        <v>1000</v>
      </c>
      <c r="E15" s="41"/>
      <c r="F15" s="41"/>
      <c r="G15" s="42"/>
      <c r="H15" s="42">
        <v>100</v>
      </c>
      <c r="I15" s="42"/>
      <c r="J15" s="42"/>
      <c r="K15" s="43">
        <v>5100</v>
      </c>
      <c r="L15" s="28">
        <f t="shared" si="0"/>
        <v>800</v>
      </c>
      <c r="Q15" s="86">
        <f>C15</f>
        <v>4300</v>
      </c>
      <c r="R15" s="86">
        <f>L15</f>
        <v>800</v>
      </c>
      <c r="S15" s="87" t="s">
        <v>121</v>
      </c>
      <c r="U15" s="80"/>
      <c r="V15" s="88" t="s">
        <v>121</v>
      </c>
      <c r="W15" s="89">
        <v>388</v>
      </c>
      <c r="X15" s="90">
        <f t="shared" si="1"/>
        <v>3912</v>
      </c>
      <c r="Y15" s="83"/>
    </row>
    <row r="16" spans="1:25" x14ac:dyDescent="0.25">
      <c r="A16" s="39"/>
      <c r="B16" s="36" t="s">
        <v>122</v>
      </c>
      <c r="C16" s="41">
        <v>600</v>
      </c>
      <c r="D16" s="41"/>
      <c r="E16" s="41">
        <v>400</v>
      </c>
      <c r="F16" s="41"/>
      <c r="G16" s="42"/>
      <c r="H16" s="42"/>
      <c r="I16" s="42">
        <v>146</v>
      </c>
      <c r="J16" s="42"/>
      <c r="K16" s="43">
        <v>600</v>
      </c>
      <c r="L16" s="28">
        <f t="shared" si="0"/>
        <v>0</v>
      </c>
      <c r="N16" s="93">
        <f>($I16/$E16)*1000*$N$1*$N$2</f>
        <v>48.3342125</v>
      </c>
      <c r="O16" s="85">
        <f>(SUM(I17:I19)/SUM(E17:E19))*1000*$N$1*$N$2</f>
        <v>135.84341458333336</v>
      </c>
      <c r="Q16" s="86">
        <f>C16</f>
        <v>600</v>
      </c>
      <c r="R16" s="86">
        <f>L16</f>
        <v>0</v>
      </c>
      <c r="S16" s="87" t="s">
        <v>177</v>
      </c>
      <c r="U16" s="80"/>
      <c r="V16" s="88" t="s">
        <v>137</v>
      </c>
      <c r="W16" s="89">
        <v>24</v>
      </c>
      <c r="X16" s="90">
        <f t="shared" si="1"/>
        <v>576</v>
      </c>
      <c r="Y16" s="83"/>
    </row>
    <row r="17" spans="1:25" x14ac:dyDescent="0.25">
      <c r="A17" s="31"/>
      <c r="B17" s="49" t="s">
        <v>123</v>
      </c>
      <c r="C17" s="45">
        <v>300</v>
      </c>
      <c r="D17" s="45"/>
      <c r="E17" s="45">
        <v>400</v>
      </c>
      <c r="F17" s="45"/>
      <c r="G17" s="46"/>
      <c r="H17" s="46"/>
      <c r="I17" s="46">
        <v>485</v>
      </c>
      <c r="J17" s="46"/>
      <c r="K17" s="47">
        <v>300</v>
      </c>
      <c r="L17" s="28">
        <f t="shared" si="0"/>
        <v>0</v>
      </c>
      <c r="U17" s="80"/>
      <c r="V17" s="88"/>
      <c r="W17" s="89"/>
      <c r="X17" s="88"/>
      <c r="Y17" s="83"/>
    </row>
    <row r="18" spans="1:25" x14ac:dyDescent="0.25">
      <c r="A18" s="31"/>
      <c r="B18" s="49" t="s">
        <v>124</v>
      </c>
      <c r="C18" s="45">
        <v>100</v>
      </c>
      <c r="D18" s="45"/>
      <c r="E18" s="45">
        <v>400</v>
      </c>
      <c r="F18" s="45"/>
      <c r="G18" s="46"/>
      <c r="H18" s="46"/>
      <c r="I18" s="46">
        <v>485</v>
      </c>
      <c r="J18" s="46"/>
      <c r="K18" s="47">
        <v>100</v>
      </c>
      <c r="L18" s="28">
        <f t="shared" si="0"/>
        <v>0</v>
      </c>
      <c r="U18" s="80"/>
      <c r="V18" s="88"/>
      <c r="W18" s="89"/>
      <c r="X18" s="88"/>
      <c r="Y18" s="83"/>
    </row>
    <row r="19" spans="1:25" x14ac:dyDescent="0.25">
      <c r="A19" s="31"/>
      <c r="B19" s="49" t="s">
        <v>125</v>
      </c>
      <c r="C19" s="45">
        <v>400</v>
      </c>
      <c r="D19" s="45"/>
      <c r="E19" s="45">
        <v>400</v>
      </c>
      <c r="F19" s="45"/>
      <c r="G19" s="46"/>
      <c r="H19" s="46"/>
      <c r="I19" s="46">
        <v>261</v>
      </c>
      <c r="J19" s="46"/>
      <c r="K19" s="47">
        <v>400</v>
      </c>
      <c r="L19" s="28">
        <f t="shared" si="0"/>
        <v>0</v>
      </c>
      <c r="U19" s="80"/>
      <c r="V19" s="88"/>
      <c r="W19" s="89"/>
      <c r="X19" s="88"/>
      <c r="Y19" s="83"/>
    </row>
    <row r="20" spans="1:25" x14ac:dyDescent="0.25">
      <c r="A20" s="39"/>
      <c r="B20" s="36" t="s">
        <v>126</v>
      </c>
      <c r="C20" s="41">
        <v>3000</v>
      </c>
      <c r="D20" s="41"/>
      <c r="E20" s="41">
        <v>2800</v>
      </c>
      <c r="F20" s="41"/>
      <c r="G20" s="42"/>
      <c r="H20" s="42"/>
      <c r="I20" s="42">
        <v>2156</v>
      </c>
      <c r="J20" s="42"/>
      <c r="K20" s="43">
        <v>9600</v>
      </c>
      <c r="L20" s="28">
        <f t="shared" si="0"/>
        <v>6600</v>
      </c>
      <c r="N20" s="51">
        <f>($I20/$E20)*1000*$N$1*$N$2</f>
        <v>101.96532499999999</v>
      </c>
      <c r="O20" s="51">
        <f>(SUM(I21:I24)/SUM(E21:E24))*1000*$N$1*$N$2</f>
        <v>176.40169084507042</v>
      </c>
      <c r="Q20" s="10">
        <f>SUM(Q21:Q24)</f>
        <v>3000</v>
      </c>
      <c r="R20" s="10">
        <f>SUM(R21:R24)</f>
        <v>6600</v>
      </c>
      <c r="T20" s="1" t="s">
        <v>126</v>
      </c>
      <c r="U20" s="80"/>
      <c r="V20" s="88" t="s">
        <v>139</v>
      </c>
      <c r="W20" s="89">
        <f>SUM(W21:W24)</f>
        <v>710</v>
      </c>
      <c r="X20" s="90">
        <f>Q20-W20</f>
        <v>2290</v>
      </c>
      <c r="Y20" s="83"/>
    </row>
    <row r="21" spans="1:25" x14ac:dyDescent="0.25">
      <c r="A21" s="31"/>
      <c r="B21" s="49" t="s">
        <v>127</v>
      </c>
      <c r="C21" s="45">
        <v>800</v>
      </c>
      <c r="D21" s="45"/>
      <c r="E21" s="45">
        <v>300</v>
      </c>
      <c r="F21" s="45"/>
      <c r="G21" s="46"/>
      <c r="H21" s="46"/>
      <c r="I21" s="46">
        <v>76</v>
      </c>
      <c r="J21" s="46"/>
      <c r="K21" s="47">
        <v>3000</v>
      </c>
      <c r="L21" s="28">
        <f t="shared" si="0"/>
        <v>2200</v>
      </c>
      <c r="N21" s="94">
        <f>N20</f>
        <v>101.96532499999999</v>
      </c>
      <c r="Q21" s="92">
        <f>C21</f>
        <v>800</v>
      </c>
      <c r="R21" s="92">
        <f>L21</f>
        <v>2200</v>
      </c>
      <c r="S21" s="87" t="s">
        <v>178</v>
      </c>
      <c r="U21" s="80"/>
      <c r="V21" s="88" t="s">
        <v>138</v>
      </c>
      <c r="W21" s="89">
        <v>0</v>
      </c>
      <c r="X21" s="90">
        <f>Q21-W21</f>
        <v>800</v>
      </c>
      <c r="Y21" s="83"/>
    </row>
    <row r="22" spans="1:25" x14ac:dyDescent="0.25">
      <c r="A22" s="31"/>
      <c r="B22" s="49" t="s">
        <v>128</v>
      </c>
      <c r="C22" s="45">
        <v>700</v>
      </c>
      <c r="D22" s="45"/>
      <c r="E22" s="45">
        <v>350</v>
      </c>
      <c r="F22" s="45"/>
      <c r="G22" s="46"/>
      <c r="H22" s="46"/>
      <c r="I22" s="46">
        <v>275</v>
      </c>
      <c r="J22" s="46"/>
      <c r="K22" s="47">
        <v>700</v>
      </c>
      <c r="L22" s="28">
        <f t="shared" si="0"/>
        <v>0</v>
      </c>
      <c r="N22" s="51">
        <f>($I22/$E22)*1000*$N$1*$N$2</f>
        <v>104.04625</v>
      </c>
      <c r="Q22" s="10"/>
      <c r="R22" s="10"/>
      <c r="U22" s="80"/>
      <c r="V22" s="88"/>
      <c r="W22" s="89"/>
      <c r="X22" s="88"/>
      <c r="Y22" s="83"/>
    </row>
    <row r="23" spans="1:25" x14ac:dyDescent="0.25">
      <c r="A23" s="31"/>
      <c r="B23" s="49" t="s">
        <v>129</v>
      </c>
      <c r="C23" s="45">
        <v>1200</v>
      </c>
      <c r="D23" s="45"/>
      <c r="E23" s="45">
        <v>1400</v>
      </c>
      <c r="F23" s="45"/>
      <c r="G23" s="46"/>
      <c r="H23" s="46"/>
      <c r="I23" s="46">
        <v>2334</v>
      </c>
      <c r="J23" s="46"/>
      <c r="K23" s="47">
        <v>3100</v>
      </c>
      <c r="L23" s="28">
        <f t="shared" si="0"/>
        <v>1900</v>
      </c>
      <c r="N23" s="85">
        <f>($I23/$E23)*1000*$N$1*$N$2</f>
        <v>220.767225</v>
      </c>
      <c r="Q23" s="92">
        <f>C23</f>
        <v>1200</v>
      </c>
      <c r="R23" s="92">
        <f t="shared" ref="R23" si="3">L23</f>
        <v>1900</v>
      </c>
      <c r="S23" s="87" t="s">
        <v>179</v>
      </c>
      <c r="U23" s="80"/>
      <c r="V23" s="88" t="s">
        <v>141</v>
      </c>
      <c r="W23" s="89">
        <v>576</v>
      </c>
      <c r="X23" s="90">
        <f>Q23-W23</f>
        <v>624</v>
      </c>
      <c r="Y23" s="83"/>
    </row>
    <row r="24" spans="1:25" x14ac:dyDescent="0.25">
      <c r="A24" s="31"/>
      <c r="B24" s="49" t="s">
        <v>130</v>
      </c>
      <c r="C24" s="45">
        <v>2950</v>
      </c>
      <c r="D24" s="45"/>
      <c r="E24" s="45">
        <v>1500</v>
      </c>
      <c r="F24" s="45"/>
      <c r="G24" s="46"/>
      <c r="H24" s="46"/>
      <c r="I24" s="46">
        <v>2044</v>
      </c>
      <c r="J24" s="46"/>
      <c r="K24" s="47">
        <v>5500</v>
      </c>
      <c r="L24" s="28">
        <f t="shared" si="0"/>
        <v>2550</v>
      </c>
      <c r="N24" s="85">
        <f>($I24/$E24)*1000*$N$1*$N$2</f>
        <v>180.44772666666665</v>
      </c>
      <c r="Q24" s="91">
        <v>1000</v>
      </c>
      <c r="R24" s="91">
        <v>2500</v>
      </c>
      <c r="S24" s="87" t="s">
        <v>180</v>
      </c>
      <c r="U24" s="80"/>
      <c r="V24" s="88" t="s">
        <v>140</v>
      </c>
      <c r="W24" s="89">
        <v>134</v>
      </c>
      <c r="X24" s="90">
        <f>Q24-W24</f>
        <v>866</v>
      </c>
      <c r="Y24" s="83"/>
    </row>
    <row r="25" spans="1:25" ht="15.75" thickBot="1" x14ac:dyDescent="0.3">
      <c r="E25" s="28"/>
      <c r="I25" s="95"/>
      <c r="U25" s="96"/>
      <c r="V25" s="97"/>
      <c r="W25" s="97"/>
      <c r="X25" s="97"/>
      <c r="Y25" s="98"/>
    </row>
  </sheetData>
  <mergeCells count="3">
    <mergeCell ref="C3:K3"/>
    <mergeCell ref="C4:F4"/>
    <mergeCell ref="G4:J4"/>
  </mergeCells>
  <pageMargins left="0.7" right="0.7" top="0.75" bottom="0.75" header="0.3" footer="0.3"/>
  <pageSetup orientation="portrait" horizontalDpi="90" verticalDpi="9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vt:lpstr>
      <vt:lpstr>AdjustPorts2030</vt:lpstr>
      <vt:lpstr>PortByYear</vt:lpstr>
      <vt:lpstr>2019-20TxInputUpdate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2018-11-06T02:37:00Z</dcterms:created>
  <dcterms:modified xsi:type="dcterms:W3CDTF">2019-02-28T18:56:41Z</dcterms:modified>
</cp:coreProperties>
</file>